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DASH" sheetId="8" r:id="rId1"/>
    <sheet name="SUMA" sheetId="10" r:id="rId2"/>
    <sheet name="DATA" sheetId="13" r:id="rId3"/>
    <sheet name="CONN" sheetId="11" r:id="rId4"/>
  </sheets>
  <definedNames>
    <definedName name="country_code">CONN!$A$2:$C$6</definedName>
    <definedName name="country_code_header">CONN!$A$2:$C$2</definedName>
    <definedName name="country_code_index">CONN!$A$3:$A$6</definedName>
    <definedName name="gisc_sector">CONN!$A$14:$B$26</definedName>
    <definedName name="gisc_sector_header">CONN!$A$14:$B$14</definedName>
    <definedName name="gisc_sector_index">CONN!$A$15:$A$26</definedName>
    <definedName name="selected_country_code">DASH!$G$2</definedName>
    <definedName name="selected_valuation_method">DASH!$G$3</definedName>
    <definedName name="valuation_method">CONN!$E$2:$F$6</definedName>
    <definedName name="valuation_method_headler">CONN!$E$2:$F$2</definedName>
    <definedName name="valuation_method_index">CONN!$E$3:$E$6</definedName>
  </definedNames>
  <calcPr calcId="144525"/>
</workbook>
</file>

<file path=xl/sharedStrings.xml><?xml version="1.0" encoding="utf-8"?>
<sst xmlns="http://schemas.openxmlformats.org/spreadsheetml/2006/main" count="29232" uniqueCount="11493">
  <si>
    <t>Market Information</t>
  </si>
  <si>
    <t>Criteria Selection</t>
  </si>
  <si>
    <t>INDEX</t>
  </si>
  <si>
    <t>SP</t>
  </si>
  <si>
    <t>Valuation method</t>
  </si>
  <si>
    <t>pe</t>
  </si>
  <si>
    <t>GISC SECTOR BREAKDOWN</t>
  </si>
  <si>
    <t>gisc_sector_vietnamese</t>
  </si>
  <si>
    <t>number_of_companies</t>
  </si>
  <si>
    <t>market_cap_mln_usd</t>
  </si>
  <si>
    <t>percentage_to market</t>
  </si>
  <si>
    <t>valuation</t>
  </si>
  <si>
    <t>Ngành</t>
  </si>
  <si>
    <t>discount/ premium (to overall market)</t>
  </si>
  <si>
    <t>valuation ranking</t>
  </si>
  <si>
    <t>COUNTRY - SECTOR VALUATIOn</t>
  </si>
  <si>
    <t>country_average</t>
  </si>
  <si>
    <t>country_code</t>
  </si>
  <si>
    <t>gics_sector</t>
  </si>
  <si>
    <t>marketcap_mln_usd</t>
  </si>
  <si>
    <t>pb</t>
  </si>
  <si>
    <t>ps</t>
  </si>
  <si>
    <t>ev_to_ebitdat12m</t>
  </si>
  <si>
    <t>connect_country_gisc_sector</t>
  </si>
  <si>
    <t>gisc_sector</t>
  </si>
  <si>
    <t>ngành</t>
  </si>
  <si>
    <t>TH</t>
  </si>
  <si>
    <t>Energy</t>
  </si>
  <si>
    <t>discount_premium_to_overall_market</t>
  </si>
  <si>
    <t>rank</t>
  </si>
  <si>
    <t>valuation_ranking</t>
  </si>
  <si>
    <t>Industrials</t>
  </si>
  <si>
    <t>Năng lượng</t>
  </si>
  <si>
    <t>Communication Services</t>
  </si>
  <si>
    <t>Công nghiệp</t>
  </si>
  <si>
    <t>Consumer Staples</t>
  </si>
  <si>
    <t>Dịch vụ truyền thông</t>
  </si>
  <si>
    <t>Materials</t>
  </si>
  <si>
    <t>Tiêu dùng không thiết yếu</t>
  </si>
  <si>
    <t>Utilities</t>
  </si>
  <si>
    <t>Nguyên vật liệu</t>
  </si>
  <si>
    <t>Health Care</t>
  </si>
  <si>
    <t>Tiện ích</t>
  </si>
  <si>
    <t>Financials</t>
  </si>
  <si>
    <t>Y tế</t>
  </si>
  <si>
    <t>Real Estate</t>
  </si>
  <si>
    <t>Tài chính</t>
  </si>
  <si>
    <t>Consumer Discretionary</t>
  </si>
  <si>
    <t>Bất động sản</t>
  </si>
  <si>
    <t>Not Classified</t>
  </si>
  <si>
    <t>Tiêu dùng thiết yếu</t>
  </si>
  <si>
    <t>Information Technology</t>
  </si>
  <si>
    <t>Không phân ngành</t>
  </si>
  <si>
    <t>Công nghệ thông tin</t>
  </si>
  <si>
    <t>Chart_name</t>
  </si>
  <si>
    <t>label</t>
  </si>
  <si>
    <t>EU</t>
  </si>
  <si>
    <t>US</t>
  </si>
  <si>
    <t>PE</t>
  </si>
  <si>
    <t>country_name</t>
  </si>
  <si>
    <t>ticker</t>
  </si>
  <si>
    <t>name</t>
  </si>
  <si>
    <t>gics sector</t>
  </si>
  <si>
    <t>market cap</t>
  </si>
  <si>
    <t>p/e</t>
  </si>
  <si>
    <t>p/b</t>
  </si>
  <si>
    <t>p/s</t>
  </si>
  <si>
    <t>ev/ebitda t12m</t>
  </si>
  <si>
    <t>PTT TB EQUITY</t>
  </si>
  <si>
    <t>Ptt Pcl</t>
  </si>
  <si>
    <t>AOT TB EQUITY</t>
  </si>
  <si>
    <t>Airports Of Thailand Pcl</t>
  </si>
  <si>
    <t>ADVANC TB EQUITY</t>
  </si>
  <si>
    <t>Advanced Info Service Pcl</t>
  </si>
  <si>
    <t>CPALL TB EQUITY</t>
  </si>
  <si>
    <t>Cp All Pcl</t>
  </si>
  <si>
    <t>SCC TB EQUITY</t>
  </si>
  <si>
    <t>Siam Cement Pcl/The</t>
  </si>
  <si>
    <t>GULF TB EQUITY</t>
  </si>
  <si>
    <t>Gulf Energy Development Pcl</t>
  </si>
  <si>
    <t>BDMS TB EQUITY</t>
  </si>
  <si>
    <t>Bangkok Dusit Med Service</t>
  </si>
  <si>
    <t>PTTEP TB EQUITY</t>
  </si>
  <si>
    <t>Ptt Explor &amp; Prod Public Co</t>
  </si>
  <si>
    <t>SCB TB EQUITY</t>
  </si>
  <si>
    <t>Siam Commercial Bank Pub Co</t>
  </si>
  <si>
    <t>na</t>
  </si>
  <si>
    <t>KBANK TB EQUITY</t>
  </si>
  <si>
    <t>Kasikornbank Pcl</t>
  </si>
  <si>
    <t>CPF TB EQUITY</t>
  </si>
  <si>
    <t>Charoen Pokphand Foods Pub</t>
  </si>
  <si>
    <t>BBL TB EQUITY</t>
  </si>
  <si>
    <t>Bangkok Bank Public Co Ltd</t>
  </si>
  <si>
    <t>CPN TB EQUITY</t>
  </si>
  <si>
    <t>Central Pattana Pub Co Ltd</t>
  </si>
  <si>
    <t>MAKRO TB EQUITY</t>
  </si>
  <si>
    <t>Siam Makro Public Co Ltd</t>
  </si>
  <si>
    <t>BJC TB EQUITY</t>
  </si>
  <si>
    <t>Berli Jucker Public Co Ltd</t>
  </si>
  <si>
    <t>INTUCH TB EQUITY</t>
  </si>
  <si>
    <t>Intouch Holdings Pcl</t>
  </si>
  <si>
    <t>GPSC TB EQUITY</t>
  </si>
  <si>
    <t>Global Power Synergy Pcl</t>
  </si>
  <si>
    <t>KTB TB EQUITY</t>
  </si>
  <si>
    <t>Krung Thai Bank Pub Co Ltd</t>
  </si>
  <si>
    <t>CRC TB EQUITY</t>
  </si>
  <si>
    <t>Central Retail Corp Pcl</t>
  </si>
  <si>
    <t>DIF TB EQUITY</t>
  </si>
  <si>
    <t>Digital Telecommunications</t>
  </si>
  <si>
    <t>HMPRO TB EQUITY</t>
  </si>
  <si>
    <t>Home Product Center Pcl</t>
  </si>
  <si>
    <t>BAY TB EQUITY</t>
  </si>
  <si>
    <t>Bank Of Ayudhya Pcl</t>
  </si>
  <si>
    <t>PTTGC TB EQUITY</t>
  </si>
  <si>
    <t>Ptt Global Chemical Pcl</t>
  </si>
  <si>
    <t>EA TB EQUITY</t>
  </si>
  <si>
    <t>Energy Absolute Pcl</t>
  </si>
  <si>
    <t>EGCO TB EQUITY</t>
  </si>
  <si>
    <t>Electricity Generating Pcl</t>
  </si>
  <si>
    <t>BTS TB EQUITY</t>
  </si>
  <si>
    <t>Bts Group Holdings Pcl</t>
  </si>
  <si>
    <t>BEM TB EQUITY</t>
  </si>
  <si>
    <t>Bangkok Expressway &amp; Metro P</t>
  </si>
  <si>
    <t>IVL TB EQUITY</t>
  </si>
  <si>
    <t>Indorama Ventures Pcl</t>
  </si>
  <si>
    <t>OSP TB EQUITY</t>
  </si>
  <si>
    <t>Osotspa Pcl</t>
  </si>
  <si>
    <t>AWC TB EQUITY</t>
  </si>
  <si>
    <t>Asset World Corp Pcl</t>
  </si>
  <si>
    <t>BGRIM TB EQUITY</t>
  </si>
  <si>
    <t>B Grimm Power Pcl</t>
  </si>
  <si>
    <t>TRUE TB EQUITY</t>
  </si>
  <si>
    <t>True Corp Pcl</t>
  </si>
  <si>
    <t>BH TB EQUITY</t>
  </si>
  <si>
    <t>Bumrungrad Hospital Pcl</t>
  </si>
  <si>
    <t>DTAC TB EQUITY</t>
  </si>
  <si>
    <t>Total Access Communication</t>
  </si>
  <si>
    <t>RATCH TB EQUITY</t>
  </si>
  <si>
    <t>Ratch Group Pcl</t>
  </si>
  <si>
    <t>TMB TB EQUITY</t>
  </si>
  <si>
    <t>Tmb Bank Pcl</t>
  </si>
  <si>
    <t>LH TB EQUITY</t>
  </si>
  <si>
    <t>Land &amp; Houses Pub Co Ltd</t>
  </si>
  <si>
    <t>MTC TB EQUITY</t>
  </si>
  <si>
    <t>Muangthai Capital Pcl</t>
  </si>
  <si>
    <t>MINT TB EQUITY</t>
  </si>
  <si>
    <t>Minor International Pcl</t>
  </si>
  <si>
    <t>KTC TB EQUITY</t>
  </si>
  <si>
    <t>Krungthai Card Pcl</t>
  </si>
  <si>
    <t>TU TB EQUITY</t>
  </si>
  <si>
    <t>Thai Union Group Pcl</t>
  </si>
  <si>
    <t>TOA TB EQUITY</t>
  </si>
  <si>
    <t>Toa Paint Thailand Pcl</t>
  </si>
  <si>
    <t>TFMAMA TB EQUITY</t>
  </si>
  <si>
    <t>Thai President Foods Pcl</t>
  </si>
  <si>
    <t>TOP TB EQUITY</t>
  </si>
  <si>
    <t>Thai Oil Pcl</t>
  </si>
  <si>
    <t>CBG TB EQUITY</t>
  </si>
  <si>
    <t>Carabao Group Pcl</t>
  </si>
  <si>
    <t>BAM TB EQUITY</t>
  </si>
  <si>
    <t>Bangkok Commercial Asset Man</t>
  </si>
  <si>
    <t>SAWAD TB EQUITY</t>
  </si>
  <si>
    <t>Srisawad Corp Pcl</t>
  </si>
  <si>
    <t>JASIF TB EQUITY</t>
  </si>
  <si>
    <t>Jasmine Broadband Internet I</t>
  </si>
  <si>
    <t>TISCO TB EQUITY</t>
  </si>
  <si>
    <t>Tisco Financial Group Pcl</t>
  </si>
  <si>
    <t>CPNREIT TB EQUITY</t>
  </si>
  <si>
    <t>Cpn Retail Growth Leasehold</t>
  </si>
  <si>
    <t>TTW TB EQUITY</t>
  </si>
  <si>
    <t>Ttw Pcl</t>
  </si>
  <si>
    <t>VGI TB EQUITY</t>
  </si>
  <si>
    <t>Vgi Pcl</t>
  </si>
  <si>
    <t>TFFIF TB EQUITY</t>
  </si>
  <si>
    <t>Thailand Future Fund</t>
  </si>
  <si>
    <t>STARK TB EQUITY</t>
  </si>
  <si>
    <t>Stark Corp Pcl</t>
  </si>
  <si>
    <t>DELTA TB EQUITY</t>
  </si>
  <si>
    <t>Delta Electronics Thai Pcl</t>
  </si>
  <si>
    <t>IRPC TB EQUITY</t>
  </si>
  <si>
    <t>Irpc Pcl</t>
  </si>
  <si>
    <t>BTSGIF TB EQUITY</t>
  </si>
  <si>
    <t>Bts Rail Mass Transit G Fund</t>
  </si>
  <si>
    <t>M TB EQUITY</t>
  </si>
  <si>
    <t>Mk Restaurants Group Pcl</t>
  </si>
  <si>
    <t>SVH TB EQUITY</t>
  </si>
  <si>
    <t>Samitivej Public Co Ltd</t>
  </si>
  <si>
    <t>GLOBAL TB EQUITY</t>
  </si>
  <si>
    <t>Siam Global House Pcl</t>
  </si>
  <si>
    <t>SPI TB EQUITY</t>
  </si>
  <si>
    <t>Saha Pathana Inter-Holding</t>
  </si>
  <si>
    <t>TCAP TB EQUITY</t>
  </si>
  <si>
    <t>Thanachart Capital Pcl</t>
  </si>
  <si>
    <t>JAS TB EQUITY</t>
  </si>
  <si>
    <t>Jasmine Intl Public Co Ltd</t>
  </si>
  <si>
    <t>FTREIT TB EQUITY</t>
  </si>
  <si>
    <t>Frasers Property Thailand In</t>
  </si>
  <si>
    <t>BPP TB EQUITY</t>
  </si>
  <si>
    <t>Banpu Power Pcl</t>
  </si>
  <si>
    <t>SCCC TB EQUITY</t>
  </si>
  <si>
    <t>Siam City Cement Pub Co Ltd</t>
  </si>
  <si>
    <t>TLGF TB EQUITY</t>
  </si>
  <si>
    <t>Tesco Lotus Retail Growth Fr</t>
  </si>
  <si>
    <t>RAM TB EQUITY</t>
  </si>
  <si>
    <t>Ramkhamhaeng Hospital Pub Co</t>
  </si>
  <si>
    <t>WHA TB EQUITY</t>
  </si>
  <si>
    <t>Wha Corp Pcl</t>
  </si>
  <si>
    <t>KKP TB EQUITY</t>
  </si>
  <si>
    <t>Kiatnakin Bank Pcl</t>
  </si>
  <si>
    <t>WHART TB EQUITY</t>
  </si>
  <si>
    <t>Wha Premium Growth Freehold</t>
  </si>
  <si>
    <t>PB TB EQUITY</t>
  </si>
  <si>
    <t>President Bakery Pcl</t>
  </si>
  <si>
    <t>BCH TB EQUITY</t>
  </si>
  <si>
    <t>Bangkok Chain Hospital Pcl</t>
  </si>
  <si>
    <t>SPALI TB EQUITY</t>
  </si>
  <si>
    <t>Supalai Public Company Ltd</t>
  </si>
  <si>
    <t>BANPU TB EQUITY</t>
  </si>
  <si>
    <t>Banpu Public Co Ltd</t>
  </si>
  <si>
    <t>TASCO TB EQUITY</t>
  </si>
  <si>
    <t>Tipco Asphalt Pub Co Ltd</t>
  </si>
  <si>
    <t>SEG TB EQUITY</t>
  </si>
  <si>
    <t>Thai Group Holdings Plc</t>
  </si>
  <si>
    <t>ACE TB EQUITY</t>
  </si>
  <si>
    <t>Absolute Clean Energy Pcl</t>
  </si>
  <si>
    <t>CK TB EQUITY</t>
  </si>
  <si>
    <t>Ch. Karnchang Public Co Ltd</t>
  </si>
  <si>
    <t>TPIPP TB EQUITY</t>
  </si>
  <si>
    <t>Tpi Polene Power Pcl</t>
  </si>
  <si>
    <t>AEONTS TB EQUITY</t>
  </si>
  <si>
    <t>Aeon Thana Sinsap Thailand</t>
  </si>
  <si>
    <t>BCPG TB EQUITY</t>
  </si>
  <si>
    <t>Bcpg Pcl</t>
  </si>
  <si>
    <t>CKP TB EQUITY</t>
  </si>
  <si>
    <t>Ck Power Pcl</t>
  </si>
  <si>
    <t>CHG TB EQUITY</t>
  </si>
  <si>
    <t>Chularat Hospital Pcl</t>
  </si>
  <si>
    <t>BKI TB EQUITY</t>
  </si>
  <si>
    <t>Bangkok Insurance Pcl</t>
  </si>
  <si>
    <t>EGATIF TB EQUITY</t>
  </si>
  <si>
    <t>North Bangkok Power Plant Bl</t>
  </si>
  <si>
    <t>MBK TB EQUITY</t>
  </si>
  <si>
    <t>Mbk Pcl</t>
  </si>
  <si>
    <t>IMPACT TB EQUITY</t>
  </si>
  <si>
    <t>Impact Growth Real Estate In</t>
  </si>
  <si>
    <t>TPIPL TB EQUITY</t>
  </si>
  <si>
    <t>Tpi Polene Public Co Ltd</t>
  </si>
  <si>
    <t>BLA TB EQUITY</t>
  </si>
  <si>
    <t>Bangkok Life Assurance Pcl</t>
  </si>
  <si>
    <t>PSH TB EQUITY</t>
  </si>
  <si>
    <t>Pruksa Holding Pcl</t>
  </si>
  <si>
    <t>VNT TB EQUITY</t>
  </si>
  <si>
    <t>Vinythai Public Co Limited</t>
  </si>
  <si>
    <t>BCP TB EQUITY</t>
  </si>
  <si>
    <t>Bangchak Corp Pcl</t>
  </si>
  <si>
    <t>TQM TB EQUITY</t>
  </si>
  <si>
    <t>Tqm Corp Pcl</t>
  </si>
  <si>
    <t>CENTEL TB EQUITY</t>
  </si>
  <si>
    <t>Central Plaza Hotel Pcl</t>
  </si>
  <si>
    <t>QH TB EQUITY</t>
  </si>
  <si>
    <t>Quality Houses Pub Co Ltd</t>
  </si>
  <si>
    <t>MEGA TB EQUITY</t>
  </si>
  <si>
    <t>Mega Lifesciences Pcl</t>
  </si>
  <si>
    <t>SPRC TB EQUITY</t>
  </si>
  <si>
    <t>Star Petroleum Refining Pcl</t>
  </si>
  <si>
    <t>GUNKUL TB EQUITY</t>
  </si>
  <si>
    <t>Gunkul Engineering Pcl</t>
  </si>
  <si>
    <t>LHFG TB EQUITY</t>
  </si>
  <si>
    <t>Lh Financial Group Pcl</t>
  </si>
  <si>
    <t>COM7 TB EQUITY</t>
  </si>
  <si>
    <t>Com7 Pcl</t>
  </si>
  <si>
    <t>VIBHA TB EQUITY</t>
  </si>
  <si>
    <t>Vibhavadi Medical Center Pcl</t>
  </si>
  <si>
    <t>GOLD TB EQUITY</t>
  </si>
  <si>
    <t>Golden Land Prop Dvlp Pcl</t>
  </si>
  <si>
    <t>TVO TB EQUITY</t>
  </si>
  <si>
    <t>Thai Vegetable Oil Pcl</t>
  </si>
  <si>
    <t>STEC TB EQUITY</t>
  </si>
  <si>
    <t>Sino Thai Engr &amp; Constr Pcl</t>
  </si>
  <si>
    <t>HANA TB EQUITY</t>
  </si>
  <si>
    <t>Hana Microelectronics Pcl</t>
  </si>
  <si>
    <t>FPT TB EQUITY</t>
  </si>
  <si>
    <t>Frasers Property Thailand Pc</t>
  </si>
  <si>
    <t>CIMBT TB EQUITY</t>
  </si>
  <si>
    <t>Cimb Thai Bank Pcl</t>
  </si>
  <si>
    <t>TFG TB EQUITY</t>
  </si>
  <si>
    <t>Thaifoods Group Pcl</t>
  </si>
  <si>
    <t>STA TB EQUITY</t>
  </si>
  <si>
    <t>Sri Trang Agro-Industry Pcl</t>
  </si>
  <si>
    <t>THG TB EQUITY</t>
  </si>
  <si>
    <t>Thonburi Healthcare Group Pc</t>
  </si>
  <si>
    <t>PTG TB EQUITY</t>
  </si>
  <si>
    <t>Ptg Energy Pcl</t>
  </si>
  <si>
    <t>KCE TB EQUITY</t>
  </si>
  <si>
    <t>Kce Electronics Pub Co Ltd</t>
  </si>
  <si>
    <t>WHAUP TB EQUITY</t>
  </si>
  <si>
    <t>Wha Utilities And Power Pcl</t>
  </si>
  <si>
    <t>EASTW TB EQUITY</t>
  </si>
  <si>
    <t>Eastern Water Resources Dev</t>
  </si>
  <si>
    <t>THANI TB EQUITY</t>
  </si>
  <si>
    <t>Ratchthani Leasing Pcl</t>
  </si>
  <si>
    <t>SPC TB EQUITY</t>
  </si>
  <si>
    <t>Saha Pathanapibul Pub Co Ltd</t>
  </si>
  <si>
    <t>GLAND TB EQUITY</t>
  </si>
  <si>
    <t>Grand Canal Land Pcl</t>
  </si>
  <si>
    <t>SGP TB EQUITY</t>
  </si>
  <si>
    <t>Siamgas &amp; Petrochemicals Pcl</t>
  </si>
  <si>
    <t>BLAND TB EQUITY</t>
  </si>
  <si>
    <t>Bangkok Land Public Co Ltd</t>
  </si>
  <si>
    <t>SPCG TB EQUITY</t>
  </si>
  <si>
    <t>Spcg Pcl</t>
  </si>
  <si>
    <t>ESSO TB EQUITY</t>
  </si>
  <si>
    <t>Esso Thailand Pcl</t>
  </si>
  <si>
    <t>BFIT TB EQUITY</t>
  </si>
  <si>
    <t>Srisawad Finance Pcl</t>
  </si>
  <si>
    <t>OISHI TB EQUITY</t>
  </si>
  <si>
    <t>Oishi Group Pcl</t>
  </si>
  <si>
    <t>BCT TB EQUITY</t>
  </si>
  <si>
    <t>Birla Carbon Thailand Plc</t>
  </si>
  <si>
    <t>MAJOR TB EQUITY</t>
  </si>
  <si>
    <t>Major Cineplex Group Pcl</t>
  </si>
  <si>
    <t>AP TB EQUITY</t>
  </si>
  <si>
    <t>Ap Thailand Pcl</t>
  </si>
  <si>
    <t>BAFS TB EQUITY</t>
  </si>
  <si>
    <t>Bangkok Aviation Fuel Servic</t>
  </si>
  <si>
    <t>SPF TB EQUITY</t>
  </si>
  <si>
    <t>Samui Airport Property Fund</t>
  </si>
  <si>
    <t>JMT TB EQUITY</t>
  </si>
  <si>
    <t>Jmt Network Services Pcl</t>
  </si>
  <si>
    <t>AYUD TB EQUITY</t>
  </si>
  <si>
    <t>Allianz Ayudhya Capital Pcl</t>
  </si>
  <si>
    <t>TIP TB EQUITY</t>
  </si>
  <si>
    <t>Dhipaya Insurance Pub Co Ltd</t>
  </si>
  <si>
    <t>PLANB TB EQUITY</t>
  </si>
  <si>
    <t>Plan B Media Pcl</t>
  </si>
  <si>
    <t>GFPT TB EQUITY</t>
  </si>
  <si>
    <t>Gfpt Public Co Ltd</t>
  </si>
  <si>
    <t>KTIS TB EQUITY</t>
  </si>
  <si>
    <t>Kaset Thai International Sug</t>
  </si>
  <si>
    <t>GVREIT TB EQUITY</t>
  </si>
  <si>
    <t>Golden Ventures Leasehold Re</t>
  </si>
  <si>
    <t>ICC TB EQUITY</t>
  </si>
  <si>
    <t>Icc International Pcl</t>
  </si>
  <si>
    <t>AMATA TB EQUITY</t>
  </si>
  <si>
    <t>Amata Corp Public Co Ltd</t>
  </si>
  <si>
    <t>SUC TB EQUITY</t>
  </si>
  <si>
    <t>Saha-Union Corp Pcl</t>
  </si>
  <si>
    <t>TCCC TB EQUITY</t>
  </si>
  <si>
    <t>Thai Central Chemical Pub Co</t>
  </si>
  <si>
    <t>PRM TB EQUITY</t>
  </si>
  <si>
    <t>Prima Marine Pcl</t>
  </si>
  <si>
    <t>DOHOME TB EQUITY</t>
  </si>
  <si>
    <t>Dohome Pcl</t>
  </si>
  <si>
    <t>CPTGF TB EQUITY</t>
  </si>
  <si>
    <t>Cp Tower Growth Leasehold Pr</t>
  </si>
  <si>
    <t>EPG TB EQUITY</t>
  </si>
  <si>
    <t>Eastern Polymer Group Pcl</t>
  </si>
  <si>
    <t>STANLY TB EQUITY</t>
  </si>
  <si>
    <t>Thai Stanley Electric Pub Co</t>
  </si>
  <si>
    <t>PRINC TB EQUITY</t>
  </si>
  <si>
    <t>Principal Capital Pcl</t>
  </si>
  <si>
    <t>DCC TB EQUITY</t>
  </si>
  <si>
    <t>Dynasty Ceramic Pub Co Ltd</t>
  </si>
  <si>
    <t>SUPER TB EQUITY</t>
  </si>
  <si>
    <t>Super Energy Corp Pcl</t>
  </si>
  <si>
    <t>SKR TB EQUITY</t>
  </si>
  <si>
    <t>Sikarin Public Co Ltd</t>
  </si>
  <si>
    <t>FUTUREPF TB EQUITY</t>
  </si>
  <si>
    <t>Future Park Leasehold Prop F</t>
  </si>
  <si>
    <t>RS TB EQUITY</t>
  </si>
  <si>
    <t>Rs Pcl</t>
  </si>
  <si>
    <t>SHANG TB EQUITY</t>
  </si>
  <si>
    <t>Shangri-La Hotel Pcl</t>
  </si>
  <si>
    <t>PTL TB EQUITY</t>
  </si>
  <si>
    <t>Polyplex Pcl</t>
  </si>
  <si>
    <t>S TB EQUITY</t>
  </si>
  <si>
    <t>Singha Estate Pcl</t>
  </si>
  <si>
    <t>BA TB EQUITY</t>
  </si>
  <si>
    <t>Bangkok Airways Pcl</t>
  </si>
  <si>
    <t>ORI TB EQUITY</t>
  </si>
  <si>
    <t>Origin Property Pcl</t>
  </si>
  <si>
    <t>SIRI TB EQUITY</t>
  </si>
  <si>
    <t>Sansiri Public Co Ltd</t>
  </si>
  <si>
    <t>SF TB EQUITY</t>
  </si>
  <si>
    <t>Siam Future Development Pcl</t>
  </si>
  <si>
    <t>QHPF TB EQUITY</t>
  </si>
  <si>
    <t>Quality Houses Leasehold Pro</t>
  </si>
  <si>
    <t>TPRIME TB EQUITY</t>
  </si>
  <si>
    <t>Thailand Prime Property Free</t>
  </si>
  <si>
    <t>SAUCE TB EQUITY</t>
  </si>
  <si>
    <t>Thaitheparos Pcl</t>
  </si>
  <si>
    <t>SSC TB EQUITY</t>
  </si>
  <si>
    <t>Sermsuk Pcl</t>
  </si>
  <si>
    <t>SC TB EQUITY</t>
  </si>
  <si>
    <t>Sc Asset Corp Pcl</t>
  </si>
  <si>
    <t>COL TB EQUITY</t>
  </si>
  <si>
    <t>Col Pcl</t>
  </si>
  <si>
    <t>KGI TB EQUITY</t>
  </si>
  <si>
    <t>Kgi Securities Thailand Pcl</t>
  </si>
  <si>
    <t>ROJNA TB EQUITY</t>
  </si>
  <si>
    <t>Rojana Indus Park Pub Co Ltd</t>
  </si>
  <si>
    <t>THAI TB EQUITY</t>
  </si>
  <si>
    <t>Thai Airways International</t>
  </si>
  <si>
    <t>BOFFICE TB EQUITY</t>
  </si>
  <si>
    <t>Bhiraj Office Leasehold Reit</t>
  </si>
  <si>
    <t>TKN TB EQUITY</t>
  </si>
  <si>
    <t>Taokaenoi Food &amp; Marketing P</t>
  </si>
  <si>
    <t>PCSGH TB EQUITY</t>
  </si>
  <si>
    <t>Pcs Machine Group Holding Pc</t>
  </si>
  <si>
    <t>SISB TB EQUITY</t>
  </si>
  <si>
    <t>Sisb Pcl</t>
  </si>
  <si>
    <t>RBF TB EQUITY</t>
  </si>
  <si>
    <t>R&amp;B Food Supply Pcl</t>
  </si>
  <si>
    <t>BEC TB EQUITY</t>
  </si>
  <si>
    <t>Bec World Public Co Ltd</t>
  </si>
  <si>
    <t>KSL TB EQUITY</t>
  </si>
  <si>
    <t>Khon Kaen Sugar Industry Pcl</t>
  </si>
  <si>
    <t>NTV TB EQUITY</t>
  </si>
  <si>
    <t>Nonthavej Hospital Pub Co</t>
  </si>
  <si>
    <t>PRG TB EQUITY</t>
  </si>
  <si>
    <t>Patum Rice Mill &amp;Granary Pcl</t>
  </si>
  <si>
    <t>CCET TB EQUITY</t>
  </si>
  <si>
    <t>Cal-Comp Electronics Thailan</t>
  </si>
  <si>
    <t>LHHOTEL TB EQUITY</t>
  </si>
  <si>
    <t>Lh Hotel Leasehold Reit</t>
  </si>
  <si>
    <t>DTC TB EQUITY</t>
  </si>
  <si>
    <t>Dusit Thani Public Co Ltd</t>
  </si>
  <si>
    <t>LHSC TB EQUITY</t>
  </si>
  <si>
    <t>Lh Shopping Centers Leasehol</t>
  </si>
  <si>
    <t>ERW TB EQUITY</t>
  </si>
  <si>
    <t>Erawan Group Pcl/The</t>
  </si>
  <si>
    <t>GRAMMY TB EQUITY</t>
  </si>
  <si>
    <t>Gmm Grammy Pcl</t>
  </si>
  <si>
    <t>PLAT TB EQUITY</t>
  </si>
  <si>
    <t>Platinum Group Pcl/The</t>
  </si>
  <si>
    <t>WACOAL TB EQUITY</t>
  </si>
  <si>
    <t>Thai Wacoal Public Co Ltd</t>
  </si>
  <si>
    <t>RJH TB EQUITY</t>
  </si>
  <si>
    <t>Rajthanee Hospital Pcl</t>
  </si>
  <si>
    <t>SABINA TB EQUITY</t>
  </si>
  <si>
    <t>Sabina Pcl</t>
  </si>
  <si>
    <t>SMK TB EQUITY</t>
  </si>
  <si>
    <t>Syn Mun Kong Insurance Pcl</t>
  </si>
  <si>
    <t>GGC TB EQUITY</t>
  </si>
  <si>
    <t>Global Green Chemicals Pcl</t>
  </si>
  <si>
    <t>ASK TB EQUITY</t>
  </si>
  <si>
    <t>Asia Sermkij Leasing Pcl</t>
  </si>
  <si>
    <t>STPI TB EQUITY</t>
  </si>
  <si>
    <t>Stp &amp; I Public Co Ltd</t>
  </si>
  <si>
    <t>CMR TB EQUITY</t>
  </si>
  <si>
    <t>Chiang Mai Ram Medical Busin</t>
  </si>
  <si>
    <t>SSP TB EQUITY</t>
  </si>
  <si>
    <t>Sermsang Power Corp Co Ltd</t>
  </si>
  <si>
    <t>BKER TB EQUITY</t>
  </si>
  <si>
    <t>Bualuang K.E. Retail Leaseho</t>
  </si>
  <si>
    <t>SHR TB EQUITY</t>
  </si>
  <si>
    <t>S Hotels &amp; Resorts Pcl</t>
  </si>
  <si>
    <t>MC TB EQUITY</t>
  </si>
  <si>
    <t>Mc Group Pcl</t>
  </si>
  <si>
    <t>ICHI TB EQUITY</t>
  </si>
  <si>
    <t>Ichitan Group Pcl</t>
  </si>
  <si>
    <t>BGC TB EQUITY</t>
  </si>
  <si>
    <t>Bg Container Glass Pcl</t>
  </si>
  <si>
    <t>AAV TB EQUITY</t>
  </si>
  <si>
    <t>Asia Aviation Pcl</t>
  </si>
  <si>
    <t>OHTL TB EQUITY</t>
  </si>
  <si>
    <t>Ohtl Pcl</t>
  </si>
  <si>
    <t>MONO TB EQUITY</t>
  </si>
  <si>
    <t>Mono Technology Co Ltd</t>
  </si>
  <si>
    <t>JWD TB EQUITY</t>
  </si>
  <si>
    <t>Jwd Infologistics Pcl</t>
  </si>
  <si>
    <t>ALUCON TB EQUITY</t>
  </si>
  <si>
    <t>Alucon Public Co Ltd</t>
  </si>
  <si>
    <t>SNP TB EQUITY</t>
  </si>
  <si>
    <t>S&amp;P Syndicate Pcl</t>
  </si>
  <si>
    <t>CGD TB EQUITY</t>
  </si>
  <si>
    <t>Country Group Development Pc</t>
  </si>
  <si>
    <t>LRH TB EQUITY</t>
  </si>
  <si>
    <t>Laguna Resorts &amp; Hotels Pcl</t>
  </si>
  <si>
    <t>FORTH TB EQUITY</t>
  </si>
  <si>
    <t>Forth Corp Pcl</t>
  </si>
  <si>
    <t>NOBLE TB EQUITY</t>
  </si>
  <si>
    <t>Noble Development Pcl</t>
  </si>
  <si>
    <t>PR9 TB EQUITY</t>
  </si>
  <si>
    <t>Praram 9 Hospital Pcl</t>
  </si>
  <si>
    <t>SUPEREIF TB EQUITY</t>
  </si>
  <si>
    <t>Super Energy Power Plant Inf</t>
  </si>
  <si>
    <t>HREIT TB EQUITY</t>
  </si>
  <si>
    <t>Hemaraj Leasehold Reit</t>
  </si>
  <si>
    <t>A TB EQUITY</t>
  </si>
  <si>
    <t>Areeya Property Pcl</t>
  </si>
  <si>
    <t>SAPPE TB EQUITY</t>
  </si>
  <si>
    <t>Sappe Pcl</t>
  </si>
  <si>
    <t>BAT3K TB EQUITY</t>
  </si>
  <si>
    <t>Hitachi Chemical Storage Bat</t>
  </si>
  <si>
    <t>DRT TB EQUITY</t>
  </si>
  <si>
    <t>Diamond Building Products Pc</t>
  </si>
  <si>
    <t>LPN TB EQUITY</t>
  </si>
  <si>
    <t>Lpn Development Pcl</t>
  </si>
  <si>
    <t>KYE TB EQUITY</t>
  </si>
  <si>
    <t>Kang Yong Electric Pub Co</t>
  </si>
  <si>
    <t>SAMART TB EQUITY</t>
  </si>
  <si>
    <t>Samart Corporation Pub Co</t>
  </si>
  <si>
    <t>COTTO TB EQUITY</t>
  </si>
  <si>
    <t>Scg Ceramics Pcl</t>
  </si>
  <si>
    <t>JMART TB EQUITY</t>
  </si>
  <si>
    <t>Jaymart Pcl</t>
  </si>
  <si>
    <t>UTP TB EQUITY</t>
  </si>
  <si>
    <t>United Paper Pcl</t>
  </si>
  <si>
    <t>POPF TB EQUITY</t>
  </si>
  <si>
    <t>Prime Office Leasehold Prop</t>
  </si>
  <si>
    <t>SPRIME TB EQUITY</t>
  </si>
  <si>
    <t>S Prime Growth Leasehold Rea</t>
  </si>
  <si>
    <t>UV TB EQUITY</t>
  </si>
  <si>
    <t>Univentures Public Co Ltd</t>
  </si>
  <si>
    <t>TSE TB EQUITY</t>
  </si>
  <si>
    <t>Thai Solar Energy Pcl</t>
  </si>
  <si>
    <t>MCOT TB EQUITY</t>
  </si>
  <si>
    <t>Mcot Pcl</t>
  </si>
  <si>
    <t>UNIQ TB EQUITY</t>
  </si>
  <si>
    <t>Unique Engineering &amp; Con Pcl</t>
  </si>
  <si>
    <t>SPG TB EQUITY</t>
  </si>
  <si>
    <t>Siam Pan Group Public Co Ltd</t>
  </si>
  <si>
    <t>SVI TB EQUITY</t>
  </si>
  <si>
    <t>Svi Pcl</t>
  </si>
  <si>
    <t>TR TB EQUITY</t>
  </si>
  <si>
    <t>Thai Rayon Public Co Ltd</t>
  </si>
  <si>
    <t>U TB EQUITY</t>
  </si>
  <si>
    <t>U City Pcl</t>
  </si>
  <si>
    <t>MTI TB EQUITY</t>
  </si>
  <si>
    <t>Muang Thai Insurance Pcl</t>
  </si>
  <si>
    <t>CPNCG TB EQUITY</t>
  </si>
  <si>
    <t>Cpn Commercial Growth Leaseh</t>
  </si>
  <si>
    <t>PSL TB EQUITY</t>
  </si>
  <si>
    <t>Precious Shipping Pcl</t>
  </si>
  <si>
    <t>ITD TB EQUITY</t>
  </si>
  <si>
    <t>Italian-Thai Development Pcl</t>
  </si>
  <si>
    <t>GL TB EQUITY</t>
  </si>
  <si>
    <t>Group Lease Public Co Ltd</t>
  </si>
  <si>
    <t>ANAN TB EQUITY</t>
  </si>
  <si>
    <t>Ananda Development Pcl</t>
  </si>
  <si>
    <t>PRIME TB EQUITY</t>
  </si>
  <si>
    <t>Prime Road Power Pcl</t>
  </si>
  <si>
    <t>SCG TB EQUITY</t>
  </si>
  <si>
    <t>Sahacogen (Chonburi) Pcl</t>
  </si>
  <si>
    <t>HUMAN TB EQUITY</t>
  </si>
  <si>
    <t>Humanica Pcl</t>
  </si>
  <si>
    <t>B-WORK TB EQUITY</t>
  </si>
  <si>
    <t>Bualuang Office Leasehold Re</t>
  </si>
  <si>
    <t>ILM TB EQUITY</t>
  </si>
  <si>
    <t>Index Livingmall Pcl</t>
  </si>
  <si>
    <t>TTLPF TB EQUITY</t>
  </si>
  <si>
    <t>Talaad Thai Leasehold</t>
  </si>
  <si>
    <t>AMATAR TB EQUITY</t>
  </si>
  <si>
    <t>Amata Summit Growth Freehold</t>
  </si>
  <si>
    <t>BEAUTY TB EQUITY</t>
  </si>
  <si>
    <t>Beauty Community Pcl</t>
  </si>
  <si>
    <t>LST TB EQUITY</t>
  </si>
  <si>
    <t>Lam Soon (Thailand) Pcl</t>
  </si>
  <si>
    <t>UVAN TB EQUITY</t>
  </si>
  <si>
    <t>Univanich Palm Oil Pcl</t>
  </si>
  <si>
    <t>TTA TB EQUITY</t>
  </si>
  <si>
    <t>Thoresen Thai Agencies Pcl</t>
  </si>
  <si>
    <t>LALIN TB EQUITY</t>
  </si>
  <si>
    <t>Lalin Property Pcl</t>
  </si>
  <si>
    <t>AMATAV TB EQUITY</t>
  </si>
  <si>
    <t>Amata Vn Pcl</t>
  </si>
  <si>
    <t>DDD TB EQUITY</t>
  </si>
  <si>
    <t>Do Day Dream Pcl</t>
  </si>
  <si>
    <t>AIT TB EQUITY</t>
  </si>
  <si>
    <t>Advanced Information Technol</t>
  </si>
  <si>
    <t>TK TB EQUITY</t>
  </si>
  <si>
    <t>Thitikorn Pcl</t>
  </si>
  <si>
    <t>HTC TB EQUITY</t>
  </si>
  <si>
    <t>Haad Thip Public Co Ltd</t>
  </si>
  <si>
    <t>VNG TB EQUITY</t>
  </si>
  <si>
    <t>Vanachai Group Pub Co Ltd</t>
  </si>
  <si>
    <t>MCS TB EQUITY</t>
  </si>
  <si>
    <t>M.C.S. Steel Pcl</t>
  </si>
  <si>
    <t>SYNEX TB EQUITY</t>
  </si>
  <si>
    <t>Synnex Thailand Pcl</t>
  </si>
  <si>
    <t>SNJ TB EQUITY</t>
  </si>
  <si>
    <t>S &amp; J Intl Enterprises Pcl</t>
  </si>
  <si>
    <t>NYT TB EQUITY</t>
  </si>
  <si>
    <t>Namyong Terminal Pcl</t>
  </si>
  <si>
    <t>SAT TB EQUITY</t>
  </si>
  <si>
    <t>Somboon Advance Technology P</t>
  </si>
  <si>
    <t>ROH TB EQUITY</t>
  </si>
  <si>
    <t>Royal Orchid Hotel</t>
  </si>
  <si>
    <t>PF TB EQUITY</t>
  </si>
  <si>
    <t>Property Perfect Pub Co Ltd</t>
  </si>
  <si>
    <t>TMD TB EQUITY</t>
  </si>
  <si>
    <t>Thai Metal Drum Pub Co Ltd</t>
  </si>
  <si>
    <t>SAMTEL TB EQUITY</t>
  </si>
  <si>
    <t>Samart Telcoms Pub Co Ltd</t>
  </si>
  <si>
    <t>INOX TB EQUITY</t>
  </si>
  <si>
    <t>Posco-Thainox Pcl</t>
  </si>
  <si>
    <t>AJ TB EQUITY</t>
  </si>
  <si>
    <t>A.J. Plast Public Co Ltd</t>
  </si>
  <si>
    <t>TMT TB EQUITY</t>
  </si>
  <si>
    <t>Tmt Steel Pcl</t>
  </si>
  <si>
    <t>PM TB EQUITY</t>
  </si>
  <si>
    <t>Premier Marketing Pcl</t>
  </si>
  <si>
    <t>AMARIN TB EQUITY</t>
  </si>
  <si>
    <t>Amarin Printing &amp; Publishing</t>
  </si>
  <si>
    <t>CGH TB EQUITY</t>
  </si>
  <si>
    <t>Country Group Holdings Pcl</t>
  </si>
  <si>
    <t>VIH TB EQUITY</t>
  </si>
  <si>
    <t>Srivichai Vejvivat Pcl</t>
  </si>
  <si>
    <t>WORK TB EQUITY</t>
  </si>
  <si>
    <t>Workpoint Entertainment Pcl</t>
  </si>
  <si>
    <t>NOK TB EQUITY</t>
  </si>
  <si>
    <t>Nok Airlines Pcl</t>
  </si>
  <si>
    <t>TSTE TB EQUITY</t>
  </si>
  <si>
    <t>Thai Sugar Terminal Pcl</t>
  </si>
  <si>
    <t>SEAFCO TB EQUITY</t>
  </si>
  <si>
    <t>Seafco Pcl</t>
  </si>
  <si>
    <t>NNCL TB EQUITY</t>
  </si>
  <si>
    <t>Navanakorn Pcl</t>
  </si>
  <si>
    <t>S11 TB EQUITY</t>
  </si>
  <si>
    <t>S 11 Group Pcl</t>
  </si>
  <si>
    <t>MACO TB EQUITY</t>
  </si>
  <si>
    <t>Master Ad Pcl</t>
  </si>
  <si>
    <t>SENA TB EQUITY</t>
  </si>
  <si>
    <t>Sena Development Pcl</t>
  </si>
  <si>
    <t>NER TB EQUITY</t>
  </si>
  <si>
    <t>Northeast Rubber Pcl</t>
  </si>
  <si>
    <t>LANNA TB EQUITY</t>
  </si>
  <si>
    <t>Lanna Resources Pcl</t>
  </si>
  <si>
    <t>METCO TB EQUITY</t>
  </si>
  <si>
    <t>Muramoto Electron Thai Pcl</t>
  </si>
  <si>
    <t>MK TB EQUITY</t>
  </si>
  <si>
    <t>Mk Real Estate Devlp Pub Co</t>
  </si>
  <si>
    <t>BJCHI TB EQUITY</t>
  </si>
  <si>
    <t>Bjc Heavy Industries Pcl</t>
  </si>
  <si>
    <t>ASP TB EQUITY</t>
  </si>
  <si>
    <t>Asia Plus Group Holdings Pcl</t>
  </si>
  <si>
    <t>MILL TB EQUITY</t>
  </si>
  <si>
    <t>Millcon Steel Pcl</t>
  </si>
  <si>
    <t>RPH TB EQUITY</t>
  </si>
  <si>
    <t>Ratchaphruek Hospital Pcl</t>
  </si>
  <si>
    <t>SFP TB EQUITY</t>
  </si>
  <si>
    <t>Siam Food Products Pub Co</t>
  </si>
  <si>
    <t>PPF TB EQUITY</t>
  </si>
  <si>
    <t>Pinthong Industrial Park Pro</t>
  </si>
  <si>
    <t>THCOM TB EQUITY</t>
  </si>
  <si>
    <t>Thaicom Pcl</t>
  </si>
  <si>
    <t>III TB EQUITY</t>
  </si>
  <si>
    <t>Triple I Logistics Pcl</t>
  </si>
  <si>
    <t>APCS TB EQUITY</t>
  </si>
  <si>
    <t>Asia Precision Pcl</t>
  </si>
  <si>
    <t>EPCO TB EQUITY</t>
  </si>
  <si>
    <t>Eastern Printing Pub Co Ltd</t>
  </si>
  <si>
    <t>WG TB EQUITY</t>
  </si>
  <si>
    <t>White Group Public Co Ltd</t>
  </si>
  <si>
    <t>MBKET TB EQUITY</t>
  </si>
  <si>
    <t>Maybank Kim Eng Securities T</t>
  </si>
  <si>
    <t>AI TB EQUITY</t>
  </si>
  <si>
    <t>Asian Insulators Pcl</t>
  </si>
  <si>
    <t>TWPC TB EQUITY</t>
  </si>
  <si>
    <t>Thai Wah Pcl</t>
  </si>
  <si>
    <t>MJLF TB EQUITY</t>
  </si>
  <si>
    <t>Maj Cineplex Ls Lease Prop F</t>
  </si>
  <si>
    <t>EKH TB EQUITY</t>
  </si>
  <si>
    <t>Ekachai Medical Care Pcl</t>
  </si>
  <si>
    <t>PYLON TB EQUITY</t>
  </si>
  <si>
    <t>Pylon Pcl</t>
  </si>
  <si>
    <t>LOXLEY TB EQUITY</t>
  </si>
  <si>
    <t>Loxley Public Company Ltd</t>
  </si>
  <si>
    <t>TSC TB EQUITY</t>
  </si>
  <si>
    <t>Thai Steel Cable Pcl</t>
  </si>
  <si>
    <t>TRU TB EQUITY</t>
  </si>
  <si>
    <t>Thairung Union Car Pub Co</t>
  </si>
  <si>
    <t>QHHR TB EQUITY</t>
  </si>
  <si>
    <t>Quality Hses Htl&amp;Res F&amp;L Pro</t>
  </si>
  <si>
    <t>CSC TB EQUITY</t>
  </si>
  <si>
    <t>Crown Seal Public Co Ltd</t>
  </si>
  <si>
    <t>TTT TB EQUITY</t>
  </si>
  <si>
    <t>Toray Textiles Thailand Pcl</t>
  </si>
  <si>
    <t>AH TB EQUITY</t>
  </si>
  <si>
    <t>Aapico Hitech Pcl</t>
  </si>
  <si>
    <t>TAE TB EQUITY</t>
  </si>
  <si>
    <t>Thai Agro Energy Pcl</t>
  </si>
  <si>
    <t>LPH TB EQUITY</t>
  </si>
  <si>
    <t>Ladprao General Hospital Pcl</t>
  </si>
  <si>
    <t>SMPC TB EQUITY</t>
  </si>
  <si>
    <t>Sahamitr Pressure Container</t>
  </si>
  <si>
    <t>NUSA TB EQUITY</t>
  </si>
  <si>
    <t>Nusasiri Pcl</t>
  </si>
  <si>
    <t>AHC TB EQUITY</t>
  </si>
  <si>
    <t>Aikchol Hospital Public Co</t>
  </si>
  <si>
    <t>MCHAI TB EQUITY</t>
  </si>
  <si>
    <t>Mahachai Hospital Pcl</t>
  </si>
  <si>
    <t>BKD TB EQUITY</t>
  </si>
  <si>
    <t>Bangkok Dec-Con Pcl</t>
  </si>
  <si>
    <t>BRRGIF TB EQUITY</t>
  </si>
  <si>
    <t>Buriram Sugar Group Power Pl</t>
  </si>
  <si>
    <t>TIPCO TB EQUITY</t>
  </si>
  <si>
    <t>Tipco Foods Pcl</t>
  </si>
  <si>
    <t>PREB TB EQUITY</t>
  </si>
  <si>
    <t>Pre-Built Pcl</t>
  </si>
  <si>
    <t>SFLEX TB EQUITY</t>
  </si>
  <si>
    <t>Starflex Pcl</t>
  </si>
  <si>
    <t>MIPF TB EQUITY</t>
  </si>
  <si>
    <t>Millionaire Property Fnd</t>
  </si>
  <si>
    <t>SRIPANWA TB EQUITY</t>
  </si>
  <si>
    <t>Sri Panwa Hospitality Reit</t>
  </si>
  <si>
    <t>RCI TB EQUITY</t>
  </si>
  <si>
    <t>Royal Ceramic Industry Pcl</t>
  </si>
  <si>
    <t>SNC TB EQUITY</t>
  </si>
  <si>
    <t>Snc Former Pcl</t>
  </si>
  <si>
    <t>BRR TB EQUITY</t>
  </si>
  <si>
    <t>Buriram Sugar Pcl</t>
  </si>
  <si>
    <t>RML TB EQUITY</t>
  </si>
  <si>
    <t>Raimon Land Public Co Ltd</t>
  </si>
  <si>
    <t>KCAR TB EQUITY</t>
  </si>
  <si>
    <t>Krungthai Car Rent &amp; Lease</t>
  </si>
  <si>
    <t>IRC TB EQUITY</t>
  </si>
  <si>
    <t>Inoue Rubber (Thailand) Pcl</t>
  </si>
  <si>
    <t>APCO TB EQUITY</t>
  </si>
  <si>
    <t>Asian Phytoceuticals Pcl</t>
  </si>
  <si>
    <t>TNL TB EQUITY</t>
  </si>
  <si>
    <t>Thanulux Public Co Ltd</t>
  </si>
  <si>
    <t>SIS TB EQUITY</t>
  </si>
  <si>
    <t>Sis Distribution Thailand Pc</t>
  </si>
  <si>
    <t>NKI TB EQUITY</t>
  </si>
  <si>
    <t>Navakij Insurance Pub Co Ltd</t>
  </si>
  <si>
    <t>ZEN TB EQUITY</t>
  </si>
  <si>
    <t>Zen Corp Group Pcl</t>
  </si>
  <si>
    <t>MFEC TB EQUITY</t>
  </si>
  <si>
    <t>Mfec Public Co Ltd</t>
  </si>
  <si>
    <t>LHPF TB EQUITY</t>
  </si>
  <si>
    <t>Land And Houses Prop Fund</t>
  </si>
  <si>
    <t>ABPIF TB EQUITY</t>
  </si>
  <si>
    <t>Amata B.Grimm Power Plant</t>
  </si>
  <si>
    <t>KAMART TB EQUITY</t>
  </si>
  <si>
    <t>Karmarts Pcl</t>
  </si>
  <si>
    <t>MPIC TB EQUITY</t>
  </si>
  <si>
    <t>M Pictures Entertainment Pcl</t>
  </si>
  <si>
    <t>GRAND TB EQUITY</t>
  </si>
  <si>
    <t>Grande Asset Hotels &amp; Proper</t>
  </si>
  <si>
    <t>AMANAH TB EQUITY</t>
  </si>
  <si>
    <t>Amanah Leasing Pcl</t>
  </si>
  <si>
    <t>TSTH TB EQUITY</t>
  </si>
  <si>
    <t>Tata Steel Thailand Pcl</t>
  </si>
  <si>
    <t>SUSCO TB EQUITY</t>
  </si>
  <si>
    <t>Susco Public Company Limited</t>
  </si>
  <si>
    <t>HPF TB EQUITY</t>
  </si>
  <si>
    <t>Hemraj Industrial Property &amp;</t>
  </si>
  <si>
    <t>QCON TB EQUITY</t>
  </si>
  <si>
    <t>Quality Construction Product</t>
  </si>
  <si>
    <t>MJD TB EQUITY</t>
  </si>
  <si>
    <t>Major Development Pcl</t>
  </si>
  <si>
    <t>TKS TB EQUITY</t>
  </si>
  <si>
    <t>Tks Technologies Pcl</t>
  </si>
  <si>
    <t>LEE TB EQUITY</t>
  </si>
  <si>
    <t>Lee Feed Mill Pub Co Ltd</t>
  </si>
  <si>
    <t>WP TB EQUITY</t>
  </si>
  <si>
    <t>Wp Energy Pcl</t>
  </si>
  <si>
    <t>WHABT TB EQUITY</t>
  </si>
  <si>
    <t>Wha Business Complex</t>
  </si>
  <si>
    <t>JCK TB EQUITY</t>
  </si>
  <si>
    <t>Jck International Pcl</t>
  </si>
  <si>
    <t>THRE TB EQUITY</t>
  </si>
  <si>
    <t>Thai Reinsurance Pub Co Ltd</t>
  </si>
  <si>
    <t>KWC TB EQUITY</t>
  </si>
  <si>
    <t>Krungdhep Sophon Pcl</t>
  </si>
  <si>
    <t>SIRIP TB EQUITY</t>
  </si>
  <si>
    <t>Siri Prime Office Property F</t>
  </si>
  <si>
    <t>CTW TB EQUITY</t>
  </si>
  <si>
    <t>Charoong Thai Wire &amp; Cable</t>
  </si>
  <si>
    <t>CSR TB EQUITY</t>
  </si>
  <si>
    <t>City Sports &amp; Recreation Pub</t>
  </si>
  <si>
    <t>SINGER TB EQUITY</t>
  </si>
  <si>
    <t>Singer Thailand Pub Co Ltd</t>
  </si>
  <si>
    <t>AIMIRT TB EQUITY</t>
  </si>
  <si>
    <t>Aim Industrial Growth Freeho</t>
  </si>
  <si>
    <t>FE TB EQUITY</t>
  </si>
  <si>
    <t>Far East Fame Line Ddb Pcl</t>
  </si>
  <si>
    <t>SYNTEC TB EQUITY</t>
  </si>
  <si>
    <t>Syntec Construction Pcl</t>
  </si>
  <si>
    <t>THIP TB EQUITY</t>
  </si>
  <si>
    <t>Thantawan Industry Public Co</t>
  </si>
  <si>
    <t>SRICHA TB EQUITY</t>
  </si>
  <si>
    <t>Sriracha Construction Pcl</t>
  </si>
  <si>
    <t>TNR TB EQUITY</t>
  </si>
  <si>
    <t>Thai Nippon Rubber Industry</t>
  </si>
  <si>
    <t>SMIT TB EQUITY</t>
  </si>
  <si>
    <t>Sahamit Machinery Pcl</t>
  </si>
  <si>
    <t>MFC TB EQUITY</t>
  </si>
  <si>
    <t>Mfc Asset Management Public</t>
  </si>
  <si>
    <t>PRIN TB EQUITY</t>
  </si>
  <si>
    <t>Prinsiri Pcl</t>
  </si>
  <si>
    <t>ASIAN TB EQUITY</t>
  </si>
  <si>
    <t>Asian Sea Corp Pcl</t>
  </si>
  <si>
    <t>NFC TB EQUITY</t>
  </si>
  <si>
    <t>Nfc Pcl</t>
  </si>
  <si>
    <t>NVD TB EQUITY</t>
  </si>
  <si>
    <t>Nirvana Daii Pcl</t>
  </si>
  <si>
    <t>CTARAF TB EQUITY</t>
  </si>
  <si>
    <t>Centara Hotels &amp; Resorts L/H</t>
  </si>
  <si>
    <t>GJS TB EQUITY</t>
  </si>
  <si>
    <t>G J Steel Pcl</t>
  </si>
  <si>
    <t>DREIT TB EQUITY</t>
  </si>
  <si>
    <t>Dusit Thani Freehold &amp; Lease</t>
  </si>
  <si>
    <t>TTCL TB EQUITY</t>
  </si>
  <si>
    <t>Ttcl Pcl</t>
  </si>
  <si>
    <t>RCL TB EQUITY</t>
  </si>
  <si>
    <t>Regional Container Line Pcl</t>
  </si>
  <si>
    <t>SSF TB EQUITY</t>
  </si>
  <si>
    <t>Surapon Foods Public Co Ltd</t>
  </si>
  <si>
    <t>VRANDA TB EQUITY</t>
  </si>
  <si>
    <t>Veranda Resort Pcl</t>
  </si>
  <si>
    <t>UAC TB EQUITY</t>
  </si>
  <si>
    <t>Uac Global Public Co Ltd</t>
  </si>
  <si>
    <t>GYT TB EQUITY</t>
  </si>
  <si>
    <t>Goodyear Thailand Pcl</t>
  </si>
  <si>
    <t>TLHPF TB EQUITY</t>
  </si>
  <si>
    <t>Thailand Hospitality Propert</t>
  </si>
  <si>
    <t>TOG TB EQUITY</t>
  </si>
  <si>
    <t>Thai Optical Group Pcl</t>
  </si>
  <si>
    <t>HFT TB EQUITY</t>
  </si>
  <si>
    <t>Hwa Fong Rubber Thailand Pcl</t>
  </si>
  <si>
    <t>MODERN TB EQUITY</t>
  </si>
  <si>
    <t>Modernform Group Pub Co Ltd</t>
  </si>
  <si>
    <t>ASEFA TB EQUITY</t>
  </si>
  <si>
    <t>Asefa Pcl</t>
  </si>
  <si>
    <t>AQUA TB EQUITY</t>
  </si>
  <si>
    <t>Aqua Corporation Public Co L</t>
  </si>
  <si>
    <t>TBSP TB EQUITY</t>
  </si>
  <si>
    <t>Tbsp Pcl</t>
  </si>
  <si>
    <t>SCN TB EQUITY</t>
  </si>
  <si>
    <t>Scan Inter Pcl</t>
  </si>
  <si>
    <t>THE TB EQUITY</t>
  </si>
  <si>
    <t>Steel Pcl/ The</t>
  </si>
  <si>
    <t>NEX TB EQUITY</t>
  </si>
  <si>
    <t>Nex Point Parts Pcl</t>
  </si>
  <si>
    <t>MSC TB EQUITY</t>
  </si>
  <si>
    <t>Metro Systems Corp Pcl</t>
  </si>
  <si>
    <t>SORKON TB EQUITY</t>
  </si>
  <si>
    <t>S Khonkaen Foods Pcl</t>
  </si>
  <si>
    <t>KBS TB EQUITY</t>
  </si>
  <si>
    <t>Khonburi Sugar Pcl</t>
  </si>
  <si>
    <t>SST TB EQUITY</t>
  </si>
  <si>
    <t>Sub Sri Thai Pcl</t>
  </si>
  <si>
    <t>SSPF TB EQUITY</t>
  </si>
  <si>
    <t>Sala @ Sathorn Property Fund</t>
  </si>
  <si>
    <t>GAHREIT TB EQUITY</t>
  </si>
  <si>
    <t>Grande Hospitality Reit</t>
  </si>
  <si>
    <t>DCON TB EQUITY</t>
  </si>
  <si>
    <t>Dcon Products Pcl</t>
  </si>
  <si>
    <t>THREL TB EQUITY</t>
  </si>
  <si>
    <t>Thaire Life Assurance Pcl</t>
  </si>
  <si>
    <t>IHL TB EQUITY</t>
  </si>
  <si>
    <t>Interhides Pcl</t>
  </si>
  <si>
    <t>AIMCG TB EQUITY</t>
  </si>
  <si>
    <t>Aim Commercial Growth Freeho</t>
  </si>
  <si>
    <t>SITHAI TB EQUITY</t>
  </si>
  <si>
    <t>Srithai Superware Pub Co Ltd</t>
  </si>
  <si>
    <t>SCP TB EQUITY</t>
  </si>
  <si>
    <t>Southern Concrete Pile Pcl</t>
  </si>
  <si>
    <t>ALT TB EQUITY</t>
  </si>
  <si>
    <t>Alt Telecom Pcl</t>
  </si>
  <si>
    <t>KPNPF TB EQUITY</t>
  </si>
  <si>
    <t>Kpn Tower Property Fund</t>
  </si>
  <si>
    <t>TRITN TB EQUITY</t>
  </si>
  <si>
    <t>Triton Holding Pcl</t>
  </si>
  <si>
    <t>CRANE TB EQUITY</t>
  </si>
  <si>
    <t>Chukai Pcl</t>
  </si>
  <si>
    <t>ASIA TB EQUITY</t>
  </si>
  <si>
    <t>Asia Hotel Public Co Ltd</t>
  </si>
  <si>
    <t>SQ TB EQUITY</t>
  </si>
  <si>
    <t>Sahakol Equipment Pcl</t>
  </si>
  <si>
    <t>LUXF TB EQUITY</t>
  </si>
  <si>
    <t>Luxury Real Estate Inv Fund</t>
  </si>
  <si>
    <t>MII TB EQUITY</t>
  </si>
  <si>
    <t>Mfc Industrial Investmen-Uts</t>
  </si>
  <si>
    <t>TEAMG TB EQUITY</t>
  </si>
  <si>
    <t>Team Consulting Engineering</t>
  </si>
  <si>
    <t>BR TB EQUITY</t>
  </si>
  <si>
    <t>Bangkok Ranch Pcl</t>
  </si>
  <si>
    <t>EE TB EQUITY</t>
  </si>
  <si>
    <t>Eternal Energy Pcl</t>
  </si>
  <si>
    <t>PL TB EQUITY</t>
  </si>
  <si>
    <t>Phatra Leasing Pub Co Ltd</t>
  </si>
  <si>
    <t>SSSC TB EQUITY</t>
  </si>
  <si>
    <t>Siam Steel Service Center</t>
  </si>
  <si>
    <t>ILINK TB EQUITY</t>
  </si>
  <si>
    <t>Interlink Communication Pcl</t>
  </si>
  <si>
    <t>GOLDPF TB EQUITY</t>
  </si>
  <si>
    <t>Gold Property Fund Lease Hld</t>
  </si>
  <si>
    <t>TPCORP TB EQUITY</t>
  </si>
  <si>
    <t>Textile Prestige Pub Co Ltd</t>
  </si>
  <si>
    <t>CWT TB EQUITY</t>
  </si>
  <si>
    <t>Chai Watana Tannery Pub Co</t>
  </si>
  <si>
    <t>KDH TB EQUITY</t>
  </si>
  <si>
    <t>Thonburi Medical Centre Pcl</t>
  </si>
  <si>
    <t>PATO TB EQUITY</t>
  </si>
  <si>
    <t>Pato Chemical Industry Pcl</t>
  </si>
  <si>
    <t>ESTAR TB EQUITY</t>
  </si>
  <si>
    <t>Eastern Star Real Estate Pcl</t>
  </si>
  <si>
    <t>SKN TB EQUITY</t>
  </si>
  <si>
    <t>S.Kijchai Enterprise Pcl</t>
  </si>
  <si>
    <t>PAP TB EQUITY</t>
  </si>
  <si>
    <t>Pacific Pipe Pcl</t>
  </si>
  <si>
    <t>PT TB EQUITY</t>
  </si>
  <si>
    <t>Premier Technology Pcl</t>
  </si>
  <si>
    <t>SHREIT TB EQUITY</t>
  </si>
  <si>
    <t>Strategic Hospitality Freeho</t>
  </si>
  <si>
    <t>UOBKH TB EQUITY</t>
  </si>
  <si>
    <t>Uob Kay Hian Securities Thai</t>
  </si>
  <si>
    <t>BKKCP TB EQUITY</t>
  </si>
  <si>
    <t>Bkk Commercial Property</t>
  </si>
  <si>
    <t>BIG TB EQUITY</t>
  </si>
  <si>
    <t>Big Camera Corp Pcl</t>
  </si>
  <si>
    <t>FMT TB EQUITY</t>
  </si>
  <si>
    <t>Furukawa Metal Thai Pcl</t>
  </si>
  <si>
    <t>BROCK TB EQUITY</t>
  </si>
  <si>
    <t>Baan Rock Garden Pcl</t>
  </si>
  <si>
    <t>TPBI TB EQUITY</t>
  </si>
  <si>
    <t>Tpbi Public Co</t>
  </si>
  <si>
    <t>MALEE TB EQUITY</t>
  </si>
  <si>
    <t>Malee Group Pcl</t>
  </si>
  <si>
    <t>GC TB EQUITY</t>
  </si>
  <si>
    <t>Global Connections Pcl</t>
  </si>
  <si>
    <t>TTI TB EQUITY</t>
  </si>
  <si>
    <t>Thai Textile Inds Pub Co Ltd</t>
  </si>
  <si>
    <t>7UP TB EQUITY</t>
  </si>
  <si>
    <t>Seven Utilities And Power Pl</t>
  </si>
  <si>
    <t>TOPP TB EQUITY</t>
  </si>
  <si>
    <t>Thai O.P.P. Public Co Ltd</t>
  </si>
  <si>
    <t>TIW TB EQUITY</t>
  </si>
  <si>
    <t>Thailand Iron Works Pub Co</t>
  </si>
  <si>
    <t>TYCN TB EQUITY</t>
  </si>
  <si>
    <t>Tycoons Worldwide Groups Tha</t>
  </si>
  <si>
    <t>PLE TB EQUITY</t>
  </si>
  <si>
    <t>Power Line Engineering Pcl</t>
  </si>
  <si>
    <t>JCT TB EQUITY</t>
  </si>
  <si>
    <t>Jack Chia Industries (Thai)</t>
  </si>
  <si>
    <t>DEMCO TB EQUITY</t>
  </si>
  <si>
    <t>Demco Pcl</t>
  </si>
  <si>
    <t>AJA TB EQUITY</t>
  </si>
  <si>
    <t>Aj Advance Technology Pcl</t>
  </si>
  <si>
    <t>TVI TB EQUITY</t>
  </si>
  <si>
    <t>Thaivivat Insurance Pub Co</t>
  </si>
  <si>
    <t>CMAN TB EQUITY</t>
  </si>
  <si>
    <t>Chememan Pcl</t>
  </si>
  <si>
    <t>SDC TB EQUITY</t>
  </si>
  <si>
    <t>Samart Digital Pcl</t>
  </si>
  <si>
    <t>IFS TB EQUITY</t>
  </si>
  <si>
    <t>Ifs Capital Thailand Pcl</t>
  </si>
  <si>
    <t>GLOCON TB EQUITY</t>
  </si>
  <si>
    <t>Global Consumer Pcl</t>
  </si>
  <si>
    <t>PDI TB EQUITY</t>
  </si>
  <si>
    <t>Padaeng Industry Pub Co Ltd</t>
  </si>
  <si>
    <t>KWG TB EQUITY</t>
  </si>
  <si>
    <t>King Wai Group Thailand Pcl</t>
  </si>
  <si>
    <t>TC TB EQUITY</t>
  </si>
  <si>
    <t>Tropical Canning Pub Co Ltd</t>
  </si>
  <si>
    <t>PACE TB EQUITY</t>
  </si>
  <si>
    <t>Pace Development Corp Pcl</t>
  </si>
  <si>
    <t>WICE TB EQUITY</t>
  </si>
  <si>
    <t>Wice Logistics Pcl</t>
  </si>
  <si>
    <t>POST TB EQUITY</t>
  </si>
  <si>
    <t>Bangkok Post Plc</t>
  </si>
  <si>
    <t>AQ TB EQUITY</t>
  </si>
  <si>
    <t>Aq Estate Pcl</t>
  </si>
  <si>
    <t>FTE TB EQUITY</t>
  </si>
  <si>
    <t>Firetrade Engineering Pcl</t>
  </si>
  <si>
    <t>ACC TB EQUITY</t>
  </si>
  <si>
    <t>Advanced Connection Corp Pcl</t>
  </si>
  <si>
    <t>WPH TB EQUITY</t>
  </si>
  <si>
    <t>Wattanapat Hospital Trang Pc</t>
  </si>
  <si>
    <t>CNT TB EQUITY</t>
  </si>
  <si>
    <t>Christiani &amp; Nielsen Thai</t>
  </si>
  <si>
    <t>INET TB EQUITY</t>
  </si>
  <si>
    <t>Internet Thailand Pcl</t>
  </si>
  <si>
    <t>GIFT TB EQUITY</t>
  </si>
  <si>
    <t>Gratitude Infinite Pcl</t>
  </si>
  <si>
    <t>CM TB EQUITY</t>
  </si>
  <si>
    <t>Chiangmai Frozen Foods Pub</t>
  </si>
  <si>
    <t>CSS TB EQUITY</t>
  </si>
  <si>
    <t>Communication &amp; System Solut</t>
  </si>
  <si>
    <t>SAMCO TB EQUITY</t>
  </si>
  <si>
    <t>Sammakorn Public Co Ltd</t>
  </si>
  <si>
    <t>MAX TB EQUITY</t>
  </si>
  <si>
    <t>Max Metal Corp Pcl</t>
  </si>
  <si>
    <t>MATI TB EQUITY</t>
  </si>
  <si>
    <t>Matichon Public Co Ltd</t>
  </si>
  <si>
    <t>SYMC TB EQUITY</t>
  </si>
  <si>
    <t>Symphony Communication Pcl</t>
  </si>
  <si>
    <t>LNE TB EQUITY</t>
  </si>
  <si>
    <t>Lighting And Equipment Pcl</t>
  </si>
  <si>
    <t>BSBM TB EQUITY</t>
  </si>
  <si>
    <t>Bangsaphan Barmill Pcl</t>
  </si>
  <si>
    <t>ZMICO TB EQUITY</t>
  </si>
  <si>
    <t>Seamico Securities Pcl</t>
  </si>
  <si>
    <t>LHK TB EQUITY</t>
  </si>
  <si>
    <t>Lohakit Metal Pcl</t>
  </si>
  <si>
    <t>ERWPF TB EQUITY</t>
  </si>
  <si>
    <t>Erawan Hotel Growth Property</t>
  </si>
  <si>
    <t>RSP TB EQUITY</t>
  </si>
  <si>
    <t>Rich Sport Pcl</t>
  </si>
  <si>
    <t>MATCH TB EQUITY</t>
  </si>
  <si>
    <t>Matching Maximize Solution</t>
  </si>
  <si>
    <t>TPOLY TB EQUITY</t>
  </si>
  <si>
    <t>Thai Polycons Pcl</t>
  </si>
  <si>
    <t>SIAM TB EQUITY</t>
  </si>
  <si>
    <t>Siam Steel International Pcl</t>
  </si>
  <si>
    <t>CPI TB EQUITY</t>
  </si>
  <si>
    <t>Chumporn Palm Oil Ind Pub Co</t>
  </si>
  <si>
    <t>ASAP TB EQUITY</t>
  </si>
  <si>
    <t>Synergetic Auto Performance</t>
  </si>
  <si>
    <t>TSR TB EQUITY</t>
  </si>
  <si>
    <t>Thiensurat Pcl</t>
  </si>
  <si>
    <t>GPI TB EQUITY</t>
  </si>
  <si>
    <t>Grand Prix International Pcl</t>
  </si>
  <si>
    <t>PORT TB EQUITY</t>
  </si>
  <si>
    <t>Sahathai Terminal Pcl</t>
  </si>
  <si>
    <t>TIF1 TB EQUITY</t>
  </si>
  <si>
    <t>Ing Thai Industrial Fund 1</t>
  </si>
  <si>
    <t>TPA TB EQUITY</t>
  </si>
  <si>
    <t>Thai Poly Acrylic Pub Co Ltd</t>
  </si>
  <si>
    <t>TSI TB EQUITY</t>
  </si>
  <si>
    <t>Thai Setakij Insurance Pub</t>
  </si>
  <si>
    <t>RICHY TB EQUITY</t>
  </si>
  <si>
    <t>Richy Place 2002 Pcl</t>
  </si>
  <si>
    <t>MIDA TB EQUITY</t>
  </si>
  <si>
    <t>Mida Assets Pcl</t>
  </si>
  <si>
    <t>EMC TB EQUITY</t>
  </si>
  <si>
    <t>Emc Public Co Ltd</t>
  </si>
  <si>
    <t>TRUBB TB EQUITY</t>
  </si>
  <si>
    <t>Thai Rubber Latex Group Pcl</t>
  </si>
  <si>
    <t>UPOIC TB EQUITY</t>
  </si>
  <si>
    <t>United Palm Oil Industry Pub</t>
  </si>
  <si>
    <t>TRC TB EQUITY</t>
  </si>
  <si>
    <t>Trc Construction Pcl</t>
  </si>
  <si>
    <t>SCI TB EQUITY</t>
  </si>
  <si>
    <t>Sci Electric Pcl</t>
  </si>
  <si>
    <t>NSI TB EQUITY</t>
  </si>
  <si>
    <t>Nam Seng Insurance Pub Co</t>
  </si>
  <si>
    <t>UT TB EQUITY</t>
  </si>
  <si>
    <t>Union Textile Industries Pcl</t>
  </si>
  <si>
    <t>BWG TB EQUITY</t>
  </si>
  <si>
    <t>Better World Green Pcl</t>
  </si>
  <si>
    <t>NWR TB EQUITY</t>
  </si>
  <si>
    <t>Nawarat Patanakarn Pub Co Lt</t>
  </si>
  <si>
    <t>MANRIN TB EQUITY</t>
  </si>
  <si>
    <t>Mandarin Hotel Pub Co Ltd</t>
  </si>
  <si>
    <t>NCH TB EQUITY</t>
  </si>
  <si>
    <t>N.C. Housing Pcl</t>
  </si>
  <si>
    <t>ECL TB EQUITY</t>
  </si>
  <si>
    <t>Eastern Commercial Leasing P</t>
  </si>
  <si>
    <t>CI TB EQUITY</t>
  </si>
  <si>
    <t>Charn Issara Development Pcl</t>
  </si>
  <si>
    <t>FNS TB EQUITY</t>
  </si>
  <si>
    <t>Finansa Pcl</t>
  </si>
  <si>
    <t>TWZ TB EQUITY</t>
  </si>
  <si>
    <t>Twz Corp Pcl</t>
  </si>
  <si>
    <t>MDX TB EQUITY</t>
  </si>
  <si>
    <t>Mdx Pcl</t>
  </si>
  <si>
    <t>TNITY TB EQUITY</t>
  </si>
  <si>
    <t>Trinity Watthana Pcl</t>
  </si>
  <si>
    <t>VARO TB EQUITY</t>
  </si>
  <si>
    <t>Varopakorn Public Co Ltd</t>
  </si>
  <si>
    <t>ALLA TB EQUITY</t>
  </si>
  <si>
    <t>Alla Pcl</t>
  </si>
  <si>
    <t>FN TB EQUITY</t>
  </si>
  <si>
    <t>Fn Factory Outlet Pcl</t>
  </si>
  <si>
    <t>OCC TB EQUITY</t>
  </si>
  <si>
    <t>O.C.C. Public Co Ltd</t>
  </si>
  <si>
    <t>SEED TB EQUITY</t>
  </si>
  <si>
    <t>Se-Education Public Co Ltd</t>
  </si>
  <si>
    <t>PMTA TB EQUITY</t>
  </si>
  <si>
    <t>Pm Thoresen Asia Holdings Pc</t>
  </si>
  <si>
    <t>TCMC TB EQUITY</t>
  </si>
  <si>
    <t>Tcm Corp Pcl</t>
  </si>
  <si>
    <t>CPT TB EQUITY</t>
  </si>
  <si>
    <t>Cpt Drives &amp; Power Pcl</t>
  </si>
  <si>
    <t>SMT TB EQUITY</t>
  </si>
  <si>
    <t>Stars Microelectronics Thai</t>
  </si>
  <si>
    <t>CPW TB EQUITY</t>
  </si>
  <si>
    <t>Copperwired Pcl</t>
  </si>
  <si>
    <t>RPC TB EQUITY</t>
  </si>
  <si>
    <t>Rpcg Pcl</t>
  </si>
  <si>
    <t>PRAKIT TB EQUITY</t>
  </si>
  <si>
    <t>Prakit Holdings Public Co</t>
  </si>
  <si>
    <t>AMC TB EQUITY</t>
  </si>
  <si>
    <t>Asia Metal Pcl</t>
  </si>
  <si>
    <t>APURE TB EQUITY</t>
  </si>
  <si>
    <t>Agripure Holding Plc</t>
  </si>
  <si>
    <t>QHOP TB EQUITY</t>
  </si>
  <si>
    <t>Quality Hospitality Leasehol</t>
  </si>
  <si>
    <t>IT TB EQUITY</t>
  </si>
  <si>
    <t>It City Pcl</t>
  </si>
  <si>
    <t>OGC TB EQUITY</t>
  </si>
  <si>
    <t>Ocean Glass Pub Co Ltd</t>
  </si>
  <si>
    <t>EVER TB EQUITY</t>
  </si>
  <si>
    <t>Everland Pcl</t>
  </si>
  <si>
    <t>SKE TB EQUITY</t>
  </si>
  <si>
    <t>Sakol Energy Pcl</t>
  </si>
  <si>
    <t>CCP TB EQUITY</t>
  </si>
  <si>
    <t>Chonburi Concrete Product Pc</t>
  </si>
  <si>
    <t>AKR TB EQUITY</t>
  </si>
  <si>
    <t>Ekarat Engineering Pcl</t>
  </si>
  <si>
    <t>GEL TB EQUITY</t>
  </si>
  <si>
    <t>General Engineering Pcl</t>
  </si>
  <si>
    <t>JTS TB EQUITY</t>
  </si>
  <si>
    <t>Jasmine Telecom Systems Pcl</t>
  </si>
  <si>
    <t>SVOA TB EQUITY</t>
  </si>
  <si>
    <t>Svoa Public Co Ltd</t>
  </si>
  <si>
    <t>TH TB EQUITY</t>
  </si>
  <si>
    <t>Tong Hua Holding Pcl</t>
  </si>
  <si>
    <t>PDJ TB EQUITY</t>
  </si>
  <si>
    <t>Pranda Jewelry Pub Co Ltd</t>
  </si>
  <si>
    <t>WIIK TB EQUITY</t>
  </si>
  <si>
    <t>Wiik Pcl</t>
  </si>
  <si>
    <t>FSS TB EQUITY</t>
  </si>
  <si>
    <t>Finansia Syrus Securities Pc</t>
  </si>
  <si>
    <t>WAVE TB EQUITY</t>
  </si>
  <si>
    <t>Wave Entertainment Pcl</t>
  </si>
  <si>
    <t>TPP TB EQUITY</t>
  </si>
  <si>
    <t>Thai Packaging &amp;Printing Pcl</t>
  </si>
  <si>
    <t>TWP TB EQUITY</t>
  </si>
  <si>
    <t>Thai Wire Products Pub Co</t>
  </si>
  <si>
    <t>ML TB EQUITY</t>
  </si>
  <si>
    <t>Mida Leasing Pcl</t>
  </si>
  <si>
    <t>EASON TB EQUITY</t>
  </si>
  <si>
    <t>Eason Paint Pcl</t>
  </si>
  <si>
    <t>GREEN TB EQUITY</t>
  </si>
  <si>
    <t>Green Resources Pcl</t>
  </si>
  <si>
    <t>NEW TB EQUITY</t>
  </si>
  <si>
    <t>Wattana Karnpaet Pub Co Ltd</t>
  </si>
  <si>
    <t>PG TB EQUITY</t>
  </si>
  <si>
    <t>People'S Garment Pub Co Ltd</t>
  </si>
  <si>
    <t>CHOTI TB EQUITY</t>
  </si>
  <si>
    <t>Kiang Huat Seagull Trading</t>
  </si>
  <si>
    <t>KKC TB EQUITY</t>
  </si>
  <si>
    <t>Kulthorn Kirby Pub Co Ltd</t>
  </si>
  <si>
    <t>PERM TB EQUITY</t>
  </si>
  <si>
    <t>Permsin Steel Works Pcl</t>
  </si>
  <si>
    <t>M-PAT TB EQUITY</t>
  </si>
  <si>
    <t>Mfc Patong Heritage Property</t>
  </si>
  <si>
    <t>SLP TB EQUITY</t>
  </si>
  <si>
    <t>Salee Printing Pcl</t>
  </si>
  <si>
    <t>GBX TB EQUITY</t>
  </si>
  <si>
    <t>Globlex Holding Management</t>
  </si>
  <si>
    <t>INGRS TB EQUITY</t>
  </si>
  <si>
    <t>Ingress Industrial Thailand</t>
  </si>
  <si>
    <t>APEX TB EQUITY</t>
  </si>
  <si>
    <t>Apex Development Pcl</t>
  </si>
  <si>
    <t>GENCO TB EQUITY</t>
  </si>
  <si>
    <t>General Environmental Conser</t>
  </si>
  <si>
    <t>CFRESH TB EQUITY</t>
  </si>
  <si>
    <t>Seafresh Industry Pub Co Ltd</t>
  </si>
  <si>
    <t>HTECH TB EQUITY</t>
  </si>
  <si>
    <t>Halcyon Technology Pcl</t>
  </si>
  <si>
    <t>SSTRT TB EQUITY</t>
  </si>
  <si>
    <t>Sub Sri Thai Real Estate Inv</t>
  </si>
  <si>
    <t>PPP TB EQUITY</t>
  </si>
  <si>
    <t>Premier Products Pcl</t>
  </si>
  <si>
    <t>INSURE TB EQUITY</t>
  </si>
  <si>
    <t>Indara Insurance Pub Co Ltd</t>
  </si>
  <si>
    <t>M-STOR TB EQUITY</t>
  </si>
  <si>
    <t>Mfc-Strategic Storage Fd</t>
  </si>
  <si>
    <t>CITY TB EQUITY</t>
  </si>
  <si>
    <t>City Steel Pcl</t>
  </si>
  <si>
    <t>SUTHA TB EQUITY</t>
  </si>
  <si>
    <t>Golden Lime Pcl</t>
  </si>
  <si>
    <t>CPL TB EQUITY</t>
  </si>
  <si>
    <t>Cpl Group Public Co Ltd</t>
  </si>
  <si>
    <t>AS TB EQUITY</t>
  </si>
  <si>
    <t>Asiasoft Corp Pcl</t>
  </si>
  <si>
    <t>UP TB EQUITY</t>
  </si>
  <si>
    <t>Union Plastic Pub Co Ltd</t>
  </si>
  <si>
    <t>PTR SP EQUITY</t>
  </si>
  <si>
    <t>Petrochina Co Ltd -Adr</t>
  </si>
  <si>
    <t>PRU SP EQUITY</t>
  </si>
  <si>
    <t>Prudential Plc</t>
  </si>
  <si>
    <t>JM SP EQUITY</t>
  </si>
  <si>
    <t>Jardine Matheson Hldgs Ltd</t>
  </si>
  <si>
    <t>DBS SP EQUITY</t>
  </si>
  <si>
    <t>Dbs Group Holdings Ltd</t>
  </si>
  <si>
    <t>ST10 SP EQUITY</t>
  </si>
  <si>
    <t>Singapore Telecommunications</t>
  </si>
  <si>
    <t>ST SP EQUITY</t>
  </si>
  <si>
    <t>OCBC SP EQUITY</t>
  </si>
  <si>
    <t>Oversea-Chinese Banking Corp</t>
  </si>
  <si>
    <t>JS SP EQUITY</t>
  </si>
  <si>
    <t>Jardine Strategic Hldgs Ltd</t>
  </si>
  <si>
    <t>CHA SP EQUITY</t>
  </si>
  <si>
    <t>China Telecom Corp Ltd-Adr</t>
  </si>
  <si>
    <t>UOB SP EQUITY</t>
  </si>
  <si>
    <t>United Overseas Bank Ltd</t>
  </si>
  <si>
    <t>WIL SP EQUITY</t>
  </si>
  <si>
    <t>Wilmar International Ltd</t>
  </si>
  <si>
    <t>IHH SP EQUITY</t>
  </si>
  <si>
    <t>Ihh Healthcare Bhd</t>
  </si>
  <si>
    <t>THBEV SP EQUITY</t>
  </si>
  <si>
    <t>Thai Beverage Pcl</t>
  </si>
  <si>
    <t>CAPL SP EQUITY</t>
  </si>
  <si>
    <t>Capitaland Ltd</t>
  </si>
  <si>
    <t>HKL SP EQUITY</t>
  </si>
  <si>
    <t>Hongkong Land Holdings Ltd</t>
  </si>
  <si>
    <t>HNP SP EQUITY</t>
  </si>
  <si>
    <t>Huaneng Power Intl-Spons Adr</t>
  </si>
  <si>
    <t>CEA SP EQUITY</t>
  </si>
  <si>
    <t>China Eastern Airlines-Ads</t>
  </si>
  <si>
    <t>ZNH SP EQUITY</t>
  </si>
  <si>
    <t>China Southern Air-Spons Adr</t>
  </si>
  <si>
    <t>AREIT SP EQUITY</t>
  </si>
  <si>
    <t>Ascendas Real Estate Inv Trt</t>
  </si>
  <si>
    <t>KEP SP EQUITY</t>
  </si>
  <si>
    <t>Keppel Corp Ltd</t>
  </si>
  <si>
    <t>SGX SP EQUITY</t>
  </si>
  <si>
    <t>Singapore Exchange Ltd</t>
  </si>
  <si>
    <t>STE SP EQUITY</t>
  </si>
  <si>
    <t>Singapore Tech Engineering</t>
  </si>
  <si>
    <t>ACHX SP EQUITY</t>
  </si>
  <si>
    <t>Aluminum Corp Of China-Adr</t>
  </si>
  <si>
    <t>GE SP EQUITY</t>
  </si>
  <si>
    <t>Great Eastern Holdings Ltd</t>
  </si>
  <si>
    <t>DFI SP EQUITY</t>
  </si>
  <si>
    <t>Dairy Farm Intl Hldgs Ltd</t>
  </si>
  <si>
    <t>GENS SP EQUITY</t>
  </si>
  <si>
    <t>Genting Singapore Ltd</t>
  </si>
  <si>
    <t>JCNC SP EQUITY</t>
  </si>
  <si>
    <t>Jardine Cycle &amp; Carriage Ltd</t>
  </si>
  <si>
    <t>K6K SP EQUITY</t>
  </si>
  <si>
    <t>X S&amp;P500 Swap</t>
  </si>
  <si>
    <t>YZC SP EQUITY</t>
  </si>
  <si>
    <t>Yanzhou Coal Mining-Sp Adr</t>
  </si>
  <si>
    <t>SHI SP EQUITY</t>
  </si>
  <si>
    <t>Sinopec Shanghai-Spons Adr</t>
  </si>
  <si>
    <t>SIA SP EQUITY</t>
  </si>
  <si>
    <t>Singapore Airlines Ltd</t>
  </si>
  <si>
    <t>CT SP EQUITY</t>
  </si>
  <si>
    <t>Capitaland Mall Trust</t>
  </si>
  <si>
    <t>CIT SP EQUITY</t>
  </si>
  <si>
    <t>City Developments Ltd</t>
  </si>
  <si>
    <t>MCT SP EQUITY</t>
  </si>
  <si>
    <t>Mapletree Commercial Trust</t>
  </si>
  <si>
    <t>MLT SP EQUITY</t>
  </si>
  <si>
    <t>Mapletree Logistics Trust</t>
  </si>
  <si>
    <t>CCT SP EQUITY</t>
  </si>
  <si>
    <t>Capitaland Commercial Trust</t>
  </si>
  <si>
    <t>ALI SP EQUITY</t>
  </si>
  <si>
    <t>Alibaba Pictures Group Ltd</t>
  </si>
  <si>
    <t>UOL SP EQUITY</t>
  </si>
  <si>
    <t>Uol Group Ltd</t>
  </si>
  <si>
    <t>TOPG SP EQUITY</t>
  </si>
  <si>
    <t>Top Glove Corp Bhd</t>
  </si>
  <si>
    <t>MINT SP EQUITY</t>
  </si>
  <si>
    <t>Mapletree Industrial Trust</t>
  </si>
  <si>
    <t>OLAM SP EQUITY</t>
  </si>
  <si>
    <t>Olam International Ltd</t>
  </si>
  <si>
    <t>XESX SP EQUITY</t>
  </si>
  <si>
    <t>X Euro Stoxx 50 1C</t>
  </si>
  <si>
    <t>VMS SP EQUITY</t>
  </si>
  <si>
    <t>Venture Corp Ltd</t>
  </si>
  <si>
    <t>SGA SP EQUITY</t>
  </si>
  <si>
    <t>Shangri-La Asia Ltd</t>
  </si>
  <si>
    <t>SATS SP EQUITY</t>
  </si>
  <si>
    <t>Sats Ltd</t>
  </si>
  <si>
    <t>SUN SP EQUITY</t>
  </si>
  <si>
    <t>Suntec Reit</t>
  </si>
  <si>
    <t>KDCREIT SP EQUITY</t>
  </si>
  <si>
    <t>Keppel Dc Reit</t>
  </si>
  <si>
    <t>XMEU SP EQUITY</t>
  </si>
  <si>
    <t>X Msci Europe 1C</t>
  </si>
  <si>
    <t>NETLINK SP EQUITY</t>
  </si>
  <si>
    <t>Netlink Nbn Trust</t>
  </si>
  <si>
    <t>FPL SP EQUITY</t>
  </si>
  <si>
    <t>Frasers Property Ltd</t>
  </si>
  <si>
    <t>CD SP EQUITY</t>
  </si>
  <si>
    <t>Comfortdelgro Corp Ltd</t>
  </si>
  <si>
    <t>YZJSGD SP EQUITY</t>
  </si>
  <si>
    <t>Yangzijiang Shipbuilding</t>
  </si>
  <si>
    <t>KREIT SP EQUITY</t>
  </si>
  <si>
    <t>Keppel Reit</t>
  </si>
  <si>
    <t>UIC SP EQUITY</t>
  </si>
  <si>
    <t>United Industrial Corp Ltd</t>
  </si>
  <si>
    <t>SCI SP EQUITY</t>
  </si>
  <si>
    <t>Sembcorp Industries Ltd</t>
  </si>
  <si>
    <t>SPH SP EQUITY</t>
  </si>
  <si>
    <t>Singapore Press Holdings Ltd</t>
  </si>
  <si>
    <t>MAGIC SP EQUITY</t>
  </si>
  <si>
    <t>Mapletree North Asia Commerc</t>
  </si>
  <si>
    <t>XMUS SP EQUITY</t>
  </si>
  <si>
    <t>X Msci Usa Swap</t>
  </si>
  <si>
    <t>FLTAUD SP EQUITY</t>
  </si>
  <si>
    <t>Frasers Logistics &amp; Industri</t>
  </si>
  <si>
    <t>ART SP EQUITY</t>
  </si>
  <si>
    <t>Ascott Residence Trust</t>
  </si>
  <si>
    <t>FCT SP EQUITY</t>
  </si>
  <si>
    <t>Frasers Centrepoint Trust</t>
  </si>
  <si>
    <t>MAND SP EQUITY</t>
  </si>
  <si>
    <t>Mandarin Oriental Intl Ltd</t>
  </si>
  <si>
    <t>HPAR SP EQUITY</t>
  </si>
  <si>
    <t>Haw Par Corp Ltd</t>
  </si>
  <si>
    <t>STH SP EQUITY</t>
  </si>
  <si>
    <t>Starhub Ltd</t>
  </si>
  <si>
    <t>STX SP EQUITY</t>
  </si>
  <si>
    <t>Pan Ocean Co Ltd</t>
  </si>
  <si>
    <t>SPHREIT SP EQUITY</t>
  </si>
  <si>
    <t>Sph Reit</t>
  </si>
  <si>
    <t>LF2 SP EQUITY</t>
  </si>
  <si>
    <t>X Msci Japan</t>
  </si>
  <si>
    <t>KIT SP EQUITY</t>
  </si>
  <si>
    <t>Keppel Infrastructure Trust</t>
  </si>
  <si>
    <t>FR SP EQUITY</t>
  </si>
  <si>
    <t>First Resources Ltd</t>
  </si>
  <si>
    <t>SIE SP EQUITY</t>
  </si>
  <si>
    <t>Sia Engineering Co Ltd</t>
  </si>
  <si>
    <t>FLT SP EQUITY</t>
  </si>
  <si>
    <t>YLLG SP EQUITY</t>
  </si>
  <si>
    <t>Yanlord Land Group Ltd</t>
  </si>
  <si>
    <t>FNN SP EQUITY</t>
  </si>
  <si>
    <t>Fraser And Neave Ltd</t>
  </si>
  <si>
    <t>PREIT SP EQUITY</t>
  </si>
  <si>
    <t>Parkwaylife Real Estate</t>
  </si>
  <si>
    <t>GGR SP EQUITY</t>
  </si>
  <si>
    <t>Golden Agri-Resources Ltd</t>
  </si>
  <si>
    <t>OUECT SP EQUITY</t>
  </si>
  <si>
    <t>Oue Commercial Real Estate I</t>
  </si>
  <si>
    <t>SSG SP EQUITY</t>
  </si>
  <si>
    <t>Sheng Siong Group Ltd</t>
  </si>
  <si>
    <t>MUST SP EQUITY</t>
  </si>
  <si>
    <t>Manulife Us Real Estate Inv</t>
  </si>
  <si>
    <t>TIAN SP EQUITY</t>
  </si>
  <si>
    <t>Tianjin Zhong Xin Pharm Co-S</t>
  </si>
  <si>
    <t>GUOL SP EQUITY</t>
  </si>
  <si>
    <t>Guocoland Ltd</t>
  </si>
  <si>
    <t>TID SP EQUITY</t>
  </si>
  <si>
    <t>X Msci China 1C</t>
  </si>
  <si>
    <t>LG9 SP EQUITY</t>
  </si>
  <si>
    <t>CERT SP EQUITY</t>
  </si>
  <si>
    <t>Cromwell European Reit</t>
  </si>
  <si>
    <t>CERTSGD SP EQUITY</t>
  </si>
  <si>
    <t>HPL SP EQUITY</t>
  </si>
  <si>
    <t>Hotel Properties Ltd</t>
  </si>
  <si>
    <t>SPOST SP EQUITY</t>
  </si>
  <si>
    <t>Singapore Post Ltd</t>
  </si>
  <si>
    <t>SMM SP EQUITY</t>
  </si>
  <si>
    <t>Sembcorp Marine Ltd</t>
  </si>
  <si>
    <t>CRCT SP EQUITY</t>
  </si>
  <si>
    <t>Capitaland Retail China Trus</t>
  </si>
  <si>
    <t>RFMD SP EQUITY</t>
  </si>
  <si>
    <t>Raffles Medical Group Ltd</t>
  </si>
  <si>
    <t>AIT SP EQUITY</t>
  </si>
  <si>
    <t>Ascendas India Trust</t>
  </si>
  <si>
    <t>HPHT* SP EQUITY</t>
  </si>
  <si>
    <t>Hutchison Port Holdings Tr-U</t>
  </si>
  <si>
    <t>HPHT SP EQUITY</t>
  </si>
  <si>
    <t>HOBEE SP EQUITY</t>
  </si>
  <si>
    <t>Ho Bee Land Ltd</t>
  </si>
  <si>
    <t>WINGT SP EQUITY</t>
  </si>
  <si>
    <t>Wing Tai Holdings Ltd</t>
  </si>
  <si>
    <t>TMG SP EQUITY</t>
  </si>
  <si>
    <t>Thomson Medical Group Ltd</t>
  </si>
  <si>
    <t>EREIT SP EQUITY</t>
  </si>
  <si>
    <t>Esr-Reit</t>
  </si>
  <si>
    <t>FCOT SP EQUITY</t>
  </si>
  <si>
    <t>Frasers Commercial Trust</t>
  </si>
  <si>
    <t>BS SP EQUITY</t>
  </si>
  <si>
    <t>Bukit Sembawang Estates Ltd</t>
  </si>
  <si>
    <t>CDREIT SP EQUITY</t>
  </si>
  <si>
    <t>Cdl Hospitality Trusts</t>
  </si>
  <si>
    <t>PRIME SP EQUITY</t>
  </si>
  <si>
    <t>Prime Us Reit</t>
  </si>
  <si>
    <t>SGREIT SP EQUITY</t>
  </si>
  <si>
    <t>Starhill Global Reit</t>
  </si>
  <si>
    <t>HLF SP EQUITY</t>
  </si>
  <si>
    <t>Hong Leong Finance Ltd</t>
  </si>
  <si>
    <t>UOBK SP EQUITY</t>
  </si>
  <si>
    <t>Uob-Kay Hian Holdings Ltd</t>
  </si>
  <si>
    <t>SBIF SP EQUITY</t>
  </si>
  <si>
    <t>Abf Singapore Bond Indx Fund</t>
  </si>
  <si>
    <t>OUE SP EQUITY</t>
  </si>
  <si>
    <t>Oue Ltd</t>
  </si>
  <si>
    <t>FSG SP EQUITY</t>
  </si>
  <si>
    <t>First Sponsor Group Ltd</t>
  </si>
  <si>
    <t>OHL SP EQUITY</t>
  </si>
  <si>
    <t>Oxley Holdings Ltd</t>
  </si>
  <si>
    <t>SBUS SP EQUITY</t>
  </si>
  <si>
    <t>Sbs Transit Ltd</t>
  </si>
  <si>
    <t>JAP SP EQUITY</t>
  </si>
  <si>
    <t>Japfa Ltd</t>
  </si>
  <si>
    <t>STTF SP EQUITY</t>
  </si>
  <si>
    <t>Spdr Straits Times Index Etf</t>
  </si>
  <si>
    <t>FRAG SP EQUITY</t>
  </si>
  <si>
    <t>Fragrance Group Ltd</t>
  </si>
  <si>
    <t>FEHT SP EQUITY</t>
  </si>
  <si>
    <t>Far East Hospitality Trust</t>
  </si>
  <si>
    <t>PAC SP EQUITY</t>
  </si>
  <si>
    <t>Pacific Century Region Devel</t>
  </si>
  <si>
    <t>UOA SP EQUITY</t>
  </si>
  <si>
    <t>United Overseas Australia</t>
  </si>
  <si>
    <t>FHT SP EQUITY</t>
  </si>
  <si>
    <t>Frasers Hospitality Trust</t>
  </si>
  <si>
    <t>AAREIT SP EQUITY</t>
  </si>
  <si>
    <t>Aims Apac Reit</t>
  </si>
  <si>
    <t>SASSR SP EQUITY</t>
  </si>
  <si>
    <t>Sasseur Real Estate Investme</t>
  </si>
  <si>
    <t>CAO SP EQUITY</t>
  </si>
  <si>
    <t>China Aviation Oil Singapore</t>
  </si>
  <si>
    <t>GLL SP EQUITY</t>
  </si>
  <si>
    <t>Gl Ltd</t>
  </si>
  <si>
    <t>BAL SP EQUITY</t>
  </si>
  <si>
    <t>Bumitama Agri Ltd</t>
  </si>
  <si>
    <t>STA SP EQUITY</t>
  </si>
  <si>
    <t>Sri Trang Agro-Industry-For</t>
  </si>
  <si>
    <t>GRAN SP EQUITY</t>
  </si>
  <si>
    <t>Hotel Grand Central Ltd</t>
  </si>
  <si>
    <t>SML SP EQUITY</t>
  </si>
  <si>
    <t>Sinarmas Land Ltd</t>
  </si>
  <si>
    <t>RSTON SP EQUITY</t>
  </si>
  <si>
    <t>Riverstone Holdings Ltd</t>
  </si>
  <si>
    <t>ZJE SP EQUITY</t>
  </si>
  <si>
    <t>Zheneng Jinjiang Environment</t>
  </si>
  <si>
    <t>HIP SP EQUITY</t>
  </si>
  <si>
    <t>Hi-P International Ltd</t>
  </si>
  <si>
    <t>KORE SP EQUITY</t>
  </si>
  <si>
    <t>Keppel Pacific Oak Us Reit</t>
  </si>
  <si>
    <t>STRTR SP EQUITY</t>
  </si>
  <si>
    <t>Straits Trading Co Ltd</t>
  </si>
  <si>
    <t>XSPS SP EQUITY</t>
  </si>
  <si>
    <t>X S&amp;P500 Inverse Daily Swap</t>
  </si>
  <si>
    <t>CEWL SP EQUITY</t>
  </si>
  <si>
    <t>China Everbright Water Ltd</t>
  </si>
  <si>
    <t>LREIT SP EQUITY</t>
  </si>
  <si>
    <t>Lendlease Global Commercial</t>
  </si>
  <si>
    <t>VCM SP EQUITY</t>
  </si>
  <si>
    <t>Vicom Ltd</t>
  </si>
  <si>
    <t>XAXJ SP EQUITY</t>
  </si>
  <si>
    <t>X Msci Ac Asia Ex Japan Swap</t>
  </si>
  <si>
    <t>TCI SP EQUITY</t>
  </si>
  <si>
    <t>Tan Chong International Ltd</t>
  </si>
  <si>
    <t>SILV SP EQUITY</t>
  </si>
  <si>
    <t>Silverlake Axis Ltd</t>
  </si>
  <si>
    <t>GALV SP EQUITY</t>
  </si>
  <si>
    <t>Gallant Venture Ltd</t>
  </si>
  <si>
    <t>FIRT SP EQUITY</t>
  </si>
  <si>
    <t>First Real Estate Invt Trust</t>
  </si>
  <si>
    <t>METRO SP EQUITY</t>
  </si>
  <si>
    <t>Metro Holdings Ltd</t>
  </si>
  <si>
    <t>XGSD SP EQUITY</t>
  </si>
  <si>
    <t>X Global Select Div 100 Swap</t>
  </si>
  <si>
    <t>DASIN SP EQUITY</t>
  </si>
  <si>
    <t>Dasin Retail Trust</t>
  </si>
  <si>
    <t>AGT SP EQUITY</t>
  </si>
  <si>
    <t>Accordia Golf Trust</t>
  </si>
  <si>
    <t>PREH SP EQUITY</t>
  </si>
  <si>
    <t>Perennial Real Estate Holdin</t>
  </si>
  <si>
    <t>HACL SP EQUITY</t>
  </si>
  <si>
    <t>Halcyon Agri Corp Ltd</t>
  </si>
  <si>
    <t>NIKIGCB SP EQUITY</t>
  </si>
  <si>
    <t>Nikko Am Sgd Inv Gr Co B Etf</t>
  </si>
  <si>
    <t>TKMED SP EQUITY</t>
  </si>
  <si>
    <t>Talkmed Group Ltd</t>
  </si>
  <si>
    <t>SIIC SP EQUITY</t>
  </si>
  <si>
    <t>Siic Environment Holdings Lt</t>
  </si>
  <si>
    <t>HFC SP EQUITY</t>
  </si>
  <si>
    <t>Hong Fok Corp Ltd</t>
  </si>
  <si>
    <t>CACHE SP EQUITY</t>
  </si>
  <si>
    <t>Cache Logistics Trust</t>
  </si>
  <si>
    <t>GSH SP EQUITY</t>
  </si>
  <si>
    <t>Gsh Corp Ltd</t>
  </si>
  <si>
    <t>DELFI SP EQUITY</t>
  </si>
  <si>
    <t>Delfi Ltd</t>
  </si>
  <si>
    <t>AEM SP EQUITY</t>
  </si>
  <si>
    <t>Aem Holdings Ltd</t>
  </si>
  <si>
    <t>HRNET SP EQUITY</t>
  </si>
  <si>
    <t>Hrnetgroup Ltd</t>
  </si>
  <si>
    <t>FEOR SP EQUITY</t>
  </si>
  <si>
    <t>Far East Orchard Ltd</t>
  </si>
  <si>
    <t>ECWREIT SP EQUITY</t>
  </si>
  <si>
    <t>Ec World Reit</t>
  </si>
  <si>
    <t>ROXY SP EQUITY</t>
  </si>
  <si>
    <t>Roxy-Pacific Hldgs Ltd</t>
  </si>
  <si>
    <t>YHS SP EQUITY</t>
  </si>
  <si>
    <t>Yeo Hiap Seng Ltd</t>
  </si>
  <si>
    <t>STCO SP EQUITY</t>
  </si>
  <si>
    <t>Straco Corporation Ltd</t>
  </si>
  <si>
    <t>YOMA SP EQUITY</t>
  </si>
  <si>
    <t>Yoma Strategic Hldgs Ltd</t>
  </si>
  <si>
    <t>BREAD SP EQUITY</t>
  </si>
  <si>
    <t>Breadtalk Group Ltd</t>
  </si>
  <si>
    <t>IFAR SP EQUITY</t>
  </si>
  <si>
    <t>Indofood Agri Resources Ltd</t>
  </si>
  <si>
    <t>SBREIT SP EQUITY</t>
  </si>
  <si>
    <t>Soilbuild Business Space Rei</t>
  </si>
  <si>
    <t>UOI SP EQUITY</t>
  </si>
  <si>
    <t>United Overseas Insurance</t>
  </si>
  <si>
    <t>QAF SP EQUITY</t>
  </si>
  <si>
    <t>Qaf Ltd</t>
  </si>
  <si>
    <t>COS SP EQUITY</t>
  </si>
  <si>
    <t>Cosco Shipping International</t>
  </si>
  <si>
    <t>HG SP EQUITY</t>
  </si>
  <si>
    <t>Hour Glass Ltd/The</t>
  </si>
  <si>
    <t>UHU SP EQUITY</t>
  </si>
  <si>
    <t>United Hampshire Us Reit</t>
  </si>
  <si>
    <t>CHIP SP EQUITY</t>
  </si>
  <si>
    <t>Chip Eng Seng Corp Ltd</t>
  </si>
  <si>
    <t>LMRT SP EQUITY</t>
  </si>
  <si>
    <t>Lippo Malls Indonesia Retail</t>
  </si>
  <si>
    <t>ELITE SP EQUITY</t>
  </si>
  <si>
    <t>Elite Commercial Reit</t>
  </si>
  <si>
    <t>IREIT SP EQUITY</t>
  </si>
  <si>
    <t>Ireit Global</t>
  </si>
  <si>
    <t>BVEST SP EQUITY</t>
  </si>
  <si>
    <t>Bonvests Holdings Ltd</t>
  </si>
  <si>
    <t>UMSH SP EQUITY</t>
  </si>
  <si>
    <t>Ums Holdings Ltd</t>
  </si>
  <si>
    <t>KOUFU SP EQUITY</t>
  </si>
  <si>
    <t>Koufu Group Ltd</t>
  </si>
  <si>
    <t>CENT SP EQUITY</t>
  </si>
  <si>
    <t>Centurion Corp Ltd</t>
  </si>
  <si>
    <t>GER SP EQUITY</t>
  </si>
  <si>
    <t>Golden Energy &amp; Resources Lt</t>
  </si>
  <si>
    <t>BCI SP EQUITY</t>
  </si>
  <si>
    <t>Bund Center Investment Ltd</t>
  </si>
  <si>
    <t>HIAP SP EQUITY</t>
  </si>
  <si>
    <t>Hiap Hoe Ltd</t>
  </si>
  <si>
    <t>SSREIT SP EQUITY</t>
  </si>
  <si>
    <t>Sabana Shariah Comp Ind Reit</t>
  </si>
  <si>
    <t>ASP SP EQUITY</t>
  </si>
  <si>
    <t>Aspial Corp Ltd</t>
  </si>
  <si>
    <t>ELEC SP EQUITY</t>
  </si>
  <si>
    <t>Elec &amp; Eltek Int Co Ltd</t>
  </si>
  <si>
    <t>HLA SP EQUITY</t>
  </si>
  <si>
    <t>Hong Leong Asia Ltd</t>
  </si>
  <si>
    <t>MII SP EQUITY</t>
  </si>
  <si>
    <t>Mewah International Inc</t>
  </si>
  <si>
    <t>QNM SP EQUITY</t>
  </si>
  <si>
    <t>Q &amp; M Dental Group Singapore</t>
  </si>
  <si>
    <t>CSSC SP EQUITY</t>
  </si>
  <si>
    <t>China Sunsine Chemical Hldgs</t>
  </si>
  <si>
    <t>LKH SP EQUITY</t>
  </si>
  <si>
    <t>Low Keng Huat Singapore Ltd</t>
  </si>
  <si>
    <t>SHG SP EQUITY</t>
  </si>
  <si>
    <t>Singhaiyi Group Ltd</t>
  </si>
  <si>
    <t>BOCS SP EQUITY</t>
  </si>
  <si>
    <t>Boustead Singapore Ltd</t>
  </si>
  <si>
    <t>SPWG SP EQUITY</t>
  </si>
  <si>
    <t>Sunpower Group Ltd</t>
  </si>
  <si>
    <t>BRC SP EQUITY</t>
  </si>
  <si>
    <t>Brc Asia Ltd</t>
  </si>
  <si>
    <t>HRY SP EQUITY</t>
  </si>
  <si>
    <t>Hotel Royal Ltd</t>
  </si>
  <si>
    <t>DBSSTI SP EQUITY</t>
  </si>
  <si>
    <t>Nikko Am Singapore Sti Etf</t>
  </si>
  <si>
    <t>STL SP EQUITY</t>
  </si>
  <si>
    <t>Stamford Land Corp Ltd</t>
  </si>
  <si>
    <t>BHGREIT SP EQUITY</t>
  </si>
  <si>
    <t>Bhg Retail Reit</t>
  </si>
  <si>
    <t>TSH SP EQUITY</t>
  </si>
  <si>
    <t>Tuan Sing Holdings Ltd</t>
  </si>
  <si>
    <t>NSL SP EQUITY</t>
  </si>
  <si>
    <t>Nsl Ltd</t>
  </si>
  <si>
    <t>ARAUS SP EQUITY</t>
  </si>
  <si>
    <t>Ara Us Hospitality Trust</t>
  </si>
  <si>
    <t>FEH SP EQUITY</t>
  </si>
  <si>
    <t>Food Empire Holdings Ltd</t>
  </si>
  <si>
    <t>FRKN SP EQUITY</t>
  </si>
  <si>
    <t>Frencken Group Ltd</t>
  </si>
  <si>
    <t>XFVT SP EQUITY</t>
  </si>
  <si>
    <t>X Ftse Vietnam Swap</t>
  </si>
  <si>
    <t>GPI SP EQUITY</t>
  </si>
  <si>
    <t>Gp Industries Ltd</t>
  </si>
  <si>
    <t>GKG SP EQUITY</t>
  </si>
  <si>
    <t>Gk Goh Holdings Ltd</t>
  </si>
  <si>
    <t>MEGH SP EQUITY</t>
  </si>
  <si>
    <t>Meghmani Organics Ltd-Sdr</t>
  </si>
  <si>
    <t>VALUE SP EQUITY</t>
  </si>
  <si>
    <t>Valuetronics Holdings Ltd</t>
  </si>
  <si>
    <t>KMLY SP EQUITY</t>
  </si>
  <si>
    <t>Kimly Ltd</t>
  </si>
  <si>
    <t>IFAST SP EQUITY</t>
  </si>
  <si>
    <t>Ifast Corp Ltd</t>
  </si>
  <si>
    <t>MHAL SP EQUITY</t>
  </si>
  <si>
    <t>Moya Holdings Asia Ltd</t>
  </si>
  <si>
    <t>MMH SP EQUITY</t>
  </si>
  <si>
    <t>Micro-Mechanics Holdings Ltd</t>
  </si>
  <si>
    <t>BTH SP EQUITY</t>
  </si>
  <si>
    <t>Banyan Tree Holdings Ltd</t>
  </si>
  <si>
    <t>BOCJ SP EQUITY</t>
  </si>
  <si>
    <t>Boustead Projects Ltd</t>
  </si>
  <si>
    <t>PAN SP EQUITY</t>
  </si>
  <si>
    <t>Pan-United Corp Ltd</t>
  </si>
  <si>
    <t>AVJ SP EQUITY</t>
  </si>
  <si>
    <t>Avjennings Ltd</t>
  </si>
  <si>
    <t>AXJREIT SP EQUITY</t>
  </si>
  <si>
    <t>Nikkoam St A E Jp Reitetf-Sg</t>
  </si>
  <si>
    <t>GINV SP EQUITY</t>
  </si>
  <si>
    <t>Global Investments Ltd</t>
  </si>
  <si>
    <t>LBG SP EQUITY</t>
  </si>
  <si>
    <t>Lian Beng Group Ltd</t>
  </si>
  <si>
    <t>AMA SP EQUITY</t>
  </si>
  <si>
    <t>Amara Holdings Ltd</t>
  </si>
  <si>
    <t>HWAH SP EQUITY</t>
  </si>
  <si>
    <t>Hwa Hong Corp Ltd</t>
  </si>
  <si>
    <t>CSE SP EQUITY</t>
  </si>
  <si>
    <t>Cse Global Ltd</t>
  </si>
  <si>
    <t>LEM SP EQUITY</t>
  </si>
  <si>
    <t>Lyxor Emerging Markets</t>
  </si>
  <si>
    <t>DELM SP EQUITY</t>
  </si>
  <si>
    <t>Del Monte Pacific Ltd</t>
  </si>
  <si>
    <t>EAGLEHT SP EQUITY</t>
  </si>
  <si>
    <t>Eagle Hospitality Trust</t>
  </si>
  <si>
    <t>CH SP EQUITY</t>
  </si>
  <si>
    <t>Chuan Hup Holdings Ltd</t>
  </si>
  <si>
    <t>IHC SP EQUITY</t>
  </si>
  <si>
    <t>Oue Lippo Healthcare Ltd</t>
  </si>
  <si>
    <t>SIF SP EQUITY</t>
  </si>
  <si>
    <t>Sing Investments &amp; Finance</t>
  </si>
  <si>
    <t>WHUR SP EQUITY</t>
  </si>
  <si>
    <t>Wee Hur Holdings Ltd</t>
  </si>
  <si>
    <t>CTN SP EQUITY</t>
  </si>
  <si>
    <t>Cortina Holdings</t>
  </si>
  <si>
    <t>APTT SP EQUITY</t>
  </si>
  <si>
    <t>Asian Pay Television Trust</t>
  </si>
  <si>
    <t>PROP SP EQUITY</t>
  </si>
  <si>
    <t>Propnex Ltd</t>
  </si>
  <si>
    <t>MM2 SP EQUITY</t>
  </si>
  <si>
    <t>Mm2 Asia Ltd</t>
  </si>
  <si>
    <t>SUNN SP EQUITY</t>
  </si>
  <si>
    <t>Sunningdale Tech Ltd</t>
  </si>
  <si>
    <t>YINGLI SP EQUITY</t>
  </si>
  <si>
    <t>Ying Li International Real E</t>
  </si>
  <si>
    <t>UNU SP EQUITY</t>
  </si>
  <si>
    <t>Unusual Ltd</t>
  </si>
  <si>
    <t>MYP SP EQUITY</t>
  </si>
  <si>
    <t>Myp Ltd</t>
  </si>
  <si>
    <t>SRE SP EQUITY</t>
  </si>
  <si>
    <t>Singapore Reinsurance Corp</t>
  </si>
  <si>
    <t>DFIL SP EQUITY</t>
  </si>
  <si>
    <t>Duty Free International Ltd</t>
  </si>
  <si>
    <t>KSHH SP EQUITY</t>
  </si>
  <si>
    <t>Ksh Holdings Ltd</t>
  </si>
  <si>
    <t>FUYU SP EQUITY</t>
  </si>
  <si>
    <t>Fu Yu Corp Ltd</t>
  </si>
  <si>
    <t>XX25 SP EQUITY</t>
  </si>
  <si>
    <t>X Ftse China 50</t>
  </si>
  <si>
    <t>ISEC SP EQUITY</t>
  </si>
  <si>
    <t>Isec Healthcare Ltd</t>
  </si>
  <si>
    <t>XMTW SP EQUITY</t>
  </si>
  <si>
    <t>X Msci Taiwan</t>
  </si>
  <si>
    <t>VMAX SP EQUITY</t>
  </si>
  <si>
    <t>Valuemax Group Ltd</t>
  </si>
  <si>
    <t>AHYGS SP EQUITY</t>
  </si>
  <si>
    <t>Ishares Barclays Usd Ahyb</t>
  </si>
  <si>
    <t>AHYG SP EQUITY</t>
  </si>
  <si>
    <t>CHLG SP EQUITY</t>
  </si>
  <si>
    <t>Challenger Technologies Ltd</t>
  </si>
  <si>
    <t>JUMBO SP EQUITY</t>
  </si>
  <si>
    <t>Jumbo Group Ltd</t>
  </si>
  <si>
    <t>ICG SP EQUITY</t>
  </si>
  <si>
    <t>International Cement Group L</t>
  </si>
  <si>
    <t>UTG SP EQUITY</t>
  </si>
  <si>
    <t>United Global Ltd</t>
  </si>
  <si>
    <t>SREITS SP EQUITY</t>
  </si>
  <si>
    <t>Lion-Phillip S-Reit Etf</t>
  </si>
  <si>
    <t>WCG SP EQUITY</t>
  </si>
  <si>
    <t>World Class Global Ltd</t>
  </si>
  <si>
    <t>TSE SP EQUITY</t>
  </si>
  <si>
    <t>Tai Sin Electric Ltd</t>
  </si>
  <si>
    <t>MCFS SP EQUITY</t>
  </si>
  <si>
    <t>Maxi-Cash Financial Services</t>
  </si>
  <si>
    <t>KV4 SP EQUITY</t>
  </si>
  <si>
    <t>X Singapore Government Bond</t>
  </si>
  <si>
    <t>HIH SP EQUITY</t>
  </si>
  <si>
    <t>Hotung Investment Holdings</t>
  </si>
  <si>
    <t>ABR SP EQUITY</t>
  </si>
  <si>
    <t>Abr Holdings Ltd</t>
  </si>
  <si>
    <t>XMIN SP EQUITY</t>
  </si>
  <si>
    <t>X Msci Indonesia Swap 1C</t>
  </si>
  <si>
    <t>SCE SP EQUITY</t>
  </si>
  <si>
    <t>Second Chance Properties Ltd</t>
  </si>
  <si>
    <t>HLSH SP EQUITY</t>
  </si>
  <si>
    <t>Hock Lian Seng Holdings Ltd</t>
  </si>
  <si>
    <t>SING SP EQUITY</t>
  </si>
  <si>
    <t>Sing Holdings Limited</t>
  </si>
  <si>
    <t>INR SP EQUITY</t>
  </si>
  <si>
    <t>Lyxor Msci India</t>
  </si>
  <si>
    <t>CREAF SP EQUITY</t>
  </si>
  <si>
    <t>Creative Technology Ltd</t>
  </si>
  <si>
    <t>CVL SP EQUITY</t>
  </si>
  <si>
    <t>Civmec Ltd</t>
  </si>
  <si>
    <t>AVARGA SP EQUITY</t>
  </si>
  <si>
    <t>Avarga Ltd</t>
  </si>
  <si>
    <t>ISET SP EQUITY</t>
  </si>
  <si>
    <t>Isetan Singapore Ltd</t>
  </si>
  <si>
    <t>AFG SP EQUITY</t>
  </si>
  <si>
    <t>Af Global Ltd</t>
  </si>
  <si>
    <t>XNIF SP EQUITY</t>
  </si>
  <si>
    <t>X Nifty 50 Swap</t>
  </si>
  <si>
    <t>ZBR SP EQUITY</t>
  </si>
  <si>
    <t>Zhongmin Baihui Retail Group</t>
  </si>
  <si>
    <t>SLB SP EQUITY</t>
  </si>
  <si>
    <t>Slb Development Ltd</t>
  </si>
  <si>
    <t>HTON SP EQUITY</t>
  </si>
  <si>
    <t>Heeton Holdings Ltd</t>
  </si>
  <si>
    <t>REXI SP EQUITY</t>
  </si>
  <si>
    <t>Rex International Holding</t>
  </si>
  <si>
    <t>JBF SP EQUITY</t>
  </si>
  <si>
    <t>Jb Foods Ltd</t>
  </si>
  <si>
    <t>OEL SP EQUITY</t>
  </si>
  <si>
    <t>Overseas Education Ltd</t>
  </si>
  <si>
    <t>SBD SP EQUITY</t>
  </si>
  <si>
    <t>Singapura Finance Ltd</t>
  </si>
  <si>
    <t>LCH SP EQUITY</t>
  </si>
  <si>
    <t>Lum Chang Holdings Ltd</t>
  </si>
  <si>
    <t>SHS SP EQUITY</t>
  </si>
  <si>
    <t>Shs Holdings Ltd</t>
  </si>
  <si>
    <t>APAC SP EQUITY</t>
  </si>
  <si>
    <t>Apac Realty Ltd</t>
  </si>
  <si>
    <t>PEC SP EQUITY</t>
  </si>
  <si>
    <t>Pec Ltd</t>
  </si>
  <si>
    <t>EGCL SP EQUITY</t>
  </si>
  <si>
    <t>Engro Corp Ltd</t>
  </si>
  <si>
    <t>FMIL SP EQUITY</t>
  </si>
  <si>
    <t>Fortress Minerals Ltd</t>
  </si>
  <si>
    <t>GERL SP EQUITY</t>
  </si>
  <si>
    <t>Geo Energy Resources Ltd</t>
  </si>
  <si>
    <t>HMED SP EQUITY</t>
  </si>
  <si>
    <t>Healthway Medical Corp Ltd</t>
  </si>
  <si>
    <t>RLS SP EQUITY</t>
  </si>
  <si>
    <t>Raffles Education Corp Ltd</t>
  </si>
  <si>
    <t>XMKO SP EQUITY</t>
  </si>
  <si>
    <t>X Msci Korea</t>
  </si>
  <si>
    <t>SMG SP EQUITY</t>
  </si>
  <si>
    <t>Singapore Medical Group Ltd</t>
  </si>
  <si>
    <t>HATT SP EQUITY</t>
  </si>
  <si>
    <t>Hatten Land Ltd</t>
  </si>
  <si>
    <t>IXBIO SP EQUITY</t>
  </si>
  <si>
    <t>Ix Biopharma Ltd</t>
  </si>
  <si>
    <t>SSTAR SP EQUITY</t>
  </si>
  <si>
    <t>Sinostar Pec Holdings Ltd</t>
  </si>
  <si>
    <t>SPE SP EQUITY</t>
  </si>
  <si>
    <t>Spindex Industries Ltd</t>
  </si>
  <si>
    <t>PBS SP EQUITY</t>
  </si>
  <si>
    <t>Penguin International Ltd</t>
  </si>
  <si>
    <t>SSCL SP EQUITY</t>
  </si>
  <si>
    <t>Singapore Shipping Corp Ltd</t>
  </si>
  <si>
    <t>TECK SP EQUITY</t>
  </si>
  <si>
    <t>Teckwah Industrial Corp Ltd</t>
  </si>
  <si>
    <t>HANW SP EQUITY</t>
  </si>
  <si>
    <t>Hanwell Holdings Ltd</t>
  </si>
  <si>
    <t>LCL SP EQUITY</t>
  </si>
  <si>
    <t>Ly Corp Ltd</t>
  </si>
  <si>
    <t>MDR SP EQUITY</t>
  </si>
  <si>
    <t>Mdr Ltd</t>
  </si>
  <si>
    <t>FSLT SP EQUITY</t>
  </si>
  <si>
    <t>First Ship Lease Trust</t>
  </si>
  <si>
    <t>TWC SP EQUITY</t>
  </si>
  <si>
    <t>Tiong Woon Corp Hldg Ltd</t>
  </si>
  <si>
    <t>YHI SP EQUITY</t>
  </si>
  <si>
    <t>Yhi International Ltd</t>
  </si>
  <si>
    <t>STARB SP EQUITY</t>
  </si>
  <si>
    <t>Starburst Holdings Ltd</t>
  </si>
  <si>
    <t>SHIN SP EQUITY</t>
  </si>
  <si>
    <t>Shinvest Holding Ltd</t>
  </si>
  <si>
    <t>HLCK SP EQUITY</t>
  </si>
  <si>
    <t>Hai Leck Holdings Ltd</t>
  </si>
  <si>
    <t>NRD SP EQUITY</t>
  </si>
  <si>
    <t>Nordic Group Ltd</t>
  </si>
  <si>
    <t>LG8 SP EQUITY</t>
  </si>
  <si>
    <t>X Msci India Swap</t>
  </si>
  <si>
    <t>TLC SP EQUITY</t>
  </si>
  <si>
    <t>Telechoice International Ltd</t>
  </si>
  <si>
    <t>SMELT SP EQUITY</t>
  </si>
  <si>
    <t>Malaysia Smelting Corp Bhd</t>
  </si>
  <si>
    <t>CLGL SP EQUITY</t>
  </si>
  <si>
    <t>Cordlife Group Ltd</t>
  </si>
  <si>
    <t>KHHL SP EQUITY</t>
  </si>
  <si>
    <t>Keong Hong Holdings Ltd</t>
  </si>
  <si>
    <t>INDIAS SP EQUITY</t>
  </si>
  <si>
    <t>Ishares Msci India Index Etf</t>
  </si>
  <si>
    <t>INDIA SP EQUITY</t>
  </si>
  <si>
    <t>INNOT SP EQUITY</t>
  </si>
  <si>
    <t>Innotek Ltd</t>
  </si>
  <si>
    <t>TEEL SP EQUITY</t>
  </si>
  <si>
    <t>Tee Land Ltd</t>
  </si>
  <si>
    <t>TACL SP EQUITY</t>
  </si>
  <si>
    <t>Ta Corp Ltd</t>
  </si>
  <si>
    <t>AHSP SP EQUITY</t>
  </si>
  <si>
    <t>Asian Healthcare Specialists</t>
  </si>
  <si>
    <t>ASPEN SP EQUITY</t>
  </si>
  <si>
    <t>Aspen Group Holdings Ltd</t>
  </si>
  <si>
    <t>KBE SP EQUITY</t>
  </si>
  <si>
    <t>Koh Brothers Eco Engineering</t>
  </si>
  <si>
    <t>AMOS SP EQUITY</t>
  </si>
  <si>
    <t>Amos Group Ltd</t>
  </si>
  <si>
    <t>GSHL SP EQUITY</t>
  </si>
  <si>
    <t>Gs Holdings Ltd</t>
  </si>
  <si>
    <t>DMHL SP EQUITY</t>
  </si>
  <si>
    <t>Dyna-Mac Holdings Ltd</t>
  </si>
  <si>
    <t>SAMUR SP EQUITY</t>
  </si>
  <si>
    <t>Samurai 2K Aerosol Ltd</t>
  </si>
  <si>
    <t>SOG SP EQUITY</t>
  </si>
  <si>
    <t>Singapore O&amp;G Ltd</t>
  </si>
  <si>
    <t>POLUX SP EQUITY</t>
  </si>
  <si>
    <t>Pollux Properties Ltd</t>
  </si>
  <si>
    <t>OCNUS SP EQUITY</t>
  </si>
  <si>
    <t>Oceanus Group Ltd</t>
  </si>
  <si>
    <t>CEI SP EQUITY</t>
  </si>
  <si>
    <t>Cei Ltd</t>
  </si>
  <si>
    <t>MMT SP EQUITY</t>
  </si>
  <si>
    <t>Mermaid Maritime Pcl</t>
  </si>
  <si>
    <t>IFS SP EQUITY</t>
  </si>
  <si>
    <t>Ifs Capital Ltd</t>
  </si>
  <si>
    <t>DTECH SP EQUITY</t>
  </si>
  <si>
    <t>Dutech Holdings Ltd</t>
  </si>
  <si>
    <t>EUCON SP EQUITY</t>
  </si>
  <si>
    <t>Place Holdings Ltd/The</t>
  </si>
  <si>
    <t>NLPM SP EQUITY</t>
  </si>
  <si>
    <t>Nam Lee Pressed Metal Ind</t>
  </si>
  <si>
    <t>PDS SP EQUITY</t>
  </si>
  <si>
    <t>Powermatic Data Systems Ltd</t>
  </si>
  <si>
    <t>TSNG SP EQUITY</t>
  </si>
  <si>
    <t>Tiong Seng Holdings Ltd</t>
  </si>
  <si>
    <t>MC SP EQUITY</t>
  </si>
  <si>
    <t>Multi-Chem Ltd</t>
  </si>
  <si>
    <t>HAFA SP EQUITY</t>
  </si>
  <si>
    <t>Hafary Holdings Ltd</t>
  </si>
  <si>
    <t>BWPM SP EQUITY</t>
  </si>
  <si>
    <t>World Precision Machinery Lt</t>
  </si>
  <si>
    <t>OCK SP EQUITY</t>
  </si>
  <si>
    <t>Old Chang Kee Ltd</t>
  </si>
  <si>
    <t>PROC SP EQUITY</t>
  </si>
  <si>
    <t>Procurri Corp Ltd</t>
  </si>
  <si>
    <t>NERT SP EQUITY</t>
  </si>
  <si>
    <t>Nera Telecommunications Ltd</t>
  </si>
  <si>
    <t>ISDN SP EQUITY</t>
  </si>
  <si>
    <t>Isdn Holdings Ltd</t>
  </si>
  <si>
    <t>SARINE SP EQUITY</t>
  </si>
  <si>
    <t>Sarine Technologies Ltd</t>
  </si>
  <si>
    <t>HSP SP EQUITY</t>
  </si>
  <si>
    <t>Hc Surgical Specialists Ltd</t>
  </si>
  <si>
    <t>VIBG SP EQUITY</t>
  </si>
  <si>
    <t>Vibrant Group Ltd</t>
  </si>
  <si>
    <t>SAMU SP EQUITY</t>
  </si>
  <si>
    <t>Samudera Shipping Line Ltd</t>
  </si>
  <si>
    <t>JEP SP EQUITY</t>
  </si>
  <si>
    <t>Jep Holdings Ltd</t>
  </si>
  <si>
    <t>KOH SP EQUITY</t>
  </si>
  <si>
    <t>Koh Brothers Group Ltd</t>
  </si>
  <si>
    <t>PNE SP EQUITY</t>
  </si>
  <si>
    <t>Pne Industries Ltd</t>
  </si>
  <si>
    <t>LF1 SP EQUITY</t>
  </si>
  <si>
    <t>X S&amp;P Asx 200</t>
  </si>
  <si>
    <t>CNMC SP EQUITY</t>
  </si>
  <si>
    <t>Cnmc Goldmine Holdings Ltd</t>
  </si>
  <si>
    <t>CBH SP EQUITY</t>
  </si>
  <si>
    <t>Clearbridge Health Ltd</t>
  </si>
  <si>
    <t>AUSG SP EQUITY</t>
  </si>
  <si>
    <t>Ausgroup Ltd</t>
  </si>
  <si>
    <t>MCHAMPS SP EQUITY</t>
  </si>
  <si>
    <t>Mindchamps Preschool Ltd</t>
  </si>
  <si>
    <t>KTH SP EQUITY</t>
  </si>
  <si>
    <t>Karin Technology Holdings</t>
  </si>
  <si>
    <t>AJAC SP EQUITY</t>
  </si>
  <si>
    <t>Ishares Jpm Usd Asia Bond</t>
  </si>
  <si>
    <t>AJACS SP EQUITY</t>
  </si>
  <si>
    <t>GOOD SP EQUITY</t>
  </si>
  <si>
    <t>Goodland Group Ltd</t>
  </si>
  <si>
    <t>TSP SP EQUITY</t>
  </si>
  <si>
    <t>Tat Seng Packaging Group Ltd</t>
  </si>
  <si>
    <t>AOXIN SP EQUITY</t>
  </si>
  <si>
    <t>Aoxin Q &amp; M Dental Group Ltd</t>
  </si>
  <si>
    <t>TOYO SP EQUITY</t>
  </si>
  <si>
    <t>New Toyo International Hldgs</t>
  </si>
  <si>
    <t>TTGL SP EQUITY</t>
  </si>
  <si>
    <t>Trendlines Group Ltd/The</t>
  </si>
  <si>
    <t>AVIT SP EQUITY</t>
  </si>
  <si>
    <t>Avi-Tech Electronics Ltd</t>
  </si>
  <si>
    <t>THK SP EQUITY</t>
  </si>
  <si>
    <t>Thakral Corp Ltd</t>
  </si>
  <si>
    <t>HYP SP EQUITY</t>
  </si>
  <si>
    <t>Hyphens Pharma International</t>
  </si>
  <si>
    <t>OKP SP EQUITY</t>
  </si>
  <si>
    <t>Okp Holdings Ltd</t>
  </si>
  <si>
    <t>MCI SP EQUITY</t>
  </si>
  <si>
    <t>Mercurius Capital Investment</t>
  </si>
  <si>
    <t>SPST SP EQUITY</t>
  </si>
  <si>
    <t>St Group Food Industries Hol</t>
  </si>
  <si>
    <t>YMAO SP EQUITY</t>
  </si>
  <si>
    <t>Yongmao Holdings Ltd</t>
  </si>
  <si>
    <t>LG7 SP EQUITY</t>
  </si>
  <si>
    <t>X Msci Thailand 1C</t>
  </si>
  <si>
    <t>GVTL SP EQUITY</t>
  </si>
  <si>
    <t>Grand Venture Technology Ltd</t>
  </si>
  <si>
    <t>WILR SP EQUITY</t>
  </si>
  <si>
    <t>Wilton Resources Corp Ltd</t>
  </si>
  <si>
    <t>GLOD SP EQUITY</t>
  </si>
  <si>
    <t>Global Dragon Ltd</t>
  </si>
  <si>
    <t>KOPL SP EQUITY</t>
  </si>
  <si>
    <t>Kop Ltd</t>
  </si>
  <si>
    <t>HYNG SP EQUITY</t>
  </si>
  <si>
    <t>Hengyang Petrochemical Logis</t>
  </si>
  <si>
    <t>MHL SP EQUITY</t>
  </si>
  <si>
    <t>Memiontec Holdings Ltd</t>
  </si>
  <si>
    <t>JFOOD SP EQUITY</t>
  </si>
  <si>
    <t>Japan Foods Holding Ltd</t>
  </si>
  <si>
    <t>BLD SP EQUITY</t>
  </si>
  <si>
    <t>Biolidics Ltd</t>
  </si>
  <si>
    <t>SROAD SP EQUITY</t>
  </si>
  <si>
    <t>Silkroad Nickel Ltd</t>
  </si>
  <si>
    <t>AEI SP EQUITY</t>
  </si>
  <si>
    <t>Aei Corp Ltd</t>
  </si>
  <si>
    <t>UNION SP EQUITY</t>
  </si>
  <si>
    <t>Union Gas Holdings Limited</t>
  </si>
  <si>
    <t>CHEM SP EQUITY</t>
  </si>
  <si>
    <t>Chemical Ind (F.E.) Ltd</t>
  </si>
  <si>
    <t>ZICO SP EQUITY</t>
  </si>
  <si>
    <t>Zico Holdings Inc</t>
  </si>
  <si>
    <t>BBR SP EQUITY</t>
  </si>
  <si>
    <t>Bbr Holdings (S) Ltd</t>
  </si>
  <si>
    <t>YNH SP EQUITY</t>
  </si>
  <si>
    <t>Yongnam Holdings Ltd</t>
  </si>
  <si>
    <t>TGL SP EQUITY</t>
  </si>
  <si>
    <t>Top Global Ltd</t>
  </si>
  <si>
    <t>MMFS SP EQUITY</t>
  </si>
  <si>
    <t>Moneymax Financial Service L</t>
  </si>
  <si>
    <t>LHN SP EQUITY</t>
  </si>
  <si>
    <t>Lhn Ltd</t>
  </si>
  <si>
    <t>MPM SP EQUITY</t>
  </si>
  <si>
    <t>Marco Polo Marine Ltd</t>
  </si>
  <si>
    <t>TIH SP EQUITY</t>
  </si>
  <si>
    <t>Tih Ltd</t>
  </si>
  <si>
    <t>TTJ SP EQUITY</t>
  </si>
  <si>
    <t>T T J Holdings Ltd</t>
  </si>
  <si>
    <t>STC SP EQUITY</t>
  </si>
  <si>
    <t>Stamford Tyres Corp Ltd</t>
  </si>
  <si>
    <t>NGL SP EQUITY</t>
  </si>
  <si>
    <t>Neo Group Ltd</t>
  </si>
  <si>
    <t>BTL SP EQUITY</t>
  </si>
  <si>
    <t>Baker Technology Ltd</t>
  </si>
  <si>
    <t>REVEZ SP EQUITY</t>
  </si>
  <si>
    <t>Revez Corp Ltd</t>
  </si>
  <si>
    <t>ELL SP EQUITY</t>
  </si>
  <si>
    <t>Ellipsiz Ltd</t>
  </si>
  <si>
    <t>KGL SP EQUITY</t>
  </si>
  <si>
    <t>Khong Guan Ltd</t>
  </si>
  <si>
    <t>MGCM SP EQUITY</t>
  </si>
  <si>
    <t>Megachem Ltd</t>
  </si>
  <si>
    <t>APW SP EQUITY</t>
  </si>
  <si>
    <t>Aims Property Securities Fun</t>
  </si>
  <si>
    <t>SERL SP EQUITY</t>
  </si>
  <si>
    <t>Serial System Ltd</t>
  </si>
  <si>
    <t>SINGINC SP EQUITY</t>
  </si>
  <si>
    <t>Phillip Sing Income Etf</t>
  </si>
  <si>
    <t>RGL SP EQUITY</t>
  </si>
  <si>
    <t>Reclaims Global Ltd</t>
  </si>
  <si>
    <t>ISO SP EQUITY</t>
  </si>
  <si>
    <t>Isoteam Ltd</t>
  </si>
  <si>
    <t>CCHL SP EQUITY</t>
  </si>
  <si>
    <t>Choo Chiang Holdings Ltd</t>
  </si>
  <si>
    <t>CSC SP EQUITY</t>
  </si>
  <si>
    <t>Csc Holdings Ltd</t>
  </si>
  <si>
    <t>CITC SP EQUITY</t>
  </si>
  <si>
    <t>Citicode Ltd</t>
  </si>
  <si>
    <t>AHG SP EQUITY</t>
  </si>
  <si>
    <t>Alliance Healthcare Group Lt</t>
  </si>
  <si>
    <t>CHEV4000 SP EQUITY</t>
  </si>
  <si>
    <t>China Environmental Resource</t>
  </si>
  <si>
    <t>EXLP SP EQUITY</t>
  </si>
  <si>
    <t>Excelpoint Technology Ltd</t>
  </si>
  <si>
    <t>MED SP EQUITY</t>
  </si>
  <si>
    <t>Medtecs International Corp</t>
  </si>
  <si>
    <t>NSG SP EQUITY</t>
  </si>
  <si>
    <t>New Silkroutes Group Ltd</t>
  </si>
  <si>
    <t>ASMH SP EQUITY</t>
  </si>
  <si>
    <t>A-Smart Holdings Ltd</t>
  </si>
  <si>
    <t>DT SP EQUITY</t>
  </si>
  <si>
    <t>Datapulse Technology Ltd</t>
  </si>
  <si>
    <t>KMEN SP EQUITY</t>
  </si>
  <si>
    <t>Kingsmen Creatives Ltd</t>
  </si>
  <si>
    <t>LG6 SP EQUITY</t>
  </si>
  <si>
    <t>X Msci Malaysia 1C</t>
  </si>
  <si>
    <t>TUNG SP EQUITY</t>
  </si>
  <si>
    <t>Tung Lok Restaurants 2000</t>
  </si>
  <si>
    <t>GKEC SP EQUITY</t>
  </si>
  <si>
    <t>Gke Corp Ltd</t>
  </si>
  <si>
    <t>MTQ SP EQUITY</t>
  </si>
  <si>
    <t>Mtq Corp Ltd</t>
  </si>
  <si>
    <t>SGH SP EQUITY</t>
  </si>
  <si>
    <t>Sin Ghee Huat Corp Ltd</t>
  </si>
  <si>
    <t>SUNR SP EQUITY</t>
  </si>
  <si>
    <t>Sunright Ltd</t>
  </si>
  <si>
    <t>VPS SP EQUITY</t>
  </si>
  <si>
    <t>Vicplas International Ltd</t>
  </si>
  <si>
    <t>GTH SP EQUITY</t>
  </si>
  <si>
    <t>Guoan International Ltd</t>
  </si>
  <si>
    <t>ASEH SP EQUITY</t>
  </si>
  <si>
    <t>Asia Enterprises Holding Ltd</t>
  </si>
  <si>
    <t>ASI SP EQUITY</t>
  </si>
  <si>
    <t>Lyxor China Entreprise</t>
  </si>
  <si>
    <t>ADDV SP EQUITY</t>
  </si>
  <si>
    <t>Addvalue Technologies Ltd</t>
  </si>
  <si>
    <t>GBY SP EQUITY</t>
  </si>
  <si>
    <t>Grand Banks Yachts Ltd</t>
  </si>
  <si>
    <t>KODA SP EQUITY</t>
  </si>
  <si>
    <t>Koda Ltd</t>
  </si>
  <si>
    <t>SGE SP EQUITY</t>
  </si>
  <si>
    <t>Singapore Edevelopment Ltd</t>
  </si>
  <si>
    <t>N2E SP EQUITY</t>
  </si>
  <si>
    <t>X Msci Philippines 1C</t>
  </si>
  <si>
    <t>O9A SP EQUITY</t>
  </si>
  <si>
    <t>X Msci Singapore 1C</t>
  </si>
  <si>
    <t>DYMC SP EQUITY</t>
  </si>
  <si>
    <t>Dynamic Colours Ltd</t>
  </si>
  <si>
    <t>SHLL SP EQUITY</t>
  </si>
  <si>
    <t>Sysma Holdings Ltd</t>
  </si>
  <si>
    <t>EURO SP EQUITY</t>
  </si>
  <si>
    <t>Eurosports Global Ltd</t>
  </si>
  <si>
    <t>CDW SP EQUITY</t>
  </si>
  <si>
    <t>Cdw Holding Ltd</t>
  </si>
  <si>
    <t>CWIH SP EQUITY</t>
  </si>
  <si>
    <t>Combine Will International H</t>
  </si>
  <si>
    <t>UGHC SP EQUITY</t>
  </si>
  <si>
    <t>Ug Healthcare Corp Ltd</t>
  </si>
  <si>
    <t>SK SP EQUITY</t>
  </si>
  <si>
    <t>Sk Jewellery Group Limited</t>
  </si>
  <si>
    <t>CWM SP EQUITY</t>
  </si>
  <si>
    <t>Cheung Woh Technologies</t>
  </si>
  <si>
    <t>POL SP EQUITY</t>
  </si>
  <si>
    <t>Polaris Ltd</t>
  </si>
  <si>
    <t>PANH SP EQUITY</t>
  </si>
  <si>
    <t>Pan Hong Holdings Group Ltd</t>
  </si>
  <si>
    <t>LET SP EQUITY</t>
  </si>
  <si>
    <t>Leader Environmental Technol</t>
  </si>
  <si>
    <t>XMWO SP EQUITY</t>
  </si>
  <si>
    <t>X World Swap 2C</t>
  </si>
  <si>
    <t>SHHM SP EQUITY</t>
  </si>
  <si>
    <t>Sin Heng Heavy Machinery Ltd</t>
  </si>
  <si>
    <t>DAG SP EQUITY</t>
  </si>
  <si>
    <t>Don Agro International Ltd</t>
  </si>
  <si>
    <t>UAG SP EQUITY</t>
  </si>
  <si>
    <t>Uni-Asia Group Ltd</t>
  </si>
  <si>
    <t>MEDI SP EQUITY</t>
  </si>
  <si>
    <t>Medinex Ltd</t>
  </si>
  <si>
    <t>KTG SP EQUITY</t>
  </si>
  <si>
    <t>Katrina Group Ltd</t>
  </si>
  <si>
    <t>SOUP SP EQUITY</t>
  </si>
  <si>
    <t>Soup Restaurant Group Ltd</t>
  </si>
  <si>
    <t>RES SP EQUITY</t>
  </si>
  <si>
    <t>Re&amp;S Holdings Ltd</t>
  </si>
  <si>
    <t>LIGO SP EQUITY</t>
  </si>
  <si>
    <t>Liongold Corp Ltd</t>
  </si>
  <si>
    <t>JCGI SP EQUITY</t>
  </si>
  <si>
    <t>Jcg Investment Holdings Ltd</t>
  </si>
  <si>
    <t>CKANG SP EQUITY</t>
  </si>
  <si>
    <t>China Kangda Food Co Ltd</t>
  </si>
  <si>
    <t>TAKA SP EQUITY</t>
  </si>
  <si>
    <t>Tlv Holdings Ltd</t>
  </si>
  <si>
    <t>BC SP EQUITY</t>
  </si>
  <si>
    <t>Brook Crompton Holdings Ltd</t>
  </si>
  <si>
    <t>TRICKLE SP EQUITY</t>
  </si>
  <si>
    <t>Tricklestar Pte Ltd</t>
  </si>
  <si>
    <t>ADGL SP EQUITY</t>
  </si>
  <si>
    <t>Advancer Global Ltd</t>
  </si>
  <si>
    <t>JSH SP EQUITY</t>
  </si>
  <si>
    <t>China Jishan Holdings Ltd</t>
  </si>
  <si>
    <t>AEJ SP EQUITY</t>
  </si>
  <si>
    <t>Lyxor Msci Asia Pacific</t>
  </si>
  <si>
    <t>GRP SP EQUITY</t>
  </si>
  <si>
    <t>Grp Ltd</t>
  </si>
  <si>
    <t>LHT SP EQUITY</t>
  </si>
  <si>
    <t>Lht Holdings Ltd</t>
  </si>
  <si>
    <t>NCL SP EQUITY</t>
  </si>
  <si>
    <t>Nam Cheong Limited</t>
  </si>
  <si>
    <t>BWAY SP EQUITY</t>
  </si>
  <si>
    <t>Broadway Industrial Grp Ltd</t>
  </si>
  <si>
    <t>WFI SP EQUITY</t>
  </si>
  <si>
    <t>Wong Fong Industries Ltd</t>
  </si>
  <si>
    <t>SLGL SP EQUITY</t>
  </si>
  <si>
    <t>Sim Leisure Group Ltd</t>
  </si>
  <si>
    <t>HLHG SP EQUITY</t>
  </si>
  <si>
    <t>Hong Lai Huat Group Ltd</t>
  </si>
  <si>
    <t>KWAN SP EQUITY</t>
  </si>
  <si>
    <t>King Wan Corp Ltd</t>
  </si>
  <si>
    <t>SUTL SP EQUITY</t>
  </si>
  <si>
    <t>Sutl Enterprise Ltd</t>
  </si>
  <si>
    <t>VALZ SP EQUITY</t>
  </si>
  <si>
    <t>Vallianz Holdings Ltd</t>
  </si>
  <si>
    <t>KHLL SP EQUITY</t>
  </si>
  <si>
    <t>Kori Holdings Ltd</t>
  </si>
  <si>
    <t>BLUM SP EQUITY</t>
  </si>
  <si>
    <t>Blumont Group Ltd</t>
  </si>
  <si>
    <t>YPG SP EQUITY</t>
  </si>
  <si>
    <t>Gyp Properties Ltd</t>
  </si>
  <si>
    <t>FEDI SP EQUITY</t>
  </si>
  <si>
    <t>Federal International 2000</t>
  </si>
  <si>
    <t>APOIL SP EQUITY</t>
  </si>
  <si>
    <t>Ap Oil International Ltd</t>
  </si>
  <si>
    <t>ATL SP EQUITY</t>
  </si>
  <si>
    <t>Atlantic Navigation Holdings</t>
  </si>
  <si>
    <t>GPR SP EQUITY</t>
  </si>
  <si>
    <t>Global Palm Resources Holdin</t>
  </si>
  <si>
    <t>KTMG SP EQUITY</t>
  </si>
  <si>
    <t>Ktmg Ltd</t>
  </si>
  <si>
    <t>SCL SP EQUITY</t>
  </si>
  <si>
    <t>Synagie Corp Ltd</t>
  </si>
  <si>
    <t>LAP SP EQUITY</t>
  </si>
  <si>
    <t>Lion Asiapac Ltd</t>
  </si>
  <si>
    <t>IPSS SP EQUITY</t>
  </si>
  <si>
    <t>Ips Securex Holdings Ltd</t>
  </si>
  <si>
    <t>AZEUS SP EQUITY</t>
  </si>
  <si>
    <t>Azeus Systems Holdings Ltd</t>
  </si>
  <si>
    <t>USSE50 SP EQUITY</t>
  </si>
  <si>
    <t>United Sse 50 China Etf</t>
  </si>
  <si>
    <t>I2I SP EQUITY</t>
  </si>
  <si>
    <t>Sevak Ltd</t>
  </si>
  <si>
    <t>WAE SP EQUITY</t>
  </si>
  <si>
    <t>Willas-Array Electronics</t>
  </si>
  <si>
    <t>BHGM SP EQUITY</t>
  </si>
  <si>
    <t>Bh Global Corp Ltd</t>
  </si>
  <si>
    <t>HGM SP EQUITY</t>
  </si>
  <si>
    <t>Hg Metal Manufacturing Ltd</t>
  </si>
  <si>
    <t>BLT SP EQUITY</t>
  </si>
  <si>
    <t>Ban Leong Technologies Ltd</t>
  </si>
  <si>
    <t>INTR SP EQUITY</t>
  </si>
  <si>
    <t>Intraco Ltd</t>
  </si>
  <si>
    <t>BMH SP EQUITY</t>
  </si>
  <si>
    <t>British And Malayan Holdings</t>
  </si>
  <si>
    <t>RIHL SP EQUITY</t>
  </si>
  <si>
    <t>Raffles Infrastructure Holdi</t>
  </si>
  <si>
    <t>ASA SP EQUITY</t>
  </si>
  <si>
    <t>Advanced Systems Automation</t>
  </si>
  <si>
    <t>MGRP SP EQUITY</t>
  </si>
  <si>
    <t>Megroup Ltd</t>
  </si>
  <si>
    <t>SOIL SP EQUITY</t>
  </si>
  <si>
    <t>Soilbuild Construction Group</t>
  </si>
  <si>
    <t>ICP SP EQUITY</t>
  </si>
  <si>
    <t>Icp Ltd</t>
  </si>
  <si>
    <t>VTH SP EQUITY</t>
  </si>
  <si>
    <t>Vividthree Holdings Ltd</t>
  </si>
  <si>
    <t>AXCL SP EQUITY</t>
  </si>
  <si>
    <t>Axcelasia Inc</t>
  </si>
  <si>
    <t>PSTAR SP EQUITY</t>
  </si>
  <si>
    <t>Pacific Star Development Ltd</t>
  </si>
  <si>
    <t>SAMKO SP EQUITY</t>
  </si>
  <si>
    <t>Samko Timber Ltd</t>
  </si>
  <si>
    <t>COLEX SP EQUITY</t>
  </si>
  <si>
    <t>Colex Holdings Ltd</t>
  </si>
  <si>
    <t>FUJI SP EQUITY</t>
  </si>
  <si>
    <t>Fuji Offset Plates Mfg Ltd</t>
  </si>
  <si>
    <t>ITRR SP EQUITY</t>
  </si>
  <si>
    <t>Interra Resources Ltd</t>
  </si>
  <si>
    <t>GSSE SP EQUITY</t>
  </si>
  <si>
    <t>Gss Energy Ltd</t>
  </si>
  <si>
    <t>MSE SP EQUITY</t>
  </si>
  <si>
    <t>Mun Siong Engineering Ltd</t>
  </si>
  <si>
    <t>AMPF SP EQUITY</t>
  </si>
  <si>
    <t>Amplefield Ltd</t>
  </si>
  <si>
    <t>HTONG SP EQUITY</t>
  </si>
  <si>
    <t>Hiap Tong Corp Ltd</t>
  </si>
  <si>
    <t>ASL SP EQUITY</t>
  </si>
  <si>
    <t>Asl Marine Holdings Ltd</t>
  </si>
  <si>
    <t>DISA SP EQUITY</t>
  </si>
  <si>
    <t>Disa Ltd</t>
  </si>
  <si>
    <t>SYH SP EQUITY</t>
  </si>
  <si>
    <t>Sen Yue Holdings Ltd</t>
  </si>
  <si>
    <t>SER SP EQUITY</t>
  </si>
  <si>
    <t>Seroja Investments Ltd</t>
  </si>
  <si>
    <t>SECO SP EQUITY</t>
  </si>
  <si>
    <t>Suntar Eco-City Ltd</t>
  </si>
  <si>
    <t>EIH SP EQUITY</t>
  </si>
  <si>
    <t>Envictus International Holdi</t>
  </si>
  <si>
    <t>AHL SP EQUITY</t>
  </si>
  <si>
    <t>Annica Holdings Ltd</t>
  </si>
  <si>
    <t>MEGL SP EQUITY</t>
  </si>
  <si>
    <t>Memories Group Ltd</t>
  </si>
  <si>
    <t>SPAK SP EQUITY</t>
  </si>
  <si>
    <t>Southern Packaging Group Ltd</t>
  </si>
  <si>
    <t>MIT SP EQUITY</t>
  </si>
  <si>
    <t>Manufacturing Integration Te</t>
  </si>
  <si>
    <t>RGDL SP EQUITY</t>
  </si>
  <si>
    <t>Resources Global Devt Ltd</t>
  </si>
  <si>
    <t>O9D SP EQUITY</t>
  </si>
  <si>
    <t>X Msci Pakistan Swap</t>
  </si>
  <si>
    <t>SMOON SP EQUITY</t>
  </si>
  <si>
    <t>Sunmoon Food Company Ltd</t>
  </si>
  <si>
    <t>KST SP EQUITY</t>
  </si>
  <si>
    <t>Ks Energy Ltd</t>
  </si>
  <si>
    <t>JIUC SP EQUITY</t>
  </si>
  <si>
    <t>Jiutian Chemical Group Ltd</t>
  </si>
  <si>
    <t>ECW SP EQUITY</t>
  </si>
  <si>
    <t>Ecowise Holdings Ltd</t>
  </si>
  <si>
    <t>MCH SP EQUITY</t>
  </si>
  <si>
    <t>Mary Chia Holdings Ltd</t>
  </si>
  <si>
    <t>OKH SP EQUITY</t>
  </si>
  <si>
    <t>Okh Global Ltd</t>
  </si>
  <si>
    <t>NOEL SP EQUITY</t>
  </si>
  <si>
    <t>Noel Gifts International Ltd</t>
  </si>
  <si>
    <t>APSI SP EQUITY</t>
  </si>
  <si>
    <t>China Real Estate Grp Ltd</t>
  </si>
  <si>
    <t>CHO SP EQUITY</t>
  </si>
  <si>
    <t>Ch Offshore Ltd</t>
  </si>
  <si>
    <t>FIGT SP EQUITY</t>
  </si>
  <si>
    <t>Figtree Holdings Ltd</t>
  </si>
  <si>
    <t>TEE SP EQUITY</t>
  </si>
  <si>
    <t>Tee International Ltd</t>
  </si>
  <si>
    <t>ASEANS SP EQUITY</t>
  </si>
  <si>
    <t>Principal Ftse Asean 40</t>
  </si>
  <si>
    <t>STHL SP EQUITY</t>
  </si>
  <si>
    <t>Starland Holdings Ltd</t>
  </si>
  <si>
    <t>HLGE SP EQUITY</t>
  </si>
  <si>
    <t>Hl Global Enterprises Ltd</t>
  </si>
  <si>
    <t>BDTK SP EQUITY</t>
  </si>
  <si>
    <t>Boldtek Holdings Ltd</t>
  </si>
  <si>
    <t>IPC SP EQUITY</t>
  </si>
  <si>
    <t>Ipc Corp Ltd</t>
  </si>
  <si>
    <t>ENEC SP EQUITY</t>
  </si>
  <si>
    <t>Eneco Energy Ltd</t>
  </si>
  <si>
    <t>APHOS SP EQUITY</t>
  </si>
  <si>
    <t>Asiaphos Ltd</t>
  </si>
  <si>
    <t>ASEAN SP EQUITY</t>
  </si>
  <si>
    <t>FJB SP EQUITY</t>
  </si>
  <si>
    <t>Fj Benjamin Holdings Ltd</t>
  </si>
  <si>
    <t>KHOM SP EQUITY</t>
  </si>
  <si>
    <t>Kim Heng Offshore &amp; Marine H</t>
  </si>
  <si>
    <t>CSMS SP EQUITY</t>
  </si>
  <si>
    <t>Cosmosteel Holdings Ltd</t>
  </si>
  <si>
    <t>KLW SP EQUITY</t>
  </si>
  <si>
    <t>Klw Holdings Ltd</t>
  </si>
  <si>
    <t>SANLI SP EQUITY</t>
  </si>
  <si>
    <t>Sanli Environment Ltd</t>
  </si>
  <si>
    <t>OAL SP EQUITY</t>
  </si>
  <si>
    <t>Oneapex Ltd</t>
  </si>
  <si>
    <t>SCRG SP EQUITY</t>
  </si>
  <si>
    <t>Secura Group Ltd</t>
  </si>
  <si>
    <t>LCT SP EQUITY</t>
  </si>
  <si>
    <t>Lct Holdings Ltd</t>
  </si>
  <si>
    <t>PAREITS SP EQUITY</t>
  </si>
  <si>
    <t>Phillip S-Apac Divd Ldr Retf</t>
  </si>
  <si>
    <t>PAREIT SP EQUITY</t>
  </si>
  <si>
    <t>TREK SP EQUITY</t>
  </si>
  <si>
    <t>Trek 2000 International Ltd</t>
  </si>
  <si>
    <t>MIYO SP EQUITY</t>
  </si>
  <si>
    <t>Miyoshi Ltd</t>
  </si>
  <si>
    <t>EDT SP EQUITY</t>
  </si>
  <si>
    <t>Edition Ltd</t>
  </si>
  <si>
    <t>MENR SP EQUITY</t>
  </si>
  <si>
    <t>Mirach Energy Ltd</t>
  </si>
  <si>
    <t>SITRA SP EQUITY</t>
  </si>
  <si>
    <t>Sitra Holdings International</t>
  </si>
  <si>
    <t>CHLD SP EQUITY</t>
  </si>
  <si>
    <t>Chasen Holdings Ltd</t>
  </si>
  <si>
    <t>KAGR SP EQUITY</t>
  </si>
  <si>
    <t>Kencana Agri Ltd</t>
  </si>
  <si>
    <t>XMRC SP EQUITY</t>
  </si>
  <si>
    <t>X Msci Russia Capped Swap 2D</t>
  </si>
  <si>
    <t>ANIK SP EQUITY</t>
  </si>
  <si>
    <t>Annaik Ltd</t>
  </si>
  <si>
    <t>ASTI SP EQUITY</t>
  </si>
  <si>
    <t>Asti Holdings Ltd</t>
  </si>
  <si>
    <t>SIGL SP EQUITY</t>
  </si>
  <si>
    <t>Sinocloud Group Ltd</t>
  </si>
  <si>
    <t>MC FP EQUITY</t>
  </si>
  <si>
    <t>Lvmh Moet Hennessy Louis Vui</t>
  </si>
  <si>
    <t>OR FP EQUITY</t>
  </si>
  <si>
    <t>L'Oreal</t>
  </si>
  <si>
    <t>SAP GR EQUITY</t>
  </si>
  <si>
    <t>Sap Se</t>
  </si>
  <si>
    <t>UNA NA EQUITY</t>
  </si>
  <si>
    <t>Unilever Nv</t>
  </si>
  <si>
    <t>PRX NA EQUITY</t>
  </si>
  <si>
    <t>Prosus Nv</t>
  </si>
  <si>
    <t>ASML NA EQUITY</t>
  </si>
  <si>
    <t>Asml Holding Nv</t>
  </si>
  <si>
    <t>SAN FP EQUITY</t>
  </si>
  <si>
    <t>Sanofi</t>
  </si>
  <si>
    <t>FP FP EQUITY</t>
  </si>
  <si>
    <t>Total Sa</t>
  </si>
  <si>
    <t>LIN GR EQUITY</t>
  </si>
  <si>
    <t>Linde Plc</t>
  </si>
  <si>
    <t>ABI BB EQUITY</t>
  </si>
  <si>
    <t>Anheuser-Busch Inbev Sa/Nv</t>
  </si>
  <si>
    <t>ITX SM EQUITY</t>
  </si>
  <si>
    <t>Industria De Diseno Textil</t>
  </si>
  <si>
    <t>RMS FP EQUITY</t>
  </si>
  <si>
    <t>Hermes International</t>
  </si>
  <si>
    <t>ALV GR EQUITY</t>
  </si>
  <si>
    <t>Allianz Se-Reg</t>
  </si>
  <si>
    <t>ENEL IM EQUITY</t>
  </si>
  <si>
    <t>Enel Spa</t>
  </si>
  <si>
    <t>SIE GR EQUITY</t>
  </si>
  <si>
    <t>Siemens Ag-Reg</t>
  </si>
  <si>
    <t>KER FP EQUITY</t>
  </si>
  <si>
    <t>Kering</t>
  </si>
  <si>
    <t>CDI FP EQUITY</t>
  </si>
  <si>
    <t>Christian Dior Se</t>
  </si>
  <si>
    <t>IBE SM EQUITY</t>
  </si>
  <si>
    <t>Iberdrola Sa</t>
  </si>
  <si>
    <t>VOW3 GR EQUITY</t>
  </si>
  <si>
    <t>Volkswagen Ag-Pref</t>
  </si>
  <si>
    <t>DTE GR EQUITY</t>
  </si>
  <si>
    <t>Deutsche Telekom Ag-Reg</t>
  </si>
  <si>
    <t>AIR FP EQUITY</t>
  </si>
  <si>
    <t>Airbus Se</t>
  </si>
  <si>
    <t>AI FP EQUITY</t>
  </si>
  <si>
    <t>Air Liquide Sa</t>
  </si>
  <si>
    <t>BAYN GR EQUITY</t>
  </si>
  <si>
    <t>Bayer Ag-Reg</t>
  </si>
  <si>
    <t>SU FP EQUITY</t>
  </si>
  <si>
    <t>Schneider Electric Se</t>
  </si>
  <si>
    <t>EL FP EQUITY</t>
  </si>
  <si>
    <t>Essilorluxottica</t>
  </si>
  <si>
    <t>DG FP EQUITY</t>
  </si>
  <si>
    <t>Vinci Sa</t>
  </si>
  <si>
    <t>HEIA NA EQUITY</t>
  </si>
  <si>
    <t>Heineken Nv</t>
  </si>
  <si>
    <t>ADS GR EQUITY</t>
  </si>
  <si>
    <t>Adidas Ag</t>
  </si>
  <si>
    <t>MRK GR EQUITY</t>
  </si>
  <si>
    <t>Merck Kgaa</t>
  </si>
  <si>
    <t>SAN SM EQUITY</t>
  </si>
  <si>
    <t>Banco Santander Sa</t>
  </si>
  <si>
    <t>BN FP EQUITY</t>
  </si>
  <si>
    <t>Danone</t>
  </si>
  <si>
    <t>BAS GR EQUITY</t>
  </si>
  <si>
    <t>Basf Se</t>
  </si>
  <si>
    <t>CS FP EQUITY</t>
  </si>
  <si>
    <t>Axa Sa</t>
  </si>
  <si>
    <t>BNP FP EQUITY</t>
  </si>
  <si>
    <t>Bnp Paribas</t>
  </si>
  <si>
    <t>SAF FP EQUITY</t>
  </si>
  <si>
    <t>Safran Sa</t>
  </si>
  <si>
    <t>RI FP EQUITY</t>
  </si>
  <si>
    <t>Pernod Ricard Sa</t>
  </si>
  <si>
    <t>DSY FP EQUITY</t>
  </si>
  <si>
    <t>Dassault Systemes Sa</t>
  </si>
  <si>
    <t>SHL GR EQUITY</t>
  </si>
  <si>
    <t>Siemens Healthineers Ag</t>
  </si>
  <si>
    <t>PHIA NA EQUITY</t>
  </si>
  <si>
    <t>Koninklijke Philips Nv</t>
  </si>
  <si>
    <t>ENI IM EQUITY</t>
  </si>
  <si>
    <t>Eni Spa</t>
  </si>
  <si>
    <t>BMW GR EQUITY</t>
  </si>
  <si>
    <t>Bayerische Motoren Werke Ag</t>
  </si>
  <si>
    <t>HEN3 GR EQUITY</t>
  </si>
  <si>
    <t>Henkel Ag &amp; Co Kgaa Vorzug</t>
  </si>
  <si>
    <t>ORA FP EQUITY</t>
  </si>
  <si>
    <t>Orange</t>
  </si>
  <si>
    <t>DAI GR EQUITY</t>
  </si>
  <si>
    <t>Daimler Ag-Registered Shares</t>
  </si>
  <si>
    <t>DPW GR EQUITY</t>
  </si>
  <si>
    <t>Deutsche Post Ag-Reg</t>
  </si>
  <si>
    <t>ISP IM EQUITY</t>
  </si>
  <si>
    <t>Intesa Sanpaolo</t>
  </si>
  <si>
    <t>KNEBV FH EQUITY</t>
  </si>
  <si>
    <t>Kone Oyj-B</t>
  </si>
  <si>
    <t>MUV2 GR EQUITY</t>
  </si>
  <si>
    <t>Muenchener Rueckver Ag-Reg</t>
  </si>
  <si>
    <t>RACE IM EQUITY</t>
  </si>
  <si>
    <t>Ferrari Nv</t>
  </si>
  <si>
    <t>EOAN GR EQUITY</t>
  </si>
  <si>
    <t>E.On Se</t>
  </si>
  <si>
    <t>ENGI FP EQUITY</t>
  </si>
  <si>
    <t>Engie</t>
  </si>
  <si>
    <t>ADYEN NA EQUITY</t>
  </si>
  <si>
    <t>Adyen Nv</t>
  </si>
  <si>
    <t>AD NA EQUITY</t>
  </si>
  <si>
    <t>Koninklijke Ahold Delhaize N</t>
  </si>
  <si>
    <t>BEI GR EQUITY</t>
  </si>
  <si>
    <t>Beiersdorf Ag</t>
  </si>
  <si>
    <t>VNA GR EQUITY</t>
  </si>
  <si>
    <t>Vonovia Se</t>
  </si>
  <si>
    <t>NESTE FH EQUITY</t>
  </si>
  <si>
    <t>Neste Oyj</t>
  </si>
  <si>
    <t>EDF FP EQUITY</t>
  </si>
  <si>
    <t>Edf</t>
  </si>
  <si>
    <t>DB1 GR EQUITY</t>
  </si>
  <si>
    <t>Deutsche Boerse Ag</t>
  </si>
  <si>
    <t>VIV FP EQUITY</t>
  </si>
  <si>
    <t>Vivendi</t>
  </si>
  <si>
    <t>TEF SM EQUITY</t>
  </si>
  <si>
    <t>Telefonica Sa</t>
  </si>
  <si>
    <t>INGA NA EQUITY</t>
  </si>
  <si>
    <t>Ing Groep Nv</t>
  </si>
  <si>
    <t>BBVA SM EQUITY</t>
  </si>
  <si>
    <t>Banco Bilbao Vizcaya Argenta</t>
  </si>
  <si>
    <t>ELE SM EQUITY</t>
  </si>
  <si>
    <t>Endesa Sa</t>
  </si>
  <si>
    <t>ACA FP EQUITY</t>
  </si>
  <si>
    <t>Credit Agricole Sa</t>
  </si>
  <si>
    <t>G IM EQUITY</t>
  </si>
  <si>
    <t>Assicurazioni Generali</t>
  </si>
  <si>
    <t>FRE GR EQUITY</t>
  </si>
  <si>
    <t>Fresenius Se &amp; Co Kgaa</t>
  </si>
  <si>
    <t>AMS SM EQUITY</t>
  </si>
  <si>
    <t>Amadeus It Group Sa</t>
  </si>
  <si>
    <t>HEIO NA EQUITY</t>
  </si>
  <si>
    <t>Heineken Holding Nv</t>
  </si>
  <si>
    <t>KBC BB EQUITY</t>
  </si>
  <si>
    <t>Kbc Group Nv</t>
  </si>
  <si>
    <t>CRH ID EQUITY</t>
  </si>
  <si>
    <t>Crh Plc</t>
  </si>
  <si>
    <t>DSM NA EQUITY</t>
  </si>
  <si>
    <t>Koninklijke Dsm Nv</t>
  </si>
  <si>
    <t>UCG IM EQUITY</t>
  </si>
  <si>
    <t>Unicredit Spa</t>
  </si>
  <si>
    <t>FME GR EQUITY</t>
  </si>
  <si>
    <t>Fresenius Medical Care Ag &amp;</t>
  </si>
  <si>
    <t>GRF SM EQUITY</t>
  </si>
  <si>
    <t>Grifols Sa</t>
  </si>
  <si>
    <t>KYG ID EQUITY</t>
  </si>
  <si>
    <t>Kerry Group Plc-A</t>
  </si>
  <si>
    <t>STM IM EQUITY</t>
  </si>
  <si>
    <t>Stmicroelectronics Nv</t>
  </si>
  <si>
    <t>CLNX SM EQUITY</t>
  </si>
  <si>
    <t>Cellnex Telecom Sa</t>
  </si>
  <si>
    <t>IFX GR EQUITY</t>
  </si>
  <si>
    <t>Infineon Technologies Ag</t>
  </si>
  <si>
    <t>FER SM EQUITY</t>
  </si>
  <si>
    <t>Ferrovial Sa</t>
  </si>
  <si>
    <t>NTGY SM EQUITY</t>
  </si>
  <si>
    <t>Naturgy Energy Group Sa</t>
  </si>
  <si>
    <t>WKL NA EQUITY</t>
  </si>
  <si>
    <t>Wolters Kluwer</t>
  </si>
  <si>
    <t>AENA SM EQUITY</t>
  </si>
  <si>
    <t>Aena Sme Sa</t>
  </si>
  <si>
    <t>DIM FP EQUITY</t>
  </si>
  <si>
    <t>Sartorius Stedim Biotech</t>
  </si>
  <si>
    <t>SRT3 GR EQUITY</t>
  </si>
  <si>
    <t>Sartorius Ag-Vorzug</t>
  </si>
  <si>
    <t>HNR1 GR EQUITY</t>
  </si>
  <si>
    <t>Hannover Rueck Se</t>
  </si>
  <si>
    <t>HO FP EQUITY</t>
  </si>
  <si>
    <t>Thales Sa</t>
  </si>
  <si>
    <t>LR FP EQUITY</t>
  </si>
  <si>
    <t>Legrand Sa</t>
  </si>
  <si>
    <t>NOKIA FH EQUITY</t>
  </si>
  <si>
    <t>Nokia Oyj</t>
  </si>
  <si>
    <t>UCB BB EQUITY</t>
  </si>
  <si>
    <t>Ucb Sa</t>
  </si>
  <si>
    <t>SAMPO FH EQUITY</t>
  </si>
  <si>
    <t>Sampo Oyj-A Shs</t>
  </si>
  <si>
    <t>RWE GR EQUITY</t>
  </si>
  <si>
    <t>Rwe Ag</t>
  </si>
  <si>
    <t>GLE FP EQUITY</t>
  </si>
  <si>
    <t>Societe Generale Sa</t>
  </si>
  <si>
    <t>DHER GR EQUITY</t>
  </si>
  <si>
    <t>Delivery Hero Se</t>
  </si>
  <si>
    <t>ML FP EQUITY</t>
  </si>
  <si>
    <t>Michelin (Cgde)</t>
  </si>
  <si>
    <t>SRG IM EQUITY</t>
  </si>
  <si>
    <t>Snam Spa</t>
  </si>
  <si>
    <t>CAP FP EQUITY</t>
  </si>
  <si>
    <t>Capgemini Se</t>
  </si>
  <si>
    <t>EDP PL EQUITY</t>
  </si>
  <si>
    <t>Edp-Energias De Portugal Sa</t>
  </si>
  <si>
    <t>CON GR EQUITY</t>
  </si>
  <si>
    <t>Continental Ag</t>
  </si>
  <si>
    <t>UPM FH EQUITY</t>
  </si>
  <si>
    <t>Upm-Kymmene Oyj</t>
  </si>
  <si>
    <t>KBX GR EQUITY</t>
  </si>
  <si>
    <t>Knorr-Bremse Ag</t>
  </si>
  <si>
    <t>WDI GR EQUITY</t>
  </si>
  <si>
    <t>Wirecard Ag</t>
  </si>
  <si>
    <t>DBK GR EQUITY</t>
  </si>
  <si>
    <t>Deutsche Bank Ag-Registered</t>
  </si>
  <si>
    <t>DWNI GR EQUITY</t>
  </si>
  <si>
    <t>Deutsche Wohnen Se</t>
  </si>
  <si>
    <t>SGO FP EQUITY</t>
  </si>
  <si>
    <t>Compagnie De Saint Gobain</t>
  </si>
  <si>
    <t>FORTUM FH EQUITY</t>
  </si>
  <si>
    <t>Fortum Oyj</t>
  </si>
  <si>
    <t>BIM FP EQUITY</t>
  </si>
  <si>
    <t>Biomerieux</t>
  </si>
  <si>
    <t>AKZA NA EQUITY</t>
  </si>
  <si>
    <t>Akzo Nobel N.V.</t>
  </si>
  <si>
    <t>TRN IM EQUITY</t>
  </si>
  <si>
    <t>Terna Spa</t>
  </si>
  <si>
    <t>EXO IM EQUITY</t>
  </si>
  <si>
    <t>Exor Nv</t>
  </si>
  <si>
    <t>REP SM EQUITY</t>
  </si>
  <si>
    <t>Repsol Sa</t>
  </si>
  <si>
    <t>CA FP EQUITY</t>
  </si>
  <si>
    <t>Carrefour Sa</t>
  </si>
  <si>
    <t>PAH3 GR EQUITY</t>
  </si>
  <si>
    <t>Porsche Automobil Hldg-Prf</t>
  </si>
  <si>
    <t>GBLB BB EQUITY</t>
  </si>
  <si>
    <t>Groupe Bruxelles Lambert Sa</t>
  </si>
  <si>
    <t>VER AV EQUITY</t>
  </si>
  <si>
    <t>Verbund Ag</t>
  </si>
  <si>
    <t>AMUN FP EQUITY</t>
  </si>
  <si>
    <t>Amundi Sa</t>
  </si>
  <si>
    <t>KN FP EQUITY</t>
  </si>
  <si>
    <t>Natixis</t>
  </si>
  <si>
    <t>UG FP EQUITY</t>
  </si>
  <si>
    <t>Peugeot Sa</t>
  </si>
  <si>
    <t>EN FP EQUITY</t>
  </si>
  <si>
    <t>Bouygues Sa</t>
  </si>
  <si>
    <t>VIE FP EQUITY</t>
  </si>
  <si>
    <t>Veolia Environnement</t>
  </si>
  <si>
    <t>SY1 GR EQUITY</t>
  </si>
  <si>
    <t>Symrise Ag</t>
  </si>
  <si>
    <t>GLPG NA EQUITY</t>
  </si>
  <si>
    <t>Galapagos Nv</t>
  </si>
  <si>
    <t>CABK SM EQUITY</t>
  </si>
  <si>
    <t>Caixabank Sa</t>
  </si>
  <si>
    <t>TEP FP EQUITY</t>
  </si>
  <si>
    <t>Teleperformance</t>
  </si>
  <si>
    <t>PST IM EQUITY</t>
  </si>
  <si>
    <t>Poste Italiane Spa</t>
  </si>
  <si>
    <t>JMT PL EQUITY</t>
  </si>
  <si>
    <t>Jeronimo Martins</t>
  </si>
  <si>
    <t>RYA ID EQUITY</t>
  </si>
  <si>
    <t>Ryanair Holdings Plc</t>
  </si>
  <si>
    <t>TKWY NA EQUITY</t>
  </si>
  <si>
    <t>Just Eat Takeaway</t>
  </si>
  <si>
    <t>FCA IM EQUITY</t>
  </si>
  <si>
    <t>Fiat Chrysler Automobiles Nv</t>
  </si>
  <si>
    <t>WLN FP EQUITY</t>
  </si>
  <si>
    <t>Worldline Sa</t>
  </si>
  <si>
    <t>ADP FP EQUITY</t>
  </si>
  <si>
    <t>Adp</t>
  </si>
  <si>
    <t>ATL IM EQUITY</t>
  </si>
  <si>
    <t>Atlantia Spa</t>
  </si>
  <si>
    <t>SGRE SM EQUITY</t>
  </si>
  <si>
    <t>Siemens Gamesa Renewable Ene</t>
  </si>
  <si>
    <t>GFC FP EQUITY</t>
  </si>
  <si>
    <t>Gecina Sa</t>
  </si>
  <si>
    <t>EDEN FP EQUITY</t>
  </si>
  <si>
    <t>Edenred</t>
  </si>
  <si>
    <t>ELISA FH EQUITY</t>
  </si>
  <si>
    <t>Elisa Oyj</t>
  </si>
  <si>
    <t>SW FP EQUITY</t>
  </si>
  <si>
    <t>Sodexo Sa</t>
  </si>
  <si>
    <t>KPN NA EQUITY</t>
  </si>
  <si>
    <t>Koninklijke Kpn Nv</t>
  </si>
  <si>
    <t>REE SM EQUITY</t>
  </si>
  <si>
    <t>Red Electrica Corporacion Sa</t>
  </si>
  <si>
    <t>MONC IM EQUITY</t>
  </si>
  <si>
    <t>Moncler Spa</t>
  </si>
  <si>
    <t>MT NA EQUITY</t>
  </si>
  <si>
    <t>Arcelormittal</t>
  </si>
  <si>
    <t>ZAL GR EQUITY</t>
  </si>
  <si>
    <t>Zalando Se</t>
  </si>
  <si>
    <t>UN01 GR EQUITY</t>
  </si>
  <si>
    <t>Uniper Se</t>
  </si>
  <si>
    <t>EVK GR EQUITY</t>
  </si>
  <si>
    <t>Evonik Industries Ag</t>
  </si>
  <si>
    <t>ALO FP EQUITY</t>
  </si>
  <si>
    <t>Alstom</t>
  </si>
  <si>
    <t>PUM GR EQUITY</t>
  </si>
  <si>
    <t>Puma Se</t>
  </si>
  <si>
    <t>KSP ID EQUITY</t>
  </si>
  <si>
    <t>Kingspan Group Plc</t>
  </si>
  <si>
    <t>NN NA EQUITY</t>
  </si>
  <si>
    <t>Nn Group Nv</t>
  </si>
  <si>
    <t>QIA GR EQUITY</t>
  </si>
  <si>
    <t>Qiagen N.V.</t>
  </si>
  <si>
    <t>GALP PL EQUITY</t>
  </si>
  <si>
    <t>Galp Energia Sgps Sa</t>
  </si>
  <si>
    <t>UBI FP EQUITY</t>
  </si>
  <si>
    <t>Ubisoft Entertainment</t>
  </si>
  <si>
    <t>CPR IM EQUITY</t>
  </si>
  <si>
    <t>Davide Campari-Milano Spa</t>
  </si>
  <si>
    <t>OMV AV EQUITY</t>
  </si>
  <si>
    <t>Omv Ag</t>
  </si>
  <si>
    <t>EBS AV EQUITY</t>
  </si>
  <si>
    <t>Erste Group Bank Ag</t>
  </si>
  <si>
    <t>UMI BB EQUITY</t>
  </si>
  <si>
    <t>Umicore</t>
  </si>
  <si>
    <t>ERF FP EQUITY</t>
  </si>
  <si>
    <t>Eurofins Scientific</t>
  </si>
  <si>
    <t>TIT IM EQUITY</t>
  </si>
  <si>
    <t>Telecom Italia Spa</t>
  </si>
  <si>
    <t>MTX GR EQUITY</t>
  </si>
  <si>
    <t>Mtu Aero Engines Ag</t>
  </si>
  <si>
    <t>ABN NA EQUITY</t>
  </si>
  <si>
    <t>Abn Amro Bank Nv-Cva</t>
  </si>
  <si>
    <t>BVI FP EQUITY</t>
  </si>
  <si>
    <t>Bureau Veritas Sa</t>
  </si>
  <si>
    <t>REC IM EQUITY</t>
  </si>
  <si>
    <t>Recordati Spa</t>
  </si>
  <si>
    <t>HEI GR EQUITY</t>
  </si>
  <si>
    <t>Heidelbergcement Ag</t>
  </si>
  <si>
    <t>AFX GR EQUITY</t>
  </si>
  <si>
    <t>Carl Zeiss Meditec Ag - Br</t>
  </si>
  <si>
    <t>ILD FP EQUITY</t>
  </si>
  <si>
    <t>Iliad Sa</t>
  </si>
  <si>
    <t>URW NA EQUITY</t>
  </si>
  <si>
    <t>Unibail-Rodamco-Westfield</t>
  </si>
  <si>
    <t>BOL FP EQUITY</t>
  </si>
  <si>
    <t>Bollore</t>
  </si>
  <si>
    <t>CNHI IM EQUITY</t>
  </si>
  <si>
    <t>Cnh Industrial Nv</t>
  </si>
  <si>
    <t>AC FP EQUITY</t>
  </si>
  <si>
    <t>Accor Sa</t>
  </si>
  <si>
    <t>NEXI IM EQUITY</t>
  </si>
  <si>
    <t>Nexi Spa</t>
  </si>
  <si>
    <t>STERV FH EQUITY</t>
  </si>
  <si>
    <t>Stora Enso Oyj-R Shs</t>
  </si>
  <si>
    <t>COLR BB EQUITY</t>
  </si>
  <si>
    <t>Colruyt Sa</t>
  </si>
  <si>
    <t>FGR FP EQUITY</t>
  </si>
  <si>
    <t>Eiffage</t>
  </si>
  <si>
    <t>SOLB BB EQUITY</t>
  </si>
  <si>
    <t>Solvay Sa</t>
  </si>
  <si>
    <t>PROX BB EQUITY</t>
  </si>
  <si>
    <t>Proximus</t>
  </si>
  <si>
    <t>TMV GR EQUITY</t>
  </si>
  <si>
    <t>Teamviewer Ag</t>
  </si>
  <si>
    <t>AT1 GR EQUITY</t>
  </si>
  <si>
    <t>Aroundtown Sa</t>
  </si>
  <si>
    <t>ATO FP EQUITY</t>
  </si>
  <si>
    <t>Atos Se</t>
  </si>
  <si>
    <t>AGS BB EQUITY</t>
  </si>
  <si>
    <t>Ageas</t>
  </si>
  <si>
    <t>TEN IM EQUITY</t>
  </si>
  <si>
    <t>Tenaris Sa</t>
  </si>
  <si>
    <t>CNP FP EQUITY</t>
  </si>
  <si>
    <t>Cnp Assurances</t>
  </si>
  <si>
    <t>LEG GR EQUITY</t>
  </si>
  <si>
    <t>Leg Immobilien Ag</t>
  </si>
  <si>
    <t>O2D GR EQUITY</t>
  </si>
  <si>
    <t>Telefonica Deutschland Holdi</t>
  </si>
  <si>
    <t>SOF BB EQUITY</t>
  </si>
  <si>
    <t>Sofina</t>
  </si>
  <si>
    <t>GET FP EQUITY</t>
  </si>
  <si>
    <t>Getlink Se</t>
  </si>
  <si>
    <t>ING FP EQUITY</t>
  </si>
  <si>
    <t>Ingenico Group</t>
  </si>
  <si>
    <t>SEV FP EQUITY</t>
  </si>
  <si>
    <t>Suez</t>
  </si>
  <si>
    <t>AM FP EQUITY</t>
  </si>
  <si>
    <t>Dassault Aviation Sa</t>
  </si>
  <si>
    <t>ELI BB EQUITY</t>
  </si>
  <si>
    <t>Elia Group Sa/Nv</t>
  </si>
  <si>
    <t>DIA IM EQUITY</t>
  </si>
  <si>
    <t>Diasorin Spa</t>
  </si>
  <si>
    <t>VPK NA EQUITY</t>
  </si>
  <si>
    <t>Vopak</t>
  </si>
  <si>
    <t>ORP FP EQUITY</t>
  </si>
  <si>
    <t>Orpea</t>
  </si>
  <si>
    <t>SKG ID EQUITY</t>
  </si>
  <si>
    <t>Smurfit Kappa Group Plc</t>
  </si>
  <si>
    <t>FLTR ID EQUITY</t>
  </si>
  <si>
    <t>Flutter Entertainment Plc</t>
  </si>
  <si>
    <t>RAND NA EQUITY</t>
  </si>
  <si>
    <t>Randstad Nv</t>
  </si>
  <si>
    <t>LI FP EQUITY</t>
  </si>
  <si>
    <t>Klepierre</t>
  </si>
  <si>
    <t>G24 GR EQUITY</t>
  </si>
  <si>
    <t>Scout24 Ag</t>
  </si>
  <si>
    <t>PUB FP EQUITY</t>
  </si>
  <si>
    <t>Publicis Groupe</t>
  </si>
  <si>
    <t>SK FP EQUITY</t>
  </si>
  <si>
    <t>Seb Sa</t>
  </si>
  <si>
    <t>RAA GR EQUITY</t>
  </si>
  <si>
    <t>Rational Ag</t>
  </si>
  <si>
    <t>ICAD FP EQUITY</t>
  </si>
  <si>
    <t>Icade</t>
  </si>
  <si>
    <t>RNO FP EQUITY</t>
  </si>
  <si>
    <t>Renault Sa</t>
  </si>
  <si>
    <t>RCO FP EQUITY</t>
  </si>
  <si>
    <t>Remy Cointreau</t>
  </si>
  <si>
    <t>ARGX BB EQUITY</t>
  </si>
  <si>
    <t>Argenx Se</t>
  </si>
  <si>
    <t>ACS SM EQUITY</t>
  </si>
  <si>
    <t>Acs Actividades Cons Y Serv</t>
  </si>
  <si>
    <t>FBK IM EQUITY</t>
  </si>
  <si>
    <t>Finecobank Spa</t>
  </si>
  <si>
    <t>ORNBV FH EQUITY</t>
  </si>
  <si>
    <t>Orion Oyj-Class B</t>
  </si>
  <si>
    <t>AGN NA EQUITY</t>
  </si>
  <si>
    <t>Aegon Nv</t>
  </si>
  <si>
    <t>1COV GR EQUITY</t>
  </si>
  <si>
    <t>Covestro Ag</t>
  </si>
  <si>
    <t>ANA SM EQUITY</t>
  </si>
  <si>
    <t>Acciona Sa</t>
  </si>
  <si>
    <t>KESKOB FH EQUITY</t>
  </si>
  <si>
    <t>Kesko Oyj-B Shs</t>
  </si>
  <si>
    <t>NEM GR EQUITY</t>
  </si>
  <si>
    <t>Nemetschek Se</t>
  </si>
  <si>
    <t>BNR GR EQUITY</t>
  </si>
  <si>
    <t>Brenntag Ag</t>
  </si>
  <si>
    <t>MAP SM EQUITY</t>
  </si>
  <si>
    <t>Mapfre Sa</t>
  </si>
  <si>
    <t>COV FP EQUITY</t>
  </si>
  <si>
    <t>Covivio</t>
  </si>
  <si>
    <t>UTDI GR EQUITY</t>
  </si>
  <si>
    <t>United Internet Ag-Reg Share</t>
  </si>
  <si>
    <t>RBI AV EQUITY</t>
  </si>
  <si>
    <t>Raiffeisen Bank Internationa</t>
  </si>
  <si>
    <t>ENG SM EQUITY</t>
  </si>
  <si>
    <t>Enagas Sa</t>
  </si>
  <si>
    <t>ENX FP EQUITY</t>
  </si>
  <si>
    <t>Euronext Nv</t>
  </si>
  <si>
    <t>HER IM EQUITY</t>
  </si>
  <si>
    <t>Hera Spa</t>
  </si>
  <si>
    <t>MB IM EQUITY</t>
  </si>
  <si>
    <t>Mediobanca Spa</t>
  </si>
  <si>
    <t>AKE FP EQUITY</t>
  </si>
  <si>
    <t>Arkema</t>
  </si>
  <si>
    <t>KGX GR EQUITY</t>
  </si>
  <si>
    <t>Kion Group Ag</t>
  </si>
  <si>
    <t>CBK GR EQUITY</t>
  </si>
  <si>
    <t>Commerzbank Ag</t>
  </si>
  <si>
    <t>LHA GR EQUITY</t>
  </si>
  <si>
    <t>Deutsche Lufthansa-Reg</t>
  </si>
  <si>
    <t>ASM NA EQUITY</t>
  </si>
  <si>
    <t>Asm International Nv</t>
  </si>
  <si>
    <t>BC8 GR EQUITY</t>
  </si>
  <si>
    <t>Bechtle Ag</t>
  </si>
  <si>
    <t>AMP IM EQUITY</t>
  </si>
  <si>
    <t>Amplifon Spa</t>
  </si>
  <si>
    <t>FDJ FP EQUITY</t>
  </si>
  <si>
    <t>La Francaise Des Jeux Saem</t>
  </si>
  <si>
    <t>ATC NA EQUITY</t>
  </si>
  <si>
    <t>Altice Europe Nv</t>
  </si>
  <si>
    <t>COL SM EQUITY</t>
  </si>
  <si>
    <t>Inmobiliaria Colonial Socimi</t>
  </si>
  <si>
    <t>RUI FP EQUITY</t>
  </si>
  <si>
    <t>Rubis</t>
  </si>
  <si>
    <t>KOJAMO FH EQUITY</t>
  </si>
  <si>
    <t>Kojamo Oyj</t>
  </si>
  <si>
    <t>PRY IM EQUITY</t>
  </si>
  <si>
    <t>Prysmian Spa</t>
  </si>
  <si>
    <t>HFG GR EQUITY</t>
  </si>
  <si>
    <t>Hellofresh Se</t>
  </si>
  <si>
    <t>HOT GR EQUITY</t>
  </si>
  <si>
    <t>Hochtief Ag</t>
  </si>
  <si>
    <t>IPN FP EQUITY</t>
  </si>
  <si>
    <t>Ipsen</t>
  </si>
  <si>
    <t>FPE3 GR EQUITY</t>
  </si>
  <si>
    <t>Fuchs Petrolub Se -Pref</t>
  </si>
  <si>
    <t>ACKB BB EQUITY</t>
  </si>
  <si>
    <t>Ackermans &amp; Van Haaren</t>
  </si>
  <si>
    <t>WDP BB EQUITY</t>
  </si>
  <si>
    <t>Warehouses De Pauw Sca</t>
  </si>
  <si>
    <t>EVD GR EQUITY</t>
  </si>
  <si>
    <t>Cts Eventim Ag &amp; Co Kgaa</t>
  </si>
  <si>
    <t>SCR FP EQUITY</t>
  </si>
  <si>
    <t>Scor Se</t>
  </si>
  <si>
    <t>WRT1V FH EQUITY</t>
  </si>
  <si>
    <t>Wartsila Oyj Abp</t>
  </si>
  <si>
    <t>FR FP EQUITY</t>
  </si>
  <si>
    <t>Valeo Sa</t>
  </si>
  <si>
    <t>IG IM EQUITY</t>
  </si>
  <si>
    <t>Italgas Spa</t>
  </si>
  <si>
    <t>EO FP EQUITY</t>
  </si>
  <si>
    <t>Faurecia</t>
  </si>
  <si>
    <t>LDO IM EQUITY</t>
  </si>
  <si>
    <t>Leonardo Spa</t>
  </si>
  <si>
    <t>FRA GR EQUITY</t>
  </si>
  <si>
    <t>Fraport Ag Frankfurt Airport</t>
  </si>
  <si>
    <t>OSR GR EQUITY</t>
  </si>
  <si>
    <t>Osram Licht Ag</t>
  </si>
  <si>
    <t>A2A IM EQUITY</t>
  </si>
  <si>
    <t>A2A Spa</t>
  </si>
  <si>
    <t>MF FP EQUITY</t>
  </si>
  <si>
    <t>Wendel</t>
  </si>
  <si>
    <t>MRL SM EQUITY</t>
  </si>
  <si>
    <t>Merlin Properties Socimi Sa</t>
  </si>
  <si>
    <t>IMCD NA EQUITY</t>
  </si>
  <si>
    <t>Imcd Nv</t>
  </si>
  <si>
    <t>ASRNL NA EQUITY</t>
  </si>
  <si>
    <t>Asr Nederland Nv</t>
  </si>
  <si>
    <t>G1A GR EQUITY</t>
  </si>
  <si>
    <t>Gea Group Ag</t>
  </si>
  <si>
    <t>VOE AV EQUITY</t>
  </si>
  <si>
    <t>Voestalpine Ag</t>
  </si>
  <si>
    <t>RF FP EQUITY</t>
  </si>
  <si>
    <t>Eurazeo Se</t>
  </si>
  <si>
    <t>LXS GR EQUITY</t>
  </si>
  <si>
    <t>Lanxess Ag</t>
  </si>
  <si>
    <t>COFB BB EQUITY</t>
  </si>
  <si>
    <t>Cofinimmo</t>
  </si>
  <si>
    <t>HUH1V FH EQUITY</t>
  </si>
  <si>
    <t>Huhtamaki Oyj</t>
  </si>
  <si>
    <t>GYC GR EQUITY</t>
  </si>
  <si>
    <t>Grand City Properties</t>
  </si>
  <si>
    <t>MOR GR EQUITY</t>
  </si>
  <si>
    <t>Morphosys Ag</t>
  </si>
  <si>
    <t>EVT GR EQUITY</t>
  </si>
  <si>
    <t>Evotec Se</t>
  </si>
  <si>
    <t>METSO FH EQUITY</t>
  </si>
  <si>
    <t>Metso Oyj</t>
  </si>
  <si>
    <t>BKT SM EQUITY</t>
  </si>
  <si>
    <t>Bankinter Sa</t>
  </si>
  <si>
    <t>GLB ID EQUITY</t>
  </si>
  <si>
    <t>Glanbia Plc</t>
  </si>
  <si>
    <t>TKA GR EQUITY</t>
  </si>
  <si>
    <t>Thyssenkrupp Ag</t>
  </si>
  <si>
    <t>UBI IM EQUITY</t>
  </si>
  <si>
    <t>Ubi Banca Spa</t>
  </si>
  <si>
    <t>ANDR AV EQUITY</t>
  </si>
  <si>
    <t>Andritz Ag</t>
  </si>
  <si>
    <t>BME SM EQUITY</t>
  </si>
  <si>
    <t>Bolsas Y Mercados Espanoles</t>
  </si>
  <si>
    <t>FTI FP EQUITY</t>
  </si>
  <si>
    <t>Technipfmc Plc</t>
  </si>
  <si>
    <t>RHM GR EQUITY</t>
  </si>
  <si>
    <t>Rheinmetall Ag</t>
  </si>
  <si>
    <t>SAB SM EQUITY</t>
  </si>
  <si>
    <t>Banco De Sabadell Sa</t>
  </si>
  <si>
    <t>B4B GR EQUITY</t>
  </si>
  <si>
    <t>Metro Ag</t>
  </si>
  <si>
    <t>SESG FP EQUITY</t>
  </si>
  <si>
    <t>Ses</t>
  </si>
  <si>
    <t>VALMT FH EQUITY</t>
  </si>
  <si>
    <t>Valmet Oyj</t>
  </si>
  <si>
    <t>TEG GR EQUITY</t>
  </si>
  <si>
    <t>Tag Immobilien Ag</t>
  </si>
  <si>
    <t>TYRES FH EQUITY</t>
  </si>
  <si>
    <t>Nokian Renkaat Oyj</t>
  </si>
  <si>
    <t>IP IM EQUITY</t>
  </si>
  <si>
    <t>Interpump Group Spa</t>
  </si>
  <si>
    <t>AALB NA EQUITY</t>
  </si>
  <si>
    <t>Aalberts Nv</t>
  </si>
  <si>
    <t>LIGHT NA EQUITY</t>
  </si>
  <si>
    <t>Signify Nv</t>
  </si>
  <si>
    <t>RXL FP EQUITY</t>
  </si>
  <si>
    <t>Rexel Sa</t>
  </si>
  <si>
    <t>GLJ GR EQUITY</t>
  </si>
  <si>
    <t>Grenke Ag</t>
  </si>
  <si>
    <t>BG AV EQUITY</t>
  </si>
  <si>
    <t>Bawag Group Ag</t>
  </si>
  <si>
    <t>SBMO NA EQUITY</t>
  </si>
  <si>
    <t>Sbm Offshore Nv</t>
  </si>
  <si>
    <t>AOX GR EQUITY</t>
  </si>
  <si>
    <t>Alstria Office Reit-Ag</t>
  </si>
  <si>
    <t>SPM IM EQUITY</t>
  </si>
  <si>
    <t>Saipem Spa</t>
  </si>
  <si>
    <t>AED BB EQUITY</t>
  </si>
  <si>
    <t>Aedifica</t>
  </si>
  <si>
    <t>ATE FP EQUITY</t>
  </si>
  <si>
    <t>Alten Sa</t>
  </si>
  <si>
    <t>BIRG ID EQUITY</t>
  </si>
  <si>
    <t>Bank Of Ireland Group Plc</t>
  </si>
  <si>
    <t>BESI NA EQUITY</t>
  </si>
  <si>
    <t>Be Semiconductor Industries</t>
  </si>
  <si>
    <t>ETL FP EQUITY</t>
  </si>
  <si>
    <t>Eutelsat Communications</t>
  </si>
  <si>
    <t>ELIS FP EQUITY</t>
  </si>
  <si>
    <t>Elis Sa</t>
  </si>
  <si>
    <t>FNTN GR EQUITY</t>
  </si>
  <si>
    <t>Freenet Ag</t>
  </si>
  <si>
    <t>BAMI IM EQUITY</t>
  </si>
  <si>
    <t>Banco Bpm Spa</t>
  </si>
  <si>
    <t>SOP FP EQUITY</t>
  </si>
  <si>
    <t>Sopra Steria Group</t>
  </si>
  <si>
    <t>IIA AV EQUITY</t>
  </si>
  <si>
    <t>Immofinanz Ag</t>
  </si>
  <si>
    <t>DLG GR EQUITY</t>
  </si>
  <si>
    <t>Dialog Semiconductor Plc</t>
  </si>
  <si>
    <t>WIE AV EQUITY</t>
  </si>
  <si>
    <t>Wienerberger Ag</t>
  </si>
  <si>
    <t>PSM GR EQUITY</t>
  </si>
  <si>
    <t>Prosiebensat.1 Media Se</t>
  </si>
  <si>
    <t>BOSS GR EQUITY</t>
  </si>
  <si>
    <t>Hugo Boss Ag -Ord</t>
  </si>
  <si>
    <t>SPIE FP EQUITY</t>
  </si>
  <si>
    <t>Spie Sa</t>
  </si>
  <si>
    <t>MSFT US EQUITY</t>
  </si>
  <si>
    <t>Microsoft Corp</t>
  </si>
  <si>
    <t>AAPL US EQUITY</t>
  </si>
  <si>
    <t>Apple Inc</t>
  </si>
  <si>
    <t>AMZN US EQUITY</t>
  </si>
  <si>
    <t>Amazon.Com Inc</t>
  </si>
  <si>
    <t>GOOGL US EQUITY</t>
  </si>
  <si>
    <t>Alphabet Inc-A</t>
  </si>
  <si>
    <t>GOOG US EQUITY</t>
  </si>
  <si>
    <t>Alphabet Inc-C</t>
  </si>
  <si>
    <t>FB US EQUITY</t>
  </si>
  <si>
    <t>Facebook Inc-A</t>
  </si>
  <si>
    <t>BRK/B US EQUITY</t>
  </si>
  <si>
    <t>Berkshire Hath-B</t>
  </si>
  <si>
    <t>BRK/A US EQUITY</t>
  </si>
  <si>
    <t>Berkshire Hath-A</t>
  </si>
  <si>
    <t>JNJ US EQUITY</t>
  </si>
  <si>
    <t>Johnson&amp;Johnson</t>
  </si>
  <si>
    <t>V US EQUITY</t>
  </si>
  <si>
    <t>Visa Inc-Class A</t>
  </si>
  <si>
    <t>WMT US EQUITY</t>
  </si>
  <si>
    <t>Walmart Inc</t>
  </si>
  <si>
    <t>JPM US EQUITY</t>
  </si>
  <si>
    <t>Jpmorgan Chase</t>
  </si>
  <si>
    <t>PG US EQUITY</t>
  </si>
  <si>
    <t>Procter &amp; Gamble</t>
  </si>
  <si>
    <t>MA US EQUITY</t>
  </si>
  <si>
    <t>Mastercard Inc-A</t>
  </si>
  <si>
    <t>UNH US EQUITY</t>
  </si>
  <si>
    <t>Unitedhealth Grp</t>
  </si>
  <si>
    <t>INTC US EQUITY</t>
  </si>
  <si>
    <t>Intel Corp</t>
  </si>
  <si>
    <t>VZ US EQUITY</t>
  </si>
  <si>
    <t>Verizon Communic</t>
  </si>
  <si>
    <t>T US EQUITY</t>
  </si>
  <si>
    <t>At&amp;T Inc</t>
  </si>
  <si>
    <t>HD US EQUITY</t>
  </si>
  <si>
    <t>Home Depot Inc</t>
  </si>
  <si>
    <t>BAC US EQUITY</t>
  </si>
  <si>
    <t>Bank Of America</t>
  </si>
  <si>
    <t>KO US EQUITY</t>
  </si>
  <si>
    <t>Coca-Cola Co/The</t>
  </si>
  <si>
    <t>MRK US EQUITY</t>
  </si>
  <si>
    <t>Merck &amp; Co</t>
  </si>
  <si>
    <t>DIS US EQUITY</t>
  </si>
  <si>
    <t>Walt Disney Co</t>
  </si>
  <si>
    <t>PFE US EQUITY</t>
  </si>
  <si>
    <t>Pfizer Inc</t>
  </si>
  <si>
    <t>PEP US EQUITY</t>
  </si>
  <si>
    <t>Pepsico Inc</t>
  </si>
  <si>
    <t>CSCO US EQUITY</t>
  </si>
  <si>
    <t>Cisco Systems</t>
  </si>
  <si>
    <t>CMCSA US EQUITY</t>
  </si>
  <si>
    <t>Comcast Corp-A</t>
  </si>
  <si>
    <t>ORCL US EQUITY</t>
  </si>
  <si>
    <t>Oracle Corp</t>
  </si>
  <si>
    <t>NFLX US EQUITY</t>
  </si>
  <si>
    <t>Netflix Inc</t>
  </si>
  <si>
    <t>XOM US EQUITY</t>
  </si>
  <si>
    <t>Exxon Mobil Corp</t>
  </si>
  <si>
    <t>NVDA US EQUITY</t>
  </si>
  <si>
    <t>Nvidia Corp</t>
  </si>
  <si>
    <t>ADBE US EQUITY</t>
  </si>
  <si>
    <t>Adobe Inc</t>
  </si>
  <si>
    <t>ABT US EQUITY</t>
  </si>
  <si>
    <t>Abbott Labs</t>
  </si>
  <si>
    <t>CRM US EQUITY</t>
  </si>
  <si>
    <t>Salesforce.Com</t>
  </si>
  <si>
    <t>NKE US EQUITY</t>
  </si>
  <si>
    <t>Nike Inc -Cl B</t>
  </si>
  <si>
    <t>CVX US EQUITY</t>
  </si>
  <si>
    <t>Chevron Corp</t>
  </si>
  <si>
    <t>LLY US EQUITY</t>
  </si>
  <si>
    <t>Eli Lilly &amp; Co</t>
  </si>
  <si>
    <t>COST US EQUITY</t>
  </si>
  <si>
    <t>Costco Wholesale</t>
  </si>
  <si>
    <t>WFC US EQUITY</t>
  </si>
  <si>
    <t>Wells Fargo &amp; Co</t>
  </si>
  <si>
    <t>MCD US EQUITY</t>
  </si>
  <si>
    <t>Mcdonalds Corp</t>
  </si>
  <si>
    <t>BMY US EQUITY</t>
  </si>
  <si>
    <t>Bristol-Myer Sqb</t>
  </si>
  <si>
    <t>AMGN US EQUITY</t>
  </si>
  <si>
    <t>Amgen Inc</t>
  </si>
  <si>
    <t>CHTR US EQUITY</t>
  </si>
  <si>
    <t>Charter Commun-A</t>
  </si>
  <si>
    <t>NEE US EQUITY</t>
  </si>
  <si>
    <t>Nextera Energy</t>
  </si>
  <si>
    <t>PYPL US EQUITY</t>
  </si>
  <si>
    <t>Paypal Holdings</t>
  </si>
  <si>
    <t>TMO US EQUITY</t>
  </si>
  <si>
    <t>Thermo Fisher</t>
  </si>
  <si>
    <t>PM US EQUITY</t>
  </si>
  <si>
    <t>Philip Morris In</t>
  </si>
  <si>
    <t>ABBV US EQUITY</t>
  </si>
  <si>
    <t>Abbvie Inc</t>
  </si>
  <si>
    <t>LMT US EQUITY</t>
  </si>
  <si>
    <t>Lockheed Martin</t>
  </si>
  <si>
    <t>DHR US EQUITY</t>
  </si>
  <si>
    <t>Danaher Corp</t>
  </si>
  <si>
    <t>UNP US EQUITY</t>
  </si>
  <si>
    <t>Union Pac Corp</t>
  </si>
  <si>
    <t>IBM US EQUITY</t>
  </si>
  <si>
    <t>Ibm</t>
  </si>
  <si>
    <t>TSLA US EQUITY</t>
  </si>
  <si>
    <t>Tesla Inc</t>
  </si>
  <si>
    <t>TXN US EQUITY</t>
  </si>
  <si>
    <t>Texas Instrument</t>
  </si>
  <si>
    <t>HON US EQUITY</t>
  </si>
  <si>
    <t>Honeywell Intl</t>
  </si>
  <si>
    <t>AVGO US EQUITY</t>
  </si>
  <si>
    <t>Broadcom Inc</t>
  </si>
  <si>
    <t>GILD US EQUITY</t>
  </si>
  <si>
    <t>Gilead Sciences</t>
  </si>
  <si>
    <t>C US EQUITY</t>
  </si>
  <si>
    <t>Citigroup Inc</t>
  </si>
  <si>
    <t>BA US EQUITY</t>
  </si>
  <si>
    <t>Boeing Co/The</t>
  </si>
  <si>
    <t>UTX US EQUITY</t>
  </si>
  <si>
    <t>United Tech Corp</t>
  </si>
  <si>
    <t>UPS US EQUITY</t>
  </si>
  <si>
    <t>United Parcel-B</t>
  </si>
  <si>
    <t>SBUX US EQUITY</t>
  </si>
  <si>
    <t>Starbucks Corp</t>
  </si>
  <si>
    <t>MMM US EQUITY</t>
  </si>
  <si>
    <t>3M Co</t>
  </si>
  <si>
    <t>CVS US EQUITY</t>
  </si>
  <si>
    <t>Cvs Health Corp</t>
  </si>
  <si>
    <t>QCOM US EQUITY</t>
  </si>
  <si>
    <t>Qualcomm Inc</t>
  </si>
  <si>
    <t>FIS US EQUITY</t>
  </si>
  <si>
    <t>Fidelity Nationa</t>
  </si>
  <si>
    <t>AXP US EQUITY</t>
  </si>
  <si>
    <t>American Express</t>
  </si>
  <si>
    <t>TMUS US EQUITY</t>
  </si>
  <si>
    <t>T-Mobile Us Inc</t>
  </si>
  <si>
    <t>MDLZ US EQUITY</t>
  </si>
  <si>
    <t>Mondelez Inter-A</t>
  </si>
  <si>
    <t>MO US EQUITY</t>
  </si>
  <si>
    <t>Altria Group Inc</t>
  </si>
  <si>
    <t>BLK US EQUITY</t>
  </si>
  <si>
    <t>Blackrock Inc</t>
  </si>
  <si>
    <t>GE US EQUITY</t>
  </si>
  <si>
    <t>General Electric</t>
  </si>
  <si>
    <t>LOW US EQUITY</t>
  </si>
  <si>
    <t>Lowe'S Cos Inc</t>
  </si>
  <si>
    <t>FISV US EQUITY</t>
  </si>
  <si>
    <t>Fiserv Inc</t>
  </si>
  <si>
    <t>CME US EQUITY</t>
  </si>
  <si>
    <t>Cme Group Inc</t>
  </si>
  <si>
    <t>D US EQUITY</t>
  </si>
  <si>
    <t>Dominion Energy</t>
  </si>
  <si>
    <t>CI US EQUITY</t>
  </si>
  <si>
    <t>Cigna Corp</t>
  </si>
  <si>
    <t>INTU US EQUITY</t>
  </si>
  <si>
    <t>Intuit Inc</t>
  </si>
  <si>
    <t>SYK US EQUITY</t>
  </si>
  <si>
    <t>Stryker Corp</t>
  </si>
  <si>
    <t>DUK US EQUITY</t>
  </si>
  <si>
    <t>Duke Energy Corp</t>
  </si>
  <si>
    <t>SO US EQUITY</t>
  </si>
  <si>
    <t>Southern Co</t>
  </si>
  <si>
    <t>BDX US EQUITY</t>
  </si>
  <si>
    <t>Becton Dickinson</t>
  </si>
  <si>
    <t>CAT US EQUITY</t>
  </si>
  <si>
    <t>Caterpillar Inc</t>
  </si>
  <si>
    <t>EL US EQUITY</t>
  </si>
  <si>
    <t>Estee Lauder</t>
  </si>
  <si>
    <t>SPGI US EQUITY</t>
  </si>
  <si>
    <t>S&amp;P Global Inc</t>
  </si>
  <si>
    <t>AGN US EQUITY</t>
  </si>
  <si>
    <t>Allergan Plc</t>
  </si>
  <si>
    <t>ISRG US EQUITY</t>
  </si>
  <si>
    <t>Intuitive Surgic</t>
  </si>
  <si>
    <t>GS US EQUITY</t>
  </si>
  <si>
    <t>Goldman Sachs Gp</t>
  </si>
  <si>
    <t>ADP US EQUITY</t>
  </si>
  <si>
    <t>Automatic Data</t>
  </si>
  <si>
    <t>VRTX US EQUITY</t>
  </si>
  <si>
    <t>Vertex Pharm</t>
  </si>
  <si>
    <t>TJX US EQUITY</t>
  </si>
  <si>
    <t>Tjx Cos Inc</t>
  </si>
  <si>
    <t>ANTM US EQUITY</t>
  </si>
  <si>
    <t>Anthem Inc</t>
  </si>
  <si>
    <t>CL US EQUITY</t>
  </si>
  <si>
    <t>Colgate-Palmoliv</t>
  </si>
  <si>
    <t>BX US EQUITY</t>
  </si>
  <si>
    <t>Blackstone Gro-A</t>
  </si>
  <si>
    <t>AMD US EQUITY</t>
  </si>
  <si>
    <t>Adv Micro Device</t>
  </si>
  <si>
    <t>USB US EQUITY</t>
  </si>
  <si>
    <t>Us Bancorp</t>
  </si>
  <si>
    <t>ZTS US EQUITY</t>
  </si>
  <si>
    <t>Zoetis Inc</t>
  </si>
  <si>
    <t>NOC US EQUITY</t>
  </si>
  <si>
    <t>Northrop Grumman</t>
  </si>
  <si>
    <t>MS US EQUITY</t>
  </si>
  <si>
    <t>Morgan Stanley</t>
  </si>
  <si>
    <t>NOW US EQUITY</t>
  </si>
  <si>
    <t>Servicenow Inc</t>
  </si>
  <si>
    <t>BIIB US EQUITY</t>
  </si>
  <si>
    <t>Biogen Inc</t>
  </si>
  <si>
    <t>BKNG US EQUITY</t>
  </si>
  <si>
    <t>Booking Holdings</t>
  </si>
  <si>
    <t>REGN US EQUITY</t>
  </si>
  <si>
    <t>Regeneron Pharm</t>
  </si>
  <si>
    <t>MU US EQUITY</t>
  </si>
  <si>
    <t>Micron Tech</t>
  </si>
  <si>
    <t>VMW US EQUITY</t>
  </si>
  <si>
    <t>Vmware Inc-Cl A</t>
  </si>
  <si>
    <t>TGT US EQUITY</t>
  </si>
  <si>
    <t>Target Corp</t>
  </si>
  <si>
    <t>UBER US EQUITY</t>
  </si>
  <si>
    <t>Uber Technologie</t>
  </si>
  <si>
    <t>ITW US EQUITY</t>
  </si>
  <si>
    <t>Illinois Tool Wo</t>
  </si>
  <si>
    <t>ECL US EQUITY</t>
  </si>
  <si>
    <t>Ecolab Inc</t>
  </si>
  <si>
    <t>TFC US EQUITY</t>
  </si>
  <si>
    <t>Truist Financial</t>
  </si>
  <si>
    <t>ICE US EQUITY</t>
  </si>
  <si>
    <t>Intercontinental</t>
  </si>
  <si>
    <t>ATVI US EQUITY</t>
  </si>
  <si>
    <t>Activision Blizz</t>
  </si>
  <si>
    <t>CSX US EQUITY</t>
  </si>
  <si>
    <t>Csx Corp</t>
  </si>
  <si>
    <t>GPN US EQUITY</t>
  </si>
  <si>
    <t>Global Payments</t>
  </si>
  <si>
    <t>SCHW US EQUITY</t>
  </si>
  <si>
    <t>Schwab (Charles)</t>
  </si>
  <si>
    <t>MMC US EQUITY</t>
  </si>
  <si>
    <t>Marsh &amp; Mclennan</t>
  </si>
  <si>
    <t>PGR US EQUITY</t>
  </si>
  <si>
    <t>Progressive Corp</t>
  </si>
  <si>
    <t>PNC US EQUITY</t>
  </si>
  <si>
    <t>Pnc Financial Se</t>
  </si>
  <si>
    <t>BSX US EQUITY</t>
  </si>
  <si>
    <t>Boston Scientifc</t>
  </si>
  <si>
    <t>KMB US EQUITY</t>
  </si>
  <si>
    <t>Kimberly-Clark</t>
  </si>
  <si>
    <t>APD US EQUITY</t>
  </si>
  <si>
    <t>Air Prods &amp; Chem</t>
  </si>
  <si>
    <t>DE US EQUITY</t>
  </si>
  <si>
    <t>Deere &amp; Co</t>
  </si>
  <si>
    <t>ZM US EQUITY</t>
  </si>
  <si>
    <t>Zoom Video Com-A</t>
  </si>
  <si>
    <t>SHW US EQUITY</t>
  </si>
  <si>
    <t>Sherwin-Williams</t>
  </si>
  <si>
    <t>EW US EQUITY</t>
  </si>
  <si>
    <t>Edwards Life</t>
  </si>
  <si>
    <t>AMAT US EQUITY</t>
  </si>
  <si>
    <t>Applied Material</t>
  </si>
  <si>
    <t>AEP US EQUITY</t>
  </si>
  <si>
    <t>American Electri</t>
  </si>
  <si>
    <t>MCO US EQUITY</t>
  </si>
  <si>
    <t>Moody'S Corp</t>
  </si>
  <si>
    <t>WM US EQUITY</t>
  </si>
  <si>
    <t>Waste Management</t>
  </si>
  <si>
    <t>BAX US EQUITY</t>
  </si>
  <si>
    <t>Baxter Intl Inc</t>
  </si>
  <si>
    <t>LHX US EQUITY</t>
  </si>
  <si>
    <t>L3Harris Technol</t>
  </si>
  <si>
    <t>ILMN US EQUITY</t>
  </si>
  <si>
    <t>Illumina Inc</t>
  </si>
  <si>
    <t>RTN US EQUITY</t>
  </si>
  <si>
    <t>Raytheon Co</t>
  </si>
  <si>
    <t>HUM US EQUITY</t>
  </si>
  <si>
    <t>Humana Inc</t>
  </si>
  <si>
    <t>WBA US EQUITY</t>
  </si>
  <si>
    <t>Walgreens Boots</t>
  </si>
  <si>
    <t>GD US EQUITY</t>
  </si>
  <si>
    <t>General Dynamics</t>
  </si>
  <si>
    <t>NEM US EQUITY</t>
  </si>
  <si>
    <t>Newmont Corp</t>
  </si>
  <si>
    <t>NSC US EQUITY</t>
  </si>
  <si>
    <t>Norfolk Southern</t>
  </si>
  <si>
    <t>DG US EQUITY</t>
  </si>
  <si>
    <t>Dollar General C</t>
  </si>
  <si>
    <t>SRE US EQUITY</t>
  </si>
  <si>
    <t>Sempra Energy</t>
  </si>
  <si>
    <t>LRCX US EQUITY</t>
  </si>
  <si>
    <t>Lam Research</t>
  </si>
  <si>
    <t>EXC US EQUITY</t>
  </si>
  <si>
    <t>Exelon Corp</t>
  </si>
  <si>
    <t>KDP US EQUITY</t>
  </si>
  <si>
    <t>Keurig Dr Pepper</t>
  </si>
  <si>
    <t>S US EQUITY</t>
  </si>
  <si>
    <t>Sprint Corp</t>
  </si>
  <si>
    <t>ADI US EQUITY</t>
  </si>
  <si>
    <t>Analog Devices</t>
  </si>
  <si>
    <t>ROP US EQUITY</t>
  </si>
  <si>
    <t>Roper Technologi</t>
  </si>
  <si>
    <t>CNC US EQUITY</t>
  </si>
  <si>
    <t>Centene Corp</t>
  </si>
  <si>
    <t>LVS US EQUITY</t>
  </si>
  <si>
    <t>Las Vegas Sands</t>
  </si>
  <si>
    <t>COP US EQUITY</t>
  </si>
  <si>
    <t>Conocophillips</t>
  </si>
  <si>
    <t>WDAY US EQUITY</t>
  </si>
  <si>
    <t>Workday Inc-A</t>
  </si>
  <si>
    <t>FDX US EQUITY</t>
  </si>
  <si>
    <t>Fedex Corp</t>
  </si>
  <si>
    <t>GIS US EQUITY</t>
  </si>
  <si>
    <t>General Mills In</t>
  </si>
  <si>
    <t>KMI US EQUITY</t>
  </si>
  <si>
    <t>Kinder Morgan In</t>
  </si>
  <si>
    <t>ADSK US EQUITY</t>
  </si>
  <si>
    <t>Autodesk Inc</t>
  </si>
  <si>
    <t>XEL US EQUITY</t>
  </si>
  <si>
    <t>Xcel Energy Inc</t>
  </si>
  <si>
    <t>ETN US EQUITY</t>
  </si>
  <si>
    <t>Eaton Corp Plc</t>
  </si>
  <si>
    <t>GM US EQUITY</t>
  </si>
  <si>
    <t>General Motors C</t>
  </si>
  <si>
    <t>MNST US EQUITY</t>
  </si>
  <si>
    <t>Monster Beverage</t>
  </si>
  <si>
    <t>ROST US EQUITY</t>
  </si>
  <si>
    <t>Ross Stores Inc</t>
  </si>
  <si>
    <t>KHC US EQUITY</t>
  </si>
  <si>
    <t>Kraft Heinz Co/T</t>
  </si>
  <si>
    <t>HCA US EQUITY</t>
  </si>
  <si>
    <t>Hca Healthcare I</t>
  </si>
  <si>
    <t>BK US EQUITY</t>
  </si>
  <si>
    <t>Bank Ny Mellon</t>
  </si>
  <si>
    <t>DELL US EQUITY</t>
  </si>
  <si>
    <t>Dell Techn-C</t>
  </si>
  <si>
    <t>MET US EQUITY</t>
  </si>
  <si>
    <t>Metlife Inc</t>
  </si>
  <si>
    <t>WEC US EQUITY</t>
  </si>
  <si>
    <t>Wec Energy Group</t>
  </si>
  <si>
    <t>ALL US EQUITY</t>
  </si>
  <si>
    <t>Allstate Corp</t>
  </si>
  <si>
    <t>EMR US EQUITY</t>
  </si>
  <si>
    <t>Emerson Elec Co</t>
  </si>
  <si>
    <t>STZ/B US EQUITY</t>
  </si>
  <si>
    <t>Constellation-B</t>
  </si>
  <si>
    <t>STZ US EQUITY</t>
  </si>
  <si>
    <t>Constellation-A</t>
  </si>
  <si>
    <t>EA US EQUITY</t>
  </si>
  <si>
    <t>Electronic Arts</t>
  </si>
  <si>
    <t>HSY US EQUITY</t>
  </si>
  <si>
    <t>Hershey Co/The</t>
  </si>
  <si>
    <t>ES US EQUITY</t>
  </si>
  <si>
    <t>Eversource Energ</t>
  </si>
  <si>
    <t>ED US EQUITY</t>
  </si>
  <si>
    <t>Cons Edison Inc</t>
  </si>
  <si>
    <t>SYY US EQUITY</t>
  </si>
  <si>
    <t>Sysco Corp</t>
  </si>
  <si>
    <t>CTSH US EQUITY</t>
  </si>
  <si>
    <t>Cognizant Tech-A</t>
  </si>
  <si>
    <t>AFL US EQUITY</t>
  </si>
  <si>
    <t>Aflac Inc</t>
  </si>
  <si>
    <t>MAR US EQUITY</t>
  </si>
  <si>
    <t>Marriott Intl-A</t>
  </si>
  <si>
    <t>TRV US EQUITY</t>
  </si>
  <si>
    <t>Travelers Cos In</t>
  </si>
  <si>
    <t>BF/A US EQUITY</t>
  </si>
  <si>
    <t>Brown-Forman -A</t>
  </si>
  <si>
    <t>BF/B US EQUITY</t>
  </si>
  <si>
    <t>Brown-Forman -B</t>
  </si>
  <si>
    <t>COF US EQUITY</t>
  </si>
  <si>
    <t>Capital One Fina</t>
  </si>
  <si>
    <t>DD US EQUITY</t>
  </si>
  <si>
    <t>Dupont De Nemour</t>
  </si>
  <si>
    <t>HRL US EQUITY</t>
  </si>
  <si>
    <t>Hormel Foods Crp</t>
  </si>
  <si>
    <t>HPQ US EQUITY</t>
  </si>
  <si>
    <t>Hp Inc</t>
  </si>
  <si>
    <t>RSG US EQUITY</t>
  </si>
  <si>
    <t>Republic Svcs</t>
  </si>
  <si>
    <t>DXCM US EQUITY</t>
  </si>
  <si>
    <t>Dexcom</t>
  </si>
  <si>
    <t>EBAY US EQUITY</t>
  </si>
  <si>
    <t>Ebay Inc</t>
  </si>
  <si>
    <t>APO US EQUITY</t>
  </si>
  <si>
    <t>Apollo Global Ma</t>
  </si>
  <si>
    <t>MSCI US EQUITY</t>
  </si>
  <si>
    <t>Msci Inc</t>
  </si>
  <si>
    <t>KR US EQUITY</t>
  </si>
  <si>
    <t>Kroger Co</t>
  </si>
  <si>
    <t>ORLY US EQUITY</t>
  </si>
  <si>
    <t>O'Reilly Automot</t>
  </si>
  <si>
    <t>TROW US EQUITY</t>
  </si>
  <si>
    <t>T Rowe Price Grp</t>
  </si>
  <si>
    <t>SQ US EQUITY</t>
  </si>
  <si>
    <t>Square Inc - A</t>
  </si>
  <si>
    <t>MSI US EQUITY</t>
  </si>
  <si>
    <t>Motorola Solutio</t>
  </si>
  <si>
    <t>PSX US EQUITY</t>
  </si>
  <si>
    <t>Phillips 66</t>
  </si>
  <si>
    <t>VFC US EQUITY</t>
  </si>
  <si>
    <t>Vf Corp</t>
  </si>
  <si>
    <t>PEG US EQUITY</t>
  </si>
  <si>
    <t>Pub Serv Enterp</t>
  </si>
  <si>
    <t>VRSK US EQUITY</t>
  </si>
  <si>
    <t>Verisk Analyti</t>
  </si>
  <si>
    <t>KLAC US EQUITY</t>
  </si>
  <si>
    <t>Kla Corp</t>
  </si>
  <si>
    <t>AIG US EQUITY</t>
  </si>
  <si>
    <t>American Interna</t>
  </si>
  <si>
    <t>APH US EQUITY</t>
  </si>
  <si>
    <t>Amphenol Corp-A</t>
  </si>
  <si>
    <t>A US EQUITY</t>
  </si>
  <si>
    <t>Agilent Tech Inc</t>
  </si>
  <si>
    <t>AWK US EQUITY</t>
  </si>
  <si>
    <t>American Water W</t>
  </si>
  <si>
    <t>SIRI US EQUITY</t>
  </si>
  <si>
    <t>Sirius Xm Holdin</t>
  </si>
  <si>
    <t>CLX US EQUITY</t>
  </si>
  <si>
    <t>Clorox Co</t>
  </si>
  <si>
    <t>VEEV US EQUITY</t>
  </si>
  <si>
    <t>Veeva Systems-A</t>
  </si>
  <si>
    <t>PAYX US EQUITY</t>
  </si>
  <si>
    <t>Paychex Inc</t>
  </si>
  <si>
    <t>TSN US EQUITY</t>
  </si>
  <si>
    <t>Tyson Foods-A</t>
  </si>
  <si>
    <t>CSGP US EQUITY</t>
  </si>
  <si>
    <t>Costar Group Inc</t>
  </si>
  <si>
    <t>DOW US EQUITY</t>
  </si>
  <si>
    <t>Dow Inc</t>
  </si>
  <si>
    <t>PRU US EQUITY</t>
  </si>
  <si>
    <t>Prudentl Finl</t>
  </si>
  <si>
    <t>BLL US EQUITY</t>
  </si>
  <si>
    <t>Ball Corp</t>
  </si>
  <si>
    <t>EOG US EQUITY</t>
  </si>
  <si>
    <t>Eog Resources</t>
  </si>
  <si>
    <t>FE US EQUITY</t>
  </si>
  <si>
    <t>Firstenergy Corp</t>
  </si>
  <si>
    <t>KKR US EQUITY</t>
  </si>
  <si>
    <t>Kkr &amp; Co Inc-A</t>
  </si>
  <si>
    <t>RNG US EQUITY</t>
  </si>
  <si>
    <t>Ringcentral In-A</t>
  </si>
  <si>
    <t>IQV US EQUITY</t>
  </si>
  <si>
    <t>Iqvia Holdings I</t>
  </si>
  <si>
    <t>YUM US EQUITY</t>
  </si>
  <si>
    <t>Yum! Brands Inc</t>
  </si>
  <si>
    <t>PCAR US EQUITY</t>
  </si>
  <si>
    <t>Paccar Inc</t>
  </si>
  <si>
    <t>F US EQUITY</t>
  </si>
  <si>
    <t>Ford Motor Co</t>
  </si>
  <si>
    <t>RMD US EQUITY</t>
  </si>
  <si>
    <t>Resmed Inc</t>
  </si>
  <si>
    <t>K US EQUITY</t>
  </si>
  <si>
    <t>Kellogg Co</t>
  </si>
  <si>
    <t>MCK US EQUITY</t>
  </si>
  <si>
    <t>Mckesson Corp</t>
  </si>
  <si>
    <t>VRSN US EQUITY</t>
  </si>
  <si>
    <t>Verisign Inc</t>
  </si>
  <si>
    <t>LBRDK US EQUITY</t>
  </si>
  <si>
    <t>Liberty Br-C</t>
  </si>
  <si>
    <t>LBRDB US EQUITY</t>
  </si>
  <si>
    <t>Liberty Br B</t>
  </si>
  <si>
    <t>LBRDA US EQUITY</t>
  </si>
  <si>
    <t>Liberty Br-A</t>
  </si>
  <si>
    <t>EIX US EQUITY</t>
  </si>
  <si>
    <t>Edison Intl</t>
  </si>
  <si>
    <t>PPG US EQUITY</t>
  </si>
  <si>
    <t>Ppg Inds Inc</t>
  </si>
  <si>
    <t>AZO US EQUITY</t>
  </si>
  <si>
    <t>Autozone Inc</t>
  </si>
  <si>
    <t>JCI US EQUITY</t>
  </si>
  <si>
    <t>Johnson Controls</t>
  </si>
  <si>
    <t>CMI US EQUITY</t>
  </si>
  <si>
    <t>Cummins Inc</t>
  </si>
  <si>
    <t>TWTR US EQUITY</t>
  </si>
  <si>
    <t>Twitter Inc</t>
  </si>
  <si>
    <t>IDXX US EQUITY</t>
  </si>
  <si>
    <t>Idexx Labs</t>
  </si>
  <si>
    <t>ZBH US EQUITY</t>
  </si>
  <si>
    <t>Zimmer Biomet Ho</t>
  </si>
  <si>
    <t>PPL US EQUITY</t>
  </si>
  <si>
    <t>Ppl Corp</t>
  </si>
  <si>
    <t>TDG US EQUITY</t>
  </si>
  <si>
    <t>Transdigm Group</t>
  </si>
  <si>
    <t>SPLK US EQUITY</t>
  </si>
  <si>
    <t>Splunk Inc</t>
  </si>
  <si>
    <t>ETR US EQUITY</t>
  </si>
  <si>
    <t>Entergy Corp</t>
  </si>
  <si>
    <t>HLT US EQUITY</t>
  </si>
  <si>
    <t>Hilton Worldwide</t>
  </si>
  <si>
    <t>ANSS US EQUITY</t>
  </si>
  <si>
    <t>Ansys Inc</t>
  </si>
  <si>
    <t>SLB US EQUITY</t>
  </si>
  <si>
    <t>Schlumberger Ltd</t>
  </si>
  <si>
    <t>DAL US EQUITY</t>
  </si>
  <si>
    <t>Delta Air Li</t>
  </si>
  <si>
    <t>CTAS US EQUITY</t>
  </si>
  <si>
    <t>Cintas Corp</t>
  </si>
  <si>
    <t>SGEN US EQUITY</t>
  </si>
  <si>
    <t>Seattle Genetics</t>
  </si>
  <si>
    <t>LUV US EQUITY</t>
  </si>
  <si>
    <t>Southwest Air</t>
  </si>
  <si>
    <t>DTE US EQUITY</t>
  </si>
  <si>
    <t>Dte Energy Co</t>
  </si>
  <si>
    <t>CERN US EQUITY</t>
  </si>
  <si>
    <t>Cerner Corp</t>
  </si>
  <si>
    <t>XLNX US EQUITY</t>
  </si>
  <si>
    <t>Xilinx Inc</t>
  </si>
  <si>
    <t>SNPS US EQUITY</t>
  </si>
  <si>
    <t>Synopsys Inc</t>
  </si>
  <si>
    <t>ADM US EQUITY</t>
  </si>
  <si>
    <t>Archer-Daniels</t>
  </si>
  <si>
    <t>AMTD US EQUITY</t>
  </si>
  <si>
    <t>Td Ameritrade Ho</t>
  </si>
  <si>
    <t>ALXN US EQUITY</t>
  </si>
  <si>
    <t>Alexion Pharm</t>
  </si>
  <si>
    <t>VLO US EQUITY</t>
  </si>
  <si>
    <t>Valero Energy</t>
  </si>
  <si>
    <t>AEE US EQUITY</t>
  </si>
  <si>
    <t>Ameren Corp</t>
  </si>
  <si>
    <t>DLTR US EQUITY</t>
  </si>
  <si>
    <t>Dollar Tree Inc</t>
  </si>
  <si>
    <t>FAST US EQUITY</t>
  </si>
  <si>
    <t>Fastenal Co</t>
  </si>
  <si>
    <t>MTCH US EQUITY</t>
  </si>
  <si>
    <t>Match Group Inc</t>
  </si>
  <si>
    <t>CMG US EQUITY</t>
  </si>
  <si>
    <t>Chipotle Mexican</t>
  </si>
  <si>
    <t>ROK US EQUITY</t>
  </si>
  <si>
    <t>Rockwell Automat</t>
  </si>
  <si>
    <t>MKC US EQUITY</t>
  </si>
  <si>
    <t>Mccormick-N/V</t>
  </si>
  <si>
    <t>MKC/V US EQUITY</t>
  </si>
  <si>
    <t>Mccormick-Vtg</t>
  </si>
  <si>
    <t>CDNS US EQUITY</t>
  </si>
  <si>
    <t>Cadence Design</t>
  </si>
  <si>
    <t>CTVA US EQUITY</t>
  </si>
  <si>
    <t>Corteva Inc</t>
  </si>
  <si>
    <t>SNAP US EQUITY</t>
  </si>
  <si>
    <t>Snap Inc - A</t>
  </si>
  <si>
    <t>STT US EQUITY</t>
  </si>
  <si>
    <t>State St Corp</t>
  </si>
  <si>
    <t>IBKR US EQUITY</t>
  </si>
  <si>
    <t>Interactive Brok</t>
  </si>
  <si>
    <t>CTXS US EQUITY</t>
  </si>
  <si>
    <t>Citrix Systems</t>
  </si>
  <si>
    <t>WMB US EQUITY</t>
  </si>
  <si>
    <t>Williams Cos Inc</t>
  </si>
  <si>
    <t>ABC US EQUITY</t>
  </si>
  <si>
    <t>Amerisourceberge</t>
  </si>
  <si>
    <t>FTNT US EQUITY</t>
  </si>
  <si>
    <t>Fortinet Inc</t>
  </si>
  <si>
    <t>FLT US EQUITY</t>
  </si>
  <si>
    <t>Fleetcor Technol</t>
  </si>
  <si>
    <t>FTV US EQUITY</t>
  </si>
  <si>
    <t>Fortive Corp</t>
  </si>
  <si>
    <t>CMS US EQUITY</t>
  </si>
  <si>
    <t>Cms Energy Corp</t>
  </si>
  <si>
    <t>LYB US EQUITY</t>
  </si>
  <si>
    <t>Lyondellbasell-A</t>
  </si>
  <si>
    <t>CPRT US EQUITY</t>
  </si>
  <si>
    <t>Copart Inc</t>
  </si>
  <si>
    <t>MCHP US EQUITY</t>
  </si>
  <si>
    <t>Microchip Tech</t>
  </si>
  <si>
    <t>AME US EQUITY</t>
  </si>
  <si>
    <t>Ametek Inc</t>
  </si>
  <si>
    <t>PANW US EQUITY</t>
  </si>
  <si>
    <t>Palo Alto Networ</t>
  </si>
  <si>
    <t>BBY US EQUITY</t>
  </si>
  <si>
    <t>Best Buy Co Inc</t>
  </si>
  <si>
    <t>WORK US EQUITY</t>
  </si>
  <si>
    <t>Slack Technolo-A</t>
  </si>
  <si>
    <t>GLW US EQUITY</t>
  </si>
  <si>
    <t>Corning Inc</t>
  </si>
  <si>
    <t>MTD US EQUITY</t>
  </si>
  <si>
    <t>Mettler-Toledo</t>
  </si>
  <si>
    <t>PH US EQUITY</t>
  </si>
  <si>
    <t>Parker Hannifin</t>
  </si>
  <si>
    <t>NTRS US EQUITY</t>
  </si>
  <si>
    <t>Northern Trust</t>
  </si>
  <si>
    <t>TIF US EQUITY</t>
  </si>
  <si>
    <t>Tiffany &amp; Co</t>
  </si>
  <si>
    <t>ODFL US EQUITY</t>
  </si>
  <si>
    <t>Old Dominion Frt</t>
  </si>
  <si>
    <t>NDAQ US EQUITY</t>
  </si>
  <si>
    <t>Nasdaq Inc</t>
  </si>
  <si>
    <t>CHD US EQUITY</t>
  </si>
  <si>
    <t>Church &amp; Dwight</t>
  </si>
  <si>
    <t>AJG US EQUITY</t>
  </si>
  <si>
    <t>Arthur J Gallagh</t>
  </si>
  <si>
    <t>IAC US EQUITY</t>
  </si>
  <si>
    <t>Iac/Interactivec</t>
  </si>
  <si>
    <t>MPC US EQUITY</t>
  </si>
  <si>
    <t>Marathon Petrole</t>
  </si>
  <si>
    <t>DOCU US EQUITY</t>
  </si>
  <si>
    <t>Docusign Inc</t>
  </si>
  <si>
    <t>INCY US EQUITY</t>
  </si>
  <si>
    <t>Incyte Corp</t>
  </si>
  <si>
    <t>SWK US EQUITY</t>
  </si>
  <si>
    <t>Stanley Black &amp;</t>
  </si>
  <si>
    <t>OKTA US EQUITY</t>
  </si>
  <si>
    <t>Okta Inc</t>
  </si>
  <si>
    <t>MRVL US EQUITY</t>
  </si>
  <si>
    <t>Marvell Tech Grp</t>
  </si>
  <si>
    <t>SWKS US EQUITY</t>
  </si>
  <si>
    <t>Skyworks Solutio</t>
  </si>
  <si>
    <t>KEYS US EQUITY</t>
  </si>
  <si>
    <t>Keysight Tec</t>
  </si>
  <si>
    <t>AKAM US EQUITY</t>
  </si>
  <si>
    <t>Akamai Technolog</t>
  </si>
  <si>
    <t>ANET US EQUITY</t>
  </si>
  <si>
    <t>Arista Networks</t>
  </si>
  <si>
    <t>COO US EQUITY</t>
  </si>
  <si>
    <t>Cooper Cos Inc</t>
  </si>
  <si>
    <t>EFX US EQUITY</t>
  </si>
  <si>
    <t>Equifax Inc</t>
  </si>
  <si>
    <t>CHWY US EQUITY</t>
  </si>
  <si>
    <t>Chewy Inc- Cl A</t>
  </si>
  <si>
    <t>BMRN US EQUITY</t>
  </si>
  <si>
    <t>Biomarin Pharmac</t>
  </si>
  <si>
    <t>ATUS US EQUITY</t>
  </si>
  <si>
    <t>Altice Usa Inc-A</t>
  </si>
  <si>
    <t>FRC US EQUITY</t>
  </si>
  <si>
    <t>First Republic B</t>
  </si>
  <si>
    <t>ALGN US EQUITY</t>
  </si>
  <si>
    <t>Align Technology</t>
  </si>
  <si>
    <t>MTB US EQUITY</t>
  </si>
  <si>
    <t>M&amp;T Bank Corp</t>
  </si>
  <si>
    <t>CAG US EQUITY</t>
  </si>
  <si>
    <t>Conagra Brands I</t>
  </si>
  <si>
    <t>FOXA US EQUITY</t>
  </si>
  <si>
    <t>Fox Corp - A</t>
  </si>
  <si>
    <t>FOX US EQUITY</t>
  </si>
  <si>
    <t>Fox Corp - B</t>
  </si>
  <si>
    <t>DHI US EQUITY</t>
  </si>
  <si>
    <t>Dr Horton Inc</t>
  </si>
  <si>
    <t>TWLO US EQUITY</t>
  </si>
  <si>
    <t>Twilio Inc - A</t>
  </si>
  <si>
    <t>AGR US EQUITY</t>
  </si>
  <si>
    <t>Avangrid Inc</t>
  </si>
  <si>
    <t>CDW US EQUITY</t>
  </si>
  <si>
    <t>Cdw Corp/De</t>
  </si>
  <si>
    <t>CPB US EQUITY</t>
  </si>
  <si>
    <t>Campbell Soup Co</t>
  </si>
  <si>
    <t>GWW US EQUITY</t>
  </si>
  <si>
    <t>Ww Grainger Inc</t>
  </si>
  <si>
    <t>LDOS US EQUITY</t>
  </si>
  <si>
    <t>Leidos Holdings</t>
  </si>
  <si>
    <t>DPZ US EQUITY</t>
  </si>
  <si>
    <t>Domino'S Pizza</t>
  </si>
  <si>
    <t>VMC US EQUITY</t>
  </si>
  <si>
    <t>Vulcan Materials</t>
  </si>
  <si>
    <t>CBRE US EQUITY</t>
  </si>
  <si>
    <t>Cbre Group Inc-A</t>
  </si>
  <si>
    <t>TFX US EQUITY</t>
  </si>
  <si>
    <t>Teleflex Inc</t>
  </si>
  <si>
    <t>EVRG US EQUITY</t>
  </si>
  <si>
    <t>Evergy Inc</t>
  </si>
  <si>
    <t>MKTX US EQUITY</t>
  </si>
  <si>
    <t>Marketaxess</t>
  </si>
  <si>
    <t>CAH US EQUITY</t>
  </si>
  <si>
    <t>Cardinal Health</t>
  </si>
  <si>
    <t>DISCA US EQUITY</t>
  </si>
  <si>
    <t>Discovery Inc -</t>
  </si>
  <si>
    <t>DISCK US EQUITY</t>
  </si>
  <si>
    <t>Discovery Inc-C</t>
  </si>
  <si>
    <t>DISCB US EQUITY</t>
  </si>
  <si>
    <t>Discovery Inc-B</t>
  </si>
  <si>
    <t>MXIM US EQUITY</t>
  </si>
  <si>
    <t>Maxim Integrated</t>
  </si>
  <si>
    <t>AMP US EQUITY</t>
  </si>
  <si>
    <t>Ameriprise Finan</t>
  </si>
  <si>
    <t>TTWO US EQUITY</t>
  </si>
  <si>
    <t>Take-Two Interac</t>
  </si>
  <si>
    <t>HPE US EQUITY</t>
  </si>
  <si>
    <t>Hewlett Packa</t>
  </si>
  <si>
    <t>WDC US EQUITY</t>
  </si>
  <si>
    <t>Western Digital</t>
  </si>
  <si>
    <t>HIG US EQUITY</t>
  </si>
  <si>
    <t>Hartford Finl Sv</t>
  </si>
  <si>
    <t>TRU US EQUITY</t>
  </si>
  <si>
    <t>Transunion</t>
  </si>
  <si>
    <t>CRWD US EQUITY</t>
  </si>
  <si>
    <t>Crowdstrike Ho-A</t>
  </si>
  <si>
    <t>LH US EQUITY</t>
  </si>
  <si>
    <t>Laboratory Cp</t>
  </si>
  <si>
    <t>STX US EQUITY</t>
  </si>
  <si>
    <t>Seagate Technolo</t>
  </si>
  <si>
    <t>CINF US EQUITY</t>
  </si>
  <si>
    <t>Cincinnati Fin</t>
  </si>
  <si>
    <t>KSU US EQUITY</t>
  </si>
  <si>
    <t>Kansas City Sout</t>
  </si>
  <si>
    <t>MKL US EQUITY</t>
  </si>
  <si>
    <t>Markel Corp</t>
  </si>
  <si>
    <t>PAYC US EQUITY</t>
  </si>
  <si>
    <t>Paycom Software</t>
  </si>
  <si>
    <t>BKR US EQUITY</t>
  </si>
  <si>
    <t>Baker Hughes Co</t>
  </si>
  <si>
    <t>LEN US EQUITY</t>
  </si>
  <si>
    <t>Lennar Corp-A</t>
  </si>
  <si>
    <t>LEN/B US EQUITY</t>
  </si>
  <si>
    <t>Lennar Corp-B</t>
  </si>
  <si>
    <t>FITB US EQUITY</t>
  </si>
  <si>
    <t>Fifth Third Banc</t>
  </si>
  <si>
    <t>IP US EQUITY</t>
  </si>
  <si>
    <t>Intl Paper Co</t>
  </si>
  <si>
    <t>TDOC US EQUITY</t>
  </si>
  <si>
    <t>Teladoc Health I</t>
  </si>
  <si>
    <t>ATO US EQUITY</t>
  </si>
  <si>
    <t>Atmos Energy</t>
  </si>
  <si>
    <t>DFS US EQUITY</t>
  </si>
  <si>
    <t>Discover Financi</t>
  </si>
  <si>
    <t>DOV US EQUITY</t>
  </si>
  <si>
    <t>Dover Corp</t>
  </si>
  <si>
    <t>XYL US EQUITY</t>
  </si>
  <si>
    <t>Xylem Inc</t>
  </si>
  <si>
    <t>ALNY US EQUITY</t>
  </si>
  <si>
    <t>Alnylam Pharmace</t>
  </si>
  <si>
    <t>IFF US EQUITY</t>
  </si>
  <si>
    <t>Intl Flvr &amp; Frag</t>
  </si>
  <si>
    <t>SJM US EQUITY</t>
  </si>
  <si>
    <t>Jm Smucker Co</t>
  </si>
  <si>
    <t>LNT US EQUITY</t>
  </si>
  <si>
    <t>Alliant Energy</t>
  </si>
  <si>
    <t>WAT US EQUITY</t>
  </si>
  <si>
    <t>Waters Corp</t>
  </si>
  <si>
    <t>JKHY US EQUITY</t>
  </si>
  <si>
    <t>Jack Henry</t>
  </si>
  <si>
    <t>PXD US EQUITY</t>
  </si>
  <si>
    <t>Pioneer Natural</t>
  </si>
  <si>
    <t>NLOK US EQUITY</t>
  </si>
  <si>
    <t>Nortonlifelock I</t>
  </si>
  <si>
    <t>OMC US EQUITY</t>
  </si>
  <si>
    <t>Omnicom Group</t>
  </si>
  <si>
    <t>MLM US EQUITY</t>
  </si>
  <si>
    <t>Martin Mar Mtls</t>
  </si>
  <si>
    <t>ROL US EQUITY</t>
  </si>
  <si>
    <t>Rollins Inc</t>
  </si>
  <si>
    <t>TYL US EQUITY</t>
  </si>
  <si>
    <t>Tyler Technolog</t>
  </si>
  <si>
    <t>DGX US EQUITY</t>
  </si>
  <si>
    <t>Quest Diagnostic</t>
  </si>
  <si>
    <t>PODD US EQUITY</t>
  </si>
  <si>
    <t>Insulet Corp</t>
  </si>
  <si>
    <t>STE US EQUITY</t>
  </si>
  <si>
    <t>Steris Plc</t>
  </si>
  <si>
    <t>DISH US EQUITY</t>
  </si>
  <si>
    <t>Dish Network-A</t>
  </si>
  <si>
    <t>EXPD US EQUITY</t>
  </si>
  <si>
    <t>Expeditors Intl</t>
  </si>
  <si>
    <t>KEY US EQUITY</t>
  </si>
  <si>
    <t>Keycorp</t>
  </si>
  <si>
    <t>SSNC US EQUITY</t>
  </si>
  <si>
    <t>Ss&amp;C Technologie</t>
  </si>
  <si>
    <t>NVR US EQUITY</t>
  </si>
  <si>
    <t>Nvr Inc</t>
  </si>
  <si>
    <t>BR US EQUITY</t>
  </si>
  <si>
    <t>Broadridge Finl</t>
  </si>
  <si>
    <t>ROKU US EQUITY</t>
  </si>
  <si>
    <t>Roku Inc</t>
  </si>
  <si>
    <t>SYF US EQUITY</t>
  </si>
  <si>
    <t>Synchrony Financ</t>
  </si>
  <si>
    <t>WST US EQUITY</t>
  </si>
  <si>
    <t>West Pharmaceut</t>
  </si>
  <si>
    <t>OXY US EQUITY</t>
  </si>
  <si>
    <t>Occidental Pete</t>
  </si>
  <si>
    <t>HES US EQUITY</t>
  </si>
  <si>
    <t>Hess Corp</t>
  </si>
  <si>
    <t>TDY US EQUITY</t>
  </si>
  <si>
    <t>Teledyne Tech</t>
  </si>
  <si>
    <t>BURL US EQUITY</t>
  </si>
  <si>
    <t>Burlington Store</t>
  </si>
  <si>
    <t>DDOG US EQUITY</t>
  </si>
  <si>
    <t>Datadog Inc-A</t>
  </si>
  <si>
    <t>BRO US EQUITY</t>
  </si>
  <si>
    <t>Brown &amp; Brown</t>
  </si>
  <si>
    <t>LYV US EQUITY</t>
  </si>
  <si>
    <t>Live Nation Ente</t>
  </si>
  <si>
    <t>HEI US EQUITY</t>
  </si>
  <si>
    <t>Heico Corp</t>
  </si>
  <si>
    <t>HEI/A US EQUITY</t>
  </si>
  <si>
    <t>Heico Corp-A</t>
  </si>
  <si>
    <t>NUE US EQUITY</t>
  </si>
  <si>
    <t>Nucor Corp</t>
  </si>
  <si>
    <t>CBOE US EQUITY</t>
  </si>
  <si>
    <t>Cboe Global Mark</t>
  </si>
  <si>
    <t>IEX US EQUITY</t>
  </si>
  <si>
    <t>Idex Corp</t>
  </si>
  <si>
    <t>ZBRA US EQUITY</t>
  </si>
  <si>
    <t>Zebra Tech Corp</t>
  </si>
  <si>
    <t>J US EQUITY</t>
  </si>
  <si>
    <t>Jacobs Engin Grp</t>
  </si>
  <si>
    <t>FMC US EQUITY</t>
  </si>
  <si>
    <t>Fmc Corp</t>
  </si>
  <si>
    <t>GDDY US EQUITY</t>
  </si>
  <si>
    <t>Godaddy Inc-A</t>
  </si>
  <si>
    <t>MRNA US EQUITY</t>
  </si>
  <si>
    <t>Moderna Inc</t>
  </si>
  <si>
    <t>CTL US EQUITY</t>
  </si>
  <si>
    <t>Centurylink Inc</t>
  </si>
  <si>
    <t>ULTA US EQUITY</t>
  </si>
  <si>
    <t>Ulta Beauty Inc</t>
  </si>
  <si>
    <t>L US EQUITY</t>
  </si>
  <si>
    <t>Loews Corp</t>
  </si>
  <si>
    <t>BIO/B US EQUITY</t>
  </si>
  <si>
    <t>Bio-Rad Labs-B</t>
  </si>
  <si>
    <t>BIO US EQUITY</t>
  </si>
  <si>
    <t>Bio-Rad Labs-A</t>
  </si>
  <si>
    <t>EPAM US EQUITY</t>
  </si>
  <si>
    <t>Epam Systems Inc</t>
  </si>
  <si>
    <t>FDS US EQUITY</t>
  </si>
  <si>
    <t>Factset Research</t>
  </si>
  <si>
    <t>TSCO US EQUITY</t>
  </si>
  <si>
    <t>Tractor Supply</t>
  </si>
  <si>
    <t>MASI US EQUITY</t>
  </si>
  <si>
    <t>Masimo Corp</t>
  </si>
  <si>
    <t>KMX US EQUITY</t>
  </si>
  <si>
    <t>Carmax Inc</t>
  </si>
  <si>
    <t>MAS US EQUITY</t>
  </si>
  <si>
    <t>Masco Corp</t>
  </si>
  <si>
    <t>FNMA US EQUITY</t>
  </si>
  <si>
    <t>Fannie Mae</t>
  </si>
  <si>
    <t>BAH US EQUITY</t>
  </si>
  <si>
    <t>Booz Allen Hamil</t>
  </si>
  <si>
    <t>JBHT US EQUITY</t>
  </si>
  <si>
    <t>Hunt (Jb) Trans</t>
  </si>
  <si>
    <t>CCL US EQUITY</t>
  </si>
  <si>
    <t>Carnival Corp</t>
  </si>
  <si>
    <t>WRB US EQUITY</t>
  </si>
  <si>
    <t>Wr Berkley Corp</t>
  </si>
  <si>
    <t>COUP US EQUITY</t>
  </si>
  <si>
    <t>Coupa Software I</t>
  </si>
  <si>
    <t>NI US EQUITY</t>
  </si>
  <si>
    <t>Nisource Inc</t>
  </si>
  <si>
    <t>TW US EQUITY</t>
  </si>
  <si>
    <t>Tradeweb Marke-A</t>
  </si>
  <si>
    <t>IR US EQUITY</t>
  </si>
  <si>
    <t>Ingersoll-Rand I</t>
  </si>
  <si>
    <t>GPC US EQUITY</t>
  </si>
  <si>
    <t>Genuine Parts Co</t>
  </si>
  <si>
    <t>IT US EQUITY</t>
  </si>
  <si>
    <t>Gartner Inc</t>
  </si>
  <si>
    <t>QRVO US EQUITY</t>
  </si>
  <si>
    <t>Qorvo Inc</t>
  </si>
  <si>
    <t>RF US EQUITY</t>
  </si>
  <si>
    <t>Regions Financia</t>
  </si>
  <si>
    <t>DVA US EQUITY</t>
  </si>
  <si>
    <t>Davita Inc</t>
  </si>
  <si>
    <t>VAR US EQUITY</t>
  </si>
  <si>
    <t>Varian Medical S</t>
  </si>
  <si>
    <t>TER US EQUITY</t>
  </si>
  <si>
    <t>Teradyne Inc</t>
  </si>
  <si>
    <t>WAB US EQUITY</t>
  </si>
  <si>
    <t>Wabtec Corp</t>
  </si>
  <si>
    <t>TTD US EQUITY</t>
  </si>
  <si>
    <t>Trade Desk Inc-A</t>
  </si>
  <si>
    <t>WTRG US EQUITY</t>
  </si>
  <si>
    <t>Essential Utilit</t>
  </si>
  <si>
    <t>FCX US EQUITY</t>
  </si>
  <si>
    <t>Freeport-Mcmoran</t>
  </si>
  <si>
    <t>HAS US EQUITY</t>
  </si>
  <si>
    <t>Hasbro Inc</t>
  </si>
  <si>
    <t>PFG US EQUITY</t>
  </si>
  <si>
    <t>Principal Finl</t>
  </si>
  <si>
    <t>AES US EQUITY</t>
  </si>
  <si>
    <t>Aes Corp</t>
  </si>
  <si>
    <t>NTAP US EQUITY</t>
  </si>
  <si>
    <t>Netapp Inc</t>
  </si>
  <si>
    <t>HOLX US EQUITY</t>
  </si>
  <si>
    <t>Hologic Inc</t>
  </si>
  <si>
    <t>PNW US EQUITY</t>
  </si>
  <si>
    <t>Pinnacle West</t>
  </si>
  <si>
    <t>ELAN US EQUITY</t>
  </si>
  <si>
    <t>Elanco Animal He</t>
  </si>
  <si>
    <t>CNA US EQUITY</t>
  </si>
  <si>
    <t>Cna Finl Corp</t>
  </si>
  <si>
    <t>UI US EQUITY</t>
  </si>
  <si>
    <t>Ubiquiti Inc</t>
  </si>
  <si>
    <t>OKE US EQUITY</t>
  </si>
  <si>
    <t>Oneok Inc</t>
  </si>
  <si>
    <t>CY US EQUITY</t>
  </si>
  <si>
    <t>Cypress Semicon</t>
  </si>
  <si>
    <t>BEN US EQUITY</t>
  </si>
  <si>
    <t>Franklin Res Inc</t>
  </si>
  <si>
    <t>RJF US EQUITY</t>
  </si>
  <si>
    <t>Raymond James</t>
  </si>
  <si>
    <t>EXAS US EQUITY</t>
  </si>
  <si>
    <t>Exact Sciences</t>
  </si>
  <si>
    <t>BKI US EQUITY</t>
  </si>
  <si>
    <t>Black Knight</t>
  </si>
  <si>
    <t>PINS US EQUITY</t>
  </si>
  <si>
    <t>Pinterest Inc -A</t>
  </si>
  <si>
    <t>CFG US EQUITY</t>
  </si>
  <si>
    <t>Citizens Financi</t>
  </si>
  <si>
    <t>ERIE US EQUITY</t>
  </si>
  <si>
    <t>Erie Indemnity-A</t>
  </si>
  <si>
    <t>CE US EQUITY</t>
  </si>
  <si>
    <t>Celanese Corp</t>
  </si>
  <si>
    <t>LNG US EQUITY</t>
  </si>
  <si>
    <t>Cheniere Energy</t>
  </si>
  <si>
    <t>HBAN US EQUITY</t>
  </si>
  <si>
    <t>Huntington Banc</t>
  </si>
  <si>
    <t>FICO US EQUITY</t>
  </si>
  <si>
    <t>Fair Isaac Corp</t>
  </si>
  <si>
    <t>LYFT US EQUITY</t>
  </si>
  <si>
    <t>Lyft Inc-A</t>
  </si>
  <si>
    <t>CHRW US EQUITY</t>
  </si>
  <si>
    <t>Ch Robinson</t>
  </si>
  <si>
    <t>EXPE US EQUITY</t>
  </si>
  <si>
    <t>Expedia Group In</t>
  </si>
  <si>
    <t>CABO US EQUITY</t>
  </si>
  <si>
    <t>Cable One Inc</t>
  </si>
  <si>
    <t>XRAY US EQUITY</t>
  </si>
  <si>
    <t>Dentsply Sirona</t>
  </si>
  <si>
    <t>LW US EQUITY</t>
  </si>
  <si>
    <t>Lamb Weston</t>
  </si>
  <si>
    <t>AVY US EQUITY</t>
  </si>
  <si>
    <t>Avery Dennison</t>
  </si>
  <si>
    <t>PKI US EQUITY</t>
  </si>
  <si>
    <t>Perkinelmer Inc</t>
  </si>
  <si>
    <t>TAP US EQUITY</t>
  </si>
  <si>
    <t>Molson Coors-B</t>
  </si>
  <si>
    <t>TAP/A US EQUITY</t>
  </si>
  <si>
    <t>Molson Coors-A</t>
  </si>
  <si>
    <t>CXO US EQUITY</t>
  </si>
  <si>
    <t>Concho Resources</t>
  </si>
  <si>
    <t>MOH US EQUITY</t>
  </si>
  <si>
    <t>Molina Healthcar</t>
  </si>
  <si>
    <t>SIVB US EQUITY</t>
  </si>
  <si>
    <t>Svb Financial Gr</t>
  </si>
  <si>
    <t>CNP US EQUITY</t>
  </si>
  <si>
    <t>Centerpoint Ener</t>
  </si>
  <si>
    <t>NBIX US EQUITY</t>
  </si>
  <si>
    <t>Neurocrine Biosc</t>
  </si>
  <si>
    <t>PKG US EQUITY</t>
  </si>
  <si>
    <t>Packaging Corp</t>
  </si>
  <si>
    <t>WU US EQUITY</t>
  </si>
  <si>
    <t>Western Union</t>
  </si>
  <si>
    <t>UAL US EQUITY</t>
  </si>
  <si>
    <t>United Airlines</t>
  </si>
  <si>
    <t>VIACA US EQUITY</t>
  </si>
  <si>
    <t>Viacomcbs Inc-A</t>
  </si>
  <si>
    <t>VIAC US EQUITY</t>
  </si>
  <si>
    <t>Viacomcbs Inc-B</t>
  </si>
  <si>
    <t>VST US EQUITY</t>
  </si>
  <si>
    <t>Vistra Energy Co</t>
  </si>
  <si>
    <t>CG US EQUITY</t>
  </si>
  <si>
    <t>Carlyle Group In</t>
  </si>
  <si>
    <t>Y US EQUITY</t>
  </si>
  <si>
    <t>Alleghany Corp</t>
  </si>
  <si>
    <t>ZG US EQUITY</t>
  </si>
  <si>
    <t>Zillow Group I-A</t>
  </si>
  <si>
    <t>Z US EQUITY</t>
  </si>
  <si>
    <t>Zillow Gro-C</t>
  </si>
  <si>
    <t>RPM US EQUITY</t>
  </si>
  <si>
    <t>Rpm Intl Inc</t>
  </si>
  <si>
    <t>CCK US EQUITY</t>
  </si>
  <si>
    <t>Crown Holdings I</t>
  </si>
  <si>
    <t>UHS US EQUITY</t>
  </si>
  <si>
    <t>Universal Hlth-B</t>
  </si>
  <si>
    <t>UHID US EQUITY</t>
  </si>
  <si>
    <t>Universal Hlth-D</t>
  </si>
  <si>
    <t>MYL US EQUITY</t>
  </si>
  <si>
    <t>Mylan Nv</t>
  </si>
  <si>
    <t>GGG US EQUITY</t>
  </si>
  <si>
    <t>Graco Inc</t>
  </si>
  <si>
    <t>GL US EQUITY</t>
  </si>
  <si>
    <t>Globe Life Inc</t>
  </si>
  <si>
    <t>NDSN US EQUITY</t>
  </si>
  <si>
    <t>Nordson Corp</t>
  </si>
  <si>
    <t>MDB US EQUITY</t>
  </si>
  <si>
    <t>Mongodb Inc</t>
  </si>
  <si>
    <t>ZS US EQUITY</t>
  </si>
  <si>
    <t>Zscaler Inc</t>
  </si>
  <si>
    <t>CTLT US EQUITY</t>
  </si>
  <si>
    <t>Catalent Inc</t>
  </si>
  <si>
    <t>HII US EQUITY</t>
  </si>
  <si>
    <t>Huntington Ingal</t>
  </si>
  <si>
    <t>POOL US EQUITY</t>
  </si>
  <si>
    <t>Pool Corp</t>
  </si>
  <si>
    <t>ETFC US EQUITY</t>
  </si>
  <si>
    <t>E*Trade Financia</t>
  </si>
  <si>
    <t>CGNX US EQUITY</t>
  </si>
  <si>
    <t>Cognex Corp</t>
  </si>
  <si>
    <t>TRMB US EQUITY</t>
  </si>
  <si>
    <t>Trimble Inc</t>
  </si>
  <si>
    <t>DBX US EQUITY</t>
  </si>
  <si>
    <t>Dropbox Inc-A</t>
  </si>
  <si>
    <t>NRG US EQUITY</t>
  </si>
  <si>
    <t>Nrg Energy</t>
  </si>
  <si>
    <t>ZEN US EQUITY</t>
  </si>
  <si>
    <t>Zendesk Inc</t>
  </si>
  <si>
    <t>SRPT US EQUITY</t>
  </si>
  <si>
    <t>Sarepta Therapeu</t>
  </si>
  <si>
    <t>PTON US EQUITY</t>
  </si>
  <si>
    <t>Peloton Intera-A</t>
  </si>
  <si>
    <t>ARNC US EQUITY</t>
  </si>
  <si>
    <t>Arconic Inc</t>
  </si>
  <si>
    <t>FNF US EQUITY</t>
  </si>
  <si>
    <t>MPWR US EQUITY</t>
  </si>
  <si>
    <t>Monolithic Power</t>
  </si>
  <si>
    <t>RCL US EQUITY</t>
  </si>
  <si>
    <t>Royal Caribbean</t>
  </si>
  <si>
    <t>WRK US EQUITY</t>
  </si>
  <si>
    <t>Westrock Co</t>
  </si>
  <si>
    <t>HSIC US EQUITY</t>
  </si>
  <si>
    <t>Henry Schein Inc</t>
  </si>
  <si>
    <t>LII US EQUITY</t>
  </si>
  <si>
    <t>Lennox Intl Inc</t>
  </si>
  <si>
    <t>TECH US EQUITY</t>
  </si>
  <si>
    <t>Bio-Techne Corp</t>
  </si>
  <si>
    <t>SCI US EQUITY</t>
  </si>
  <si>
    <t>Service Corp Int</t>
  </si>
  <si>
    <t>DOX US EQUITY</t>
  </si>
  <si>
    <t>Amdocs Ltd</t>
  </si>
  <si>
    <t>CDAY US EQUITY</t>
  </si>
  <si>
    <t>Ceridian Hcm Hol</t>
  </si>
  <si>
    <t>EQH US EQUITY</t>
  </si>
  <si>
    <t>Equitable Holdin</t>
  </si>
  <si>
    <t>CVNA US EQUITY</t>
  </si>
  <si>
    <t>Carvana Co</t>
  </si>
  <si>
    <t>WBC US EQUITY</t>
  </si>
  <si>
    <t>Wabco Holdings</t>
  </si>
  <si>
    <t>IONS US EQUITY</t>
  </si>
  <si>
    <t>Ionis Pharmaceut</t>
  </si>
  <si>
    <t>DT US EQUITY</t>
  </si>
  <si>
    <t>Dynatrace Inc</t>
  </si>
  <si>
    <t>ARES US EQUITY</t>
  </si>
  <si>
    <t>Ares Managem- A</t>
  </si>
  <si>
    <t>PTC US EQUITY</t>
  </si>
  <si>
    <t>Ptc Inc</t>
  </si>
  <si>
    <t>WYNN US EQUITY</t>
  </si>
  <si>
    <t>Wynn Resorts Ltd</t>
  </si>
  <si>
    <t>TTC US EQUITY</t>
  </si>
  <si>
    <t>Toro Co</t>
  </si>
  <si>
    <t>FFIV US EQUITY</t>
  </si>
  <si>
    <t>F5 Networks</t>
  </si>
  <si>
    <t>GWRE US EQUITY</t>
  </si>
  <si>
    <t>Guidewire Softwa</t>
  </si>
  <si>
    <t>URI US EQUITY</t>
  </si>
  <si>
    <t>United Rentals</t>
  </si>
  <si>
    <t>HRC US EQUITY</t>
  </si>
  <si>
    <t>Hill-Rom Holding</t>
  </si>
  <si>
    <t>NET US EQUITY</t>
  </si>
  <si>
    <t>Cloudflare Inc-A</t>
  </si>
  <si>
    <t>AVTR US EQUITY</t>
  </si>
  <si>
    <t>Avantor Inc</t>
  </si>
  <si>
    <t>DRI US EQUITY</t>
  </si>
  <si>
    <t>Darden Restauran</t>
  </si>
  <si>
    <t>CSL US EQUITY</t>
  </si>
  <si>
    <t>Carlisle Cos Inc</t>
  </si>
  <si>
    <t>SEIC US EQUITY</t>
  </si>
  <si>
    <t>Sei Investments</t>
  </si>
  <si>
    <t>PHM US EQUITY</t>
  </si>
  <si>
    <t>Pultegroup Inc</t>
  </si>
  <si>
    <t>AAP US EQUITY</t>
  </si>
  <si>
    <t>Advance Auto Par</t>
  </si>
  <si>
    <t>JNPR US EQUITY</t>
  </si>
  <si>
    <t>Juniper Networks</t>
  </si>
  <si>
    <t>CHE US EQUITY</t>
  </si>
  <si>
    <t>Chemed Corp</t>
  </si>
  <si>
    <t>LKQ US EQUITY</t>
  </si>
  <si>
    <t>Lkq Corp</t>
  </si>
  <si>
    <t>ABMD US EQUITY</t>
  </si>
  <si>
    <t>Abiomed Inc</t>
  </si>
  <si>
    <t>COG US EQUITY</t>
  </si>
  <si>
    <t>Cabot Oil &amp; Gas</t>
  </si>
  <si>
    <t>AZPN US EQUITY</t>
  </si>
  <si>
    <t>Aspen Technology</t>
  </si>
  <si>
    <t>AFG US EQUITY</t>
  </si>
  <si>
    <t>Amer Finl Group</t>
  </si>
  <si>
    <t>OGE US EQUITY</t>
  </si>
  <si>
    <t>Oge Energy Corp</t>
  </si>
  <si>
    <t>GH US EQUITY</t>
  </si>
  <si>
    <t>Guardant Health</t>
  </si>
  <si>
    <t>ZNGA US EQUITY</t>
  </si>
  <si>
    <t>Zynga Inc- Cl A</t>
  </si>
  <si>
    <t>OLED US EQUITY</t>
  </si>
  <si>
    <t>Universal Displa</t>
  </si>
  <si>
    <t>EMN US EQUITY</t>
  </si>
  <si>
    <t>Eastman Chemical</t>
  </si>
  <si>
    <t>MTN US EQUITY</t>
  </si>
  <si>
    <t>Vail Resorts</t>
  </si>
  <si>
    <t>AIZ US EQUITY</t>
  </si>
  <si>
    <t>Assurant Inc</t>
  </si>
  <si>
    <t>AVLR US EQUITY</t>
  </si>
  <si>
    <t>Avalara Inc</t>
  </si>
  <si>
    <t>CRL US EQUITY</t>
  </si>
  <si>
    <t>Charles River La</t>
  </si>
  <si>
    <t>AYX US EQUITY</t>
  </si>
  <si>
    <t>Alteryx Inc -A</t>
  </si>
  <si>
    <t>TXT US EQUITY</t>
  </si>
  <si>
    <t>Textron Inc</t>
  </si>
  <si>
    <t>FBHS US EQUITY</t>
  </si>
  <si>
    <t>Fortune Brands H</t>
  </si>
  <si>
    <t>ENTG US EQUITY</t>
  </si>
  <si>
    <t>Entegris Inc</t>
  </si>
  <si>
    <t>CIEN US EQUITY</t>
  </si>
  <si>
    <t>Ciena Corp</t>
  </si>
  <si>
    <t>ACAD US EQUITY</t>
  </si>
  <si>
    <t>Acadia Pharmaceu</t>
  </si>
  <si>
    <t>ATR US EQUITY</t>
  </si>
  <si>
    <t>Aptargroup Inc</t>
  </si>
  <si>
    <t>MGM US EQUITY</t>
  </si>
  <si>
    <t>Mgm Resorts Inte</t>
  </si>
  <si>
    <t>BFAM US EQUITY</t>
  </si>
  <si>
    <t>Bright Horizons</t>
  </si>
  <si>
    <t>PFPT US EQUITY</t>
  </si>
  <si>
    <t>Proofpoint Inc</t>
  </si>
  <si>
    <t>AAL US EQUITY</t>
  </si>
  <si>
    <t>American Airline</t>
  </si>
  <si>
    <t>EHC US EQUITY</t>
  </si>
  <si>
    <t>Encompass Health</t>
  </si>
  <si>
    <t>AOS US EQUITY</t>
  </si>
  <si>
    <t>Smith (A.O.)Corp</t>
  </si>
  <si>
    <t>RGLD US EQUITY</t>
  </si>
  <si>
    <t>Royal Gold Inc</t>
  </si>
  <si>
    <t>PPD US EQUITY</t>
  </si>
  <si>
    <t>Ppd Inc</t>
  </si>
  <si>
    <t>ALLY US EQUITY</t>
  </si>
  <si>
    <t>Ally Financial I</t>
  </si>
  <si>
    <t>IPG US EQUITY</t>
  </si>
  <si>
    <t>Interpublic Grp</t>
  </si>
  <si>
    <t>SNA US EQUITY</t>
  </si>
  <si>
    <t>Snap-On Inc</t>
  </si>
  <si>
    <t>GLIBA US EQUITY</t>
  </si>
  <si>
    <t>Gci Liberty - A</t>
  </si>
  <si>
    <t>GLIBB US EQUITY</t>
  </si>
  <si>
    <t>Gci Liberty - B</t>
  </si>
  <si>
    <t>ALB US EQUITY</t>
  </si>
  <si>
    <t>Albemarle Corp</t>
  </si>
  <si>
    <t>HUBB US EQUITY</t>
  </si>
  <si>
    <t>Hubbell Inc</t>
  </si>
  <si>
    <t>PEGA US EQUITY</t>
  </si>
  <si>
    <t>Pegasystems Inc</t>
  </si>
  <si>
    <t>TXG US EQUITY</t>
  </si>
  <si>
    <t>10X Genomics I-A</t>
  </si>
  <si>
    <t>IPGP US EQUITY</t>
  </si>
  <si>
    <t>Ipg Photonics</t>
  </si>
  <si>
    <t>NWL US EQUITY</t>
  </si>
  <si>
    <t>Newell Brands In</t>
  </si>
  <si>
    <t>HUBS US EQUITY</t>
  </si>
  <si>
    <t>Hubspot Inc</t>
  </si>
  <si>
    <t>SMG US EQUITY</t>
  </si>
  <si>
    <t>Scotts Miracle</t>
  </si>
  <si>
    <t>BRKR US EQUITY</t>
  </si>
  <si>
    <t>Bruker Corp</t>
  </si>
  <si>
    <t>MSG US EQUITY</t>
  </si>
  <si>
    <t>Madison Square-A</t>
  </si>
  <si>
    <t>UHAL US EQUITY</t>
  </si>
  <si>
    <t>Amerco</t>
  </si>
  <si>
    <t>WSO/B US EQUITY</t>
  </si>
  <si>
    <t>Watsco Inc -B</t>
  </si>
  <si>
    <t>WSO US EQUITY</t>
  </si>
  <si>
    <t>Watsco Inc</t>
  </si>
  <si>
    <t>HAL US EQUITY</t>
  </si>
  <si>
    <t>Halliburton Co</t>
  </si>
  <si>
    <t>MHK US EQUITY</t>
  </si>
  <si>
    <t>Mohawk Inds</t>
  </si>
  <si>
    <t>RS US EQUITY</t>
  </si>
  <si>
    <t>Reliance Steel</t>
  </si>
  <si>
    <t>GNRC US EQUITY</t>
  </si>
  <si>
    <t>Generac Holdings</t>
  </si>
  <si>
    <t>REYN US EQUITY</t>
  </si>
  <si>
    <t>Reynolds Consume</t>
  </si>
  <si>
    <t>CBSH US EQUITY</t>
  </si>
  <si>
    <t>Commerce Bcshs</t>
  </si>
  <si>
    <t>CF US EQUITY</t>
  </si>
  <si>
    <t>Cf Industries Ho</t>
  </si>
  <si>
    <t>G US EQUITY</t>
  </si>
  <si>
    <t>Genpact Ltd</t>
  </si>
  <si>
    <t>GNTX US EQUITY</t>
  </si>
  <si>
    <t>Gentex Corp</t>
  </si>
  <si>
    <t>KNX US EQUITY</t>
  </si>
  <si>
    <t>Knight-Swift Tra</t>
  </si>
  <si>
    <t>DLB US EQUITY</t>
  </si>
  <si>
    <t>Dolby Laborato-A</t>
  </si>
  <si>
    <t>PEN US EQUITY</t>
  </si>
  <si>
    <t>Penumbra Inc</t>
  </si>
  <si>
    <t>UGI US EQUITY</t>
  </si>
  <si>
    <t>Ugi Corp</t>
  </si>
  <si>
    <t>CACI US EQUITY</t>
  </si>
  <si>
    <t>Caci Intl-A</t>
  </si>
  <si>
    <t>LEA US EQUITY</t>
  </si>
  <si>
    <t>Lear Corp</t>
  </si>
  <si>
    <t>LNC US EQUITY</t>
  </si>
  <si>
    <t>Lincoln Natl Crp</t>
  </si>
  <si>
    <t>AMED US EQUITY</t>
  </si>
  <si>
    <t>Amedisys Inc</t>
  </si>
  <si>
    <t>NYT US EQUITY</t>
  </si>
  <si>
    <t>New York Times-A</t>
  </si>
  <si>
    <t>ARMK US EQUITY</t>
  </si>
  <si>
    <t>Aramark</t>
  </si>
  <si>
    <t>POST US EQUITY</t>
  </si>
  <si>
    <t>Post Holdings In</t>
  </si>
  <si>
    <t>ON US EQUITY</t>
  </si>
  <si>
    <t>On Semiconductor</t>
  </si>
  <si>
    <t>WHR US EQUITY</t>
  </si>
  <si>
    <t>Whirlpool Corp</t>
  </si>
  <si>
    <t>EXEL US EQUITY</t>
  </si>
  <si>
    <t>Exelixis Inc</t>
  </si>
  <si>
    <t>VOYA US EQUITY</t>
  </si>
  <si>
    <t>Voya Financial I</t>
  </si>
  <si>
    <t>HZNP US EQUITY</t>
  </si>
  <si>
    <t>Horizon Therapeu</t>
  </si>
  <si>
    <t>LITE US EQUITY</t>
  </si>
  <si>
    <t>Lumentum Hol</t>
  </si>
  <si>
    <t>CACC US EQUITY</t>
  </si>
  <si>
    <t>Credit Acceptanc</t>
  </si>
  <si>
    <t>JLL US EQUITY</t>
  </si>
  <si>
    <t>Jones Lang Lasal</t>
  </si>
  <si>
    <t>SMAR US EQUITY</t>
  </si>
  <si>
    <t>Smartsheet Inc-A</t>
  </si>
  <si>
    <t>BG US EQUITY</t>
  </si>
  <si>
    <t>Bunge Ltd</t>
  </si>
  <si>
    <t>RP US EQUITY</t>
  </si>
  <si>
    <t>Realpage Inc</t>
  </si>
  <si>
    <t>LEVI US EQUITY</t>
  </si>
  <si>
    <t>Levi Strauss-A</t>
  </si>
  <si>
    <t>PCG US EQUITY</t>
  </si>
  <si>
    <t>Pg&amp;E Corp</t>
  </si>
  <si>
    <t>HAE US EQUITY</t>
  </si>
  <si>
    <t>Haemonetics Corp</t>
  </si>
  <si>
    <t>SC US EQUITY</t>
  </si>
  <si>
    <t>Santander Consum</t>
  </si>
  <si>
    <t>PBCT US EQUITY</t>
  </si>
  <si>
    <t>People'S United</t>
  </si>
  <si>
    <t>MORN US EQUITY</t>
  </si>
  <si>
    <t>Morningstar Inc</t>
  </si>
  <si>
    <t>RL US EQUITY</t>
  </si>
  <si>
    <t>Ralph Lauren Cor</t>
  </si>
  <si>
    <t>RETA US EQUITY</t>
  </si>
  <si>
    <t>Reata Pharmace-A</t>
  </si>
  <si>
    <t>NWSA US EQUITY</t>
  </si>
  <si>
    <t>News Corp-Cl A</t>
  </si>
  <si>
    <t>NWS US EQUITY</t>
  </si>
  <si>
    <t>News Corp-Cl B</t>
  </si>
  <si>
    <t>PRAH US EQUITY</t>
  </si>
  <si>
    <t>Pra Health Scien</t>
  </si>
  <si>
    <t>WLK US EQUITY</t>
  </si>
  <si>
    <t>Westlake Chemica</t>
  </si>
  <si>
    <t>H US EQUITY</t>
  </si>
  <si>
    <t>Hyatt Hotels-A</t>
  </si>
  <si>
    <t>RGA US EQUITY</t>
  </si>
  <si>
    <t>Reinsurance Grou</t>
  </si>
  <si>
    <t>PCTY US EQUITY</t>
  </si>
  <si>
    <t>Paylocity Holdin</t>
  </si>
  <si>
    <t>INGR US EQUITY</t>
  </si>
  <si>
    <t>Ingredion Inc</t>
  </si>
  <si>
    <t>FAF US EQUITY</t>
  </si>
  <si>
    <t>First American F</t>
  </si>
  <si>
    <t>TGE US EQUITY</t>
  </si>
  <si>
    <t>Tallgrass Ene-A</t>
  </si>
  <si>
    <t>BWA US EQUITY</t>
  </si>
  <si>
    <t>Borgwarner Inc</t>
  </si>
  <si>
    <t>XPO US EQUITY</t>
  </si>
  <si>
    <t>Xpo Logistics In</t>
  </si>
  <si>
    <t>EEFT US EQUITY</t>
  </si>
  <si>
    <t>Euronet Worldwid</t>
  </si>
  <si>
    <t>ARCC US EQUITY</t>
  </si>
  <si>
    <t>Ares Capital Cor</t>
  </si>
  <si>
    <t>CASY US EQUITY</t>
  </si>
  <si>
    <t>Casey'S General</t>
  </si>
  <si>
    <t>TREX US EQUITY</t>
  </si>
  <si>
    <t>Trex Co Inc</t>
  </si>
  <si>
    <t>RGEN US EQUITY</t>
  </si>
  <si>
    <t>Repligen Corp</t>
  </si>
  <si>
    <t>COTY US EQUITY</t>
  </si>
  <si>
    <t>Coty Inc-Cl A</t>
  </si>
  <si>
    <t>FMCC US EQUITY</t>
  </si>
  <si>
    <t>Freddie Mac</t>
  </si>
  <si>
    <t>SWI US EQUITY</t>
  </si>
  <si>
    <t>Solarwinds Corp</t>
  </si>
  <si>
    <t>KMPR US EQUITY</t>
  </si>
  <si>
    <t>Kemper Corp</t>
  </si>
  <si>
    <t>WEX US EQUITY</t>
  </si>
  <si>
    <t>Wex Inc</t>
  </si>
  <si>
    <t>CZR US EQUITY</t>
  </si>
  <si>
    <t>Caesars Entertai</t>
  </si>
  <si>
    <t>PB US EQUITY</t>
  </si>
  <si>
    <t>Prosperity Bncsh</t>
  </si>
  <si>
    <t>XLRN US EQUITY</t>
  </si>
  <si>
    <t>Acceleron Pharma</t>
  </si>
  <si>
    <t>TECD US EQUITY</t>
  </si>
  <si>
    <t>Tech Data Corp</t>
  </si>
  <si>
    <t>NLSN US EQUITY</t>
  </si>
  <si>
    <t>Nielsen Holdings</t>
  </si>
  <si>
    <t>DCI US EQUITY</t>
  </si>
  <si>
    <t>Donaldson Co Inc</t>
  </si>
  <si>
    <t>CMA US EQUITY</t>
  </si>
  <si>
    <t>Comerica Inc</t>
  </si>
  <si>
    <t>SBNY US EQUITY</t>
  </si>
  <si>
    <t>Signature Bank</t>
  </si>
  <si>
    <t>ST US EQUITY</t>
  </si>
  <si>
    <t>Sensata Technolo</t>
  </si>
  <si>
    <t>COLM US EQUITY</t>
  </si>
  <si>
    <t>Columbia Sportsw</t>
  </si>
  <si>
    <t>ORI US EQUITY</t>
  </si>
  <si>
    <t>Old Repub Intl</t>
  </si>
  <si>
    <t>ETSY US EQUITY</t>
  </si>
  <si>
    <t>Etsy Inc</t>
  </si>
  <si>
    <t>ACM US EQUITY</t>
  </si>
  <si>
    <t>Aecom</t>
  </si>
  <si>
    <t>FTSV US EQUITY</t>
  </si>
  <si>
    <t>Forty Seven Inc</t>
  </si>
  <si>
    <t>HE US EQUITY</t>
  </si>
  <si>
    <t>Hawaiian Elec</t>
  </si>
  <si>
    <t>BERY US EQUITY</t>
  </si>
  <si>
    <t>Berry Global Gro</t>
  </si>
  <si>
    <t>NUAN US EQUITY</t>
  </si>
  <si>
    <t>Nuance Communica</t>
  </si>
  <si>
    <t>IDA US EQUITY</t>
  </si>
  <si>
    <t>Idacorp Inc</t>
  </si>
  <si>
    <t>FIVN US EQUITY</t>
  </si>
  <si>
    <t>Five9 Inc</t>
  </si>
  <si>
    <t>ORCC US EQUITY</t>
  </si>
  <si>
    <t>Owl Rock Capital</t>
  </si>
  <si>
    <t>ZION US EQUITY</t>
  </si>
  <si>
    <t>Zions Bancorp Na</t>
  </si>
  <si>
    <t>PPC US EQUITY</t>
  </si>
  <si>
    <t>Pilgrim'S Pride</t>
  </si>
  <si>
    <t>BWXT US EQUITY</t>
  </si>
  <si>
    <t>Bwx Technologies</t>
  </si>
  <si>
    <t>RHI US EQUITY</t>
  </si>
  <si>
    <t>Robert Half Intl</t>
  </si>
  <si>
    <t>NYCB US EQUITY</t>
  </si>
  <si>
    <t>Ny Comm Bancorp</t>
  </si>
  <si>
    <t>AAXN US EQUITY</t>
  </si>
  <si>
    <t>Axon Enterprise</t>
  </si>
  <si>
    <t>CHGG US EQUITY</t>
  </si>
  <si>
    <t>Chegg Inc</t>
  </si>
  <si>
    <t>HDS US EQUITY</t>
  </si>
  <si>
    <t>Hd Supply Holdin</t>
  </si>
  <si>
    <t>MKSI US EQUITY</t>
  </si>
  <si>
    <t>Mks Instruments</t>
  </si>
  <si>
    <t>ESTC US EQUITY</t>
  </si>
  <si>
    <t>Elastic Nv</t>
  </si>
  <si>
    <t>PLAN US EQUITY</t>
  </si>
  <si>
    <t>Anaplan Inc</t>
  </si>
  <si>
    <t>FLIR US EQUITY</t>
  </si>
  <si>
    <t>Flir Systems</t>
  </si>
  <si>
    <t>MDU US EQUITY</t>
  </si>
  <si>
    <t>Mdu Res Group</t>
  </si>
  <si>
    <t>W US EQUITY</t>
  </si>
  <si>
    <t>Wayfair Inc- A</t>
  </si>
  <si>
    <t>PLNT US EQUITY</t>
  </si>
  <si>
    <t>Planet Fitness-A</t>
  </si>
  <si>
    <t>VIRT US EQUITY</t>
  </si>
  <si>
    <t>Virtu Financia-A</t>
  </si>
  <si>
    <t>HLF US EQUITY</t>
  </si>
  <si>
    <t>Herbalife Nutrit</t>
  </si>
  <si>
    <t>SYNH US EQUITY</t>
  </si>
  <si>
    <t>Syneos Health In</t>
  </si>
  <si>
    <t>IAA US EQUITY</t>
  </si>
  <si>
    <t>Iaa Inc</t>
  </si>
  <si>
    <t>POR US EQUITY</t>
  </si>
  <si>
    <t>Portland General</t>
  </si>
  <si>
    <t>STLD US EQUITY</t>
  </si>
  <si>
    <t>Steel Dynamics</t>
  </si>
  <si>
    <t>SAM US EQUITY</t>
  </si>
  <si>
    <t>Boston Beer-A</t>
  </si>
  <si>
    <t>FCN US EQUITY</t>
  </si>
  <si>
    <t>Fti Consulting</t>
  </si>
  <si>
    <t>PWR US EQUITY</t>
  </si>
  <si>
    <t>Quanta Services</t>
  </si>
  <si>
    <t>SON US EQUITY</t>
  </si>
  <si>
    <t>Sonoco Products</t>
  </si>
  <si>
    <t>IVZ US EQUITY</t>
  </si>
  <si>
    <t>Invesco Ltd</t>
  </si>
  <si>
    <t>TFSL US EQUITY</t>
  </si>
  <si>
    <t>Tfs Financial Co</t>
  </si>
  <si>
    <t>OC US EQUITY</t>
  </si>
  <si>
    <t>Owens Corning</t>
  </si>
  <si>
    <t>LPLA US EQUITY</t>
  </si>
  <si>
    <t>Lpl Financial Ho</t>
  </si>
  <si>
    <t>LM US EQUITY</t>
  </si>
  <si>
    <t>Legg Mason Inc</t>
  </si>
  <si>
    <t>OGS US EQUITY</t>
  </si>
  <si>
    <t>One Gas Inc</t>
  </si>
  <si>
    <t>DNKN US EQUITY</t>
  </si>
  <si>
    <t>Dunkin' Brands G</t>
  </si>
  <si>
    <t>LECO US EQUITY</t>
  </si>
  <si>
    <t>Lincoln Electric</t>
  </si>
  <si>
    <t>AXTA US EQUITY</t>
  </si>
  <si>
    <t>Axalta Coating S</t>
  </si>
  <si>
    <t>GMED US EQUITY</t>
  </si>
  <si>
    <t>Globus Medical I</t>
  </si>
  <si>
    <t>SAIC US EQUITY</t>
  </si>
  <si>
    <t>Science Applicat</t>
  </si>
  <si>
    <t>FLO US EQUITY</t>
  </si>
  <si>
    <t>Flowers Foods</t>
  </si>
  <si>
    <t>NEU US EQUITY</t>
  </si>
  <si>
    <t>Newmarket Corp</t>
  </si>
  <si>
    <t>NATI US EQUITY</t>
  </si>
  <si>
    <t>Natl Instruments</t>
  </si>
  <si>
    <t>EWBC US EQUITY</t>
  </si>
  <si>
    <t>East West Bncrp</t>
  </si>
  <si>
    <t>BYND US EQUITY</t>
  </si>
  <si>
    <t>Beyond Meat Inc</t>
  </si>
  <si>
    <t>TNDM US EQUITY</t>
  </si>
  <si>
    <t>Tandem Diabetes</t>
  </si>
  <si>
    <t>IOVA US EQUITY</t>
  </si>
  <si>
    <t>Iovance Biothera</t>
  </si>
  <si>
    <t>LOGM US EQUITY</t>
  </si>
  <si>
    <t>Logmein Inc</t>
  </si>
  <si>
    <t>FLEX US EQUITY</t>
  </si>
  <si>
    <t>Flex Ltd</t>
  </si>
  <si>
    <t>ARW US EQUITY</t>
  </si>
  <si>
    <t>Arrow Electronic</t>
  </si>
  <si>
    <t>JEF US EQUITY</t>
  </si>
  <si>
    <t>Jefferies Financ</t>
  </si>
  <si>
    <t>UTHR US EQUITY</t>
  </si>
  <si>
    <t>United Therapeut</t>
  </si>
  <si>
    <t>CDK US EQUITY</t>
  </si>
  <si>
    <t>Cdk Global Inc</t>
  </si>
  <si>
    <t>UAA US EQUITY</t>
  </si>
  <si>
    <t>Under Armour-A</t>
  </si>
  <si>
    <t>UA US EQUITY</t>
  </si>
  <si>
    <t>Under Armo-C</t>
  </si>
  <si>
    <t>ENPH US EQUITY</t>
  </si>
  <si>
    <t>Enphase Energy</t>
  </si>
  <si>
    <t>CW US EQUITY</t>
  </si>
  <si>
    <t>Curtiss-Wright</t>
  </si>
  <si>
    <t>FIVE US EQUITY</t>
  </si>
  <si>
    <t>Five Below</t>
  </si>
  <si>
    <t>CREE US EQUITY</t>
  </si>
  <si>
    <t>Cree Inc</t>
  </si>
  <si>
    <t>USFD US EQUITY</t>
  </si>
  <si>
    <t>Us Foods Holding</t>
  </si>
  <si>
    <t>BKH US EQUITY</t>
  </si>
  <si>
    <t>Black Hills Corp</t>
  </si>
  <si>
    <t>OSK US EQUITY</t>
  </si>
  <si>
    <t>Oshkosh Corp</t>
  </si>
  <si>
    <t>QDEL US EQUITY</t>
  </si>
  <si>
    <t>Quidel Corp</t>
  </si>
  <si>
    <t>HFC US EQUITY</t>
  </si>
  <si>
    <t>Hollyfrontier Co</t>
  </si>
  <si>
    <t>LHCG US EQUITY</t>
  </si>
  <si>
    <t>Lhc Group Inc</t>
  </si>
  <si>
    <t>ICUI US EQUITY</t>
  </si>
  <si>
    <t>Icu Medical</t>
  </si>
  <si>
    <t>SKX US EQUITY</t>
  </si>
  <si>
    <t>Skechers Usa-A</t>
  </si>
  <si>
    <t>NOV US EQUITY</t>
  </si>
  <si>
    <t>Natl Oilwell Var</t>
  </si>
  <si>
    <t>ALSN US EQUITY</t>
  </si>
  <si>
    <t>Allison Transmis</t>
  </si>
  <si>
    <t>WWD US EQUITY</t>
  </si>
  <si>
    <t>Woodward Inc</t>
  </si>
  <si>
    <t>TPR US EQUITY</t>
  </si>
  <si>
    <t>Tapestry Inc</t>
  </si>
  <si>
    <t>SRCL US EQUITY</t>
  </si>
  <si>
    <t>Stericycle Inc</t>
  </si>
  <si>
    <t>AWI US EQUITY</t>
  </si>
  <si>
    <t>Armstrong World</t>
  </si>
  <si>
    <t>SEE US EQUITY</t>
  </si>
  <si>
    <t>Sealed Air Corp</t>
  </si>
  <si>
    <t>RLI US EQUITY</t>
  </si>
  <si>
    <t>Rli Corp</t>
  </si>
  <si>
    <t>TTEK US EQUITY</t>
  </si>
  <si>
    <t>Tetra Tech Inc</t>
  </si>
  <si>
    <t>FANG US EQUITY</t>
  </si>
  <si>
    <t>Diamondback Ener</t>
  </si>
  <si>
    <t>MRCY US EQUITY</t>
  </si>
  <si>
    <t>Mercury Systems</t>
  </si>
  <si>
    <t>VIR US EQUITY</t>
  </si>
  <si>
    <t>Vir Biotechnolog</t>
  </si>
  <si>
    <t>ITT US EQUITY</t>
  </si>
  <si>
    <t>Itt Inc</t>
  </si>
  <si>
    <t>TCF US EQUITY</t>
  </si>
  <si>
    <t>Tcf Financial Co</t>
  </si>
  <si>
    <t>XRX US EQUITY</t>
  </si>
  <si>
    <t>Xerox Holdings C</t>
  </si>
  <si>
    <t>FSLR US EQUITY</t>
  </si>
  <si>
    <t>First Solar Inc</t>
  </si>
  <si>
    <t>MOS US EQUITY</t>
  </si>
  <si>
    <t>Mosaic Co/The</t>
  </si>
  <si>
    <t>MSA US EQUITY</t>
  </si>
  <si>
    <t>Msa Safety Inc</t>
  </si>
  <si>
    <t>EVBG US EQUITY</t>
  </si>
  <si>
    <t>Everbridge Inc</t>
  </si>
  <si>
    <t>SR US EQUITY</t>
  </si>
  <si>
    <t>Spire Inc</t>
  </si>
  <si>
    <t>DECK US EQUITY</t>
  </si>
  <si>
    <t>Deckers Outdoor</t>
  </si>
  <si>
    <t>EV US EQUITY</t>
  </si>
  <si>
    <t>Eaton Vance Corp</t>
  </si>
  <si>
    <t>CHDN US EQUITY</t>
  </si>
  <si>
    <t>Churchill Downs</t>
  </si>
  <si>
    <t>PINC US EQUITY</t>
  </si>
  <si>
    <t>Premier Inc-Cl A</t>
  </si>
  <si>
    <t>CCOI US EQUITY</t>
  </si>
  <si>
    <t>Cogent Communica</t>
  </si>
  <si>
    <t>PRI US EQUITY</t>
  </si>
  <si>
    <t>Primerica Inc</t>
  </si>
  <si>
    <t>SNX US EQUITY</t>
  </si>
  <si>
    <t>Synnex Corp</t>
  </si>
  <si>
    <t>LEG US EQUITY</t>
  </si>
  <si>
    <t>Leggett &amp; Platt</t>
  </si>
  <si>
    <t>HQY US EQUITY</t>
  </si>
  <si>
    <t>Healthequity Inc</t>
  </si>
  <si>
    <t>LANC US EQUITY</t>
  </si>
  <si>
    <t>Lancaster Colony</t>
  </si>
  <si>
    <t>FFIN US EQUITY</t>
  </si>
  <si>
    <t>First Fin Banksh</t>
  </si>
  <si>
    <t>ALK US EQUITY</t>
  </si>
  <si>
    <t>Alaska Air Group</t>
  </si>
  <si>
    <t>AVX US EQUITY</t>
  </si>
  <si>
    <t>Avx Corp</t>
  </si>
  <si>
    <t>SWX US EQUITY</t>
  </si>
  <si>
    <t>Southwest Gas Ho</t>
  </si>
  <si>
    <t>LSTR US EQUITY</t>
  </si>
  <si>
    <t>Landstar System</t>
  </si>
  <si>
    <t>EXPO US EQUITY</t>
  </si>
  <si>
    <t>Exponent Inc</t>
  </si>
  <si>
    <t>CWENot Classified US EQUITY</t>
  </si>
  <si>
    <t>Clearway Energ-A</t>
  </si>
  <si>
    <t>CWEN US EQUITY</t>
  </si>
  <si>
    <t>Clearway Energ-C</t>
  </si>
  <si>
    <t>SERV US EQUITY</t>
  </si>
  <si>
    <t>Servicemaster Gl</t>
  </si>
  <si>
    <t>CRUS US EQUITY</t>
  </si>
  <si>
    <t>Cirrus Logic Inc</t>
  </si>
  <si>
    <t>JBL US EQUITY</t>
  </si>
  <si>
    <t>Jabil Inc</t>
  </si>
  <si>
    <t>DXC US EQUITY</t>
  </si>
  <si>
    <t>Dxc Technology C</t>
  </si>
  <si>
    <t>GRUB US EQUITY</t>
  </si>
  <si>
    <t>Grubhub Inc</t>
  </si>
  <si>
    <t>APPF US EQUITY</t>
  </si>
  <si>
    <t>Appfolio Inc - A</t>
  </si>
  <si>
    <t>ADT US EQUITY</t>
  </si>
  <si>
    <t>Adt Inc</t>
  </si>
  <si>
    <t>HELE US EQUITY</t>
  </si>
  <si>
    <t>Helen Of Troy</t>
  </si>
  <si>
    <t>SLAB US EQUITY</t>
  </si>
  <si>
    <t>Silicon Labs</t>
  </si>
  <si>
    <t>CHH US EQUITY</t>
  </si>
  <si>
    <t>Choice Hotels</t>
  </si>
  <si>
    <t>IART US EQUITY</t>
  </si>
  <si>
    <t>Integra Lifescie</t>
  </si>
  <si>
    <t>MMS US EQUITY</t>
  </si>
  <si>
    <t>Maximus Inc</t>
  </si>
  <si>
    <t>THG US EQUITY</t>
  </si>
  <si>
    <t>Hanover Insuranc</t>
  </si>
  <si>
    <t>AGCO US EQUITY</t>
  </si>
  <si>
    <t>Agco Corp</t>
  </si>
  <si>
    <t>LB US EQUITY</t>
  </si>
  <si>
    <t>L Brands Inc</t>
  </si>
  <si>
    <t>CFR US EQUITY</t>
  </si>
  <si>
    <t>Cullen/Frost</t>
  </si>
  <si>
    <t>TERP US EQUITY</t>
  </si>
  <si>
    <t>Terraform Powe-A</t>
  </si>
  <si>
    <t>GPK US EQUITY</t>
  </si>
  <si>
    <t>Graphic Packagin</t>
  </si>
  <si>
    <t>LOPE US EQUITY</t>
  </si>
  <si>
    <t>Grand Canyon Edu</t>
  </si>
  <si>
    <t>IPHI US EQUITY</t>
  </si>
  <si>
    <t>Inphi Corp</t>
  </si>
  <si>
    <t>MANH US EQUITY</t>
  </si>
  <si>
    <t>Manhattan Assoc</t>
  </si>
  <si>
    <t>EHTH US EQUITY</t>
  </si>
  <si>
    <t>Ehealth Inc</t>
  </si>
  <si>
    <t>BJ US EQUITY</t>
  </si>
  <si>
    <t>Bj'S Wholesale C</t>
  </si>
  <si>
    <t>FND US EQUITY</t>
  </si>
  <si>
    <t>Floor &amp; Decor-A</t>
  </si>
  <si>
    <t>SWCH US EQUITY</t>
  </si>
  <si>
    <t>Switch Inc- A</t>
  </si>
  <si>
    <t>PSN US EQUITY</t>
  </si>
  <si>
    <t>Parsons Corp</t>
  </si>
  <si>
    <t>FCNCA US EQUITY</t>
  </si>
  <si>
    <t>First Citizens-A</t>
  </si>
  <si>
    <t>FCNCB US EQUITY</t>
  </si>
  <si>
    <t>First Citizens-B</t>
  </si>
  <si>
    <t>MRTX US EQUITY</t>
  </si>
  <si>
    <t>Mirati Therapeut</t>
  </si>
  <si>
    <t>PSTG US EQUITY</t>
  </si>
  <si>
    <t>Pure Storage-A</t>
  </si>
  <si>
    <t>SEB US EQUITY</t>
  </si>
  <si>
    <t>Seaboard Corp</t>
  </si>
  <si>
    <t>BBIO US EQUITY</t>
  </si>
  <si>
    <t>Bridgebio Pharma</t>
  </si>
  <si>
    <t>NTNX US EQUITY</t>
  </si>
  <si>
    <t>Nutanix Inc - A</t>
  </si>
  <si>
    <t>QLYS US EQUITY</t>
  </si>
  <si>
    <t>Qualys Inc</t>
  </si>
  <si>
    <t>AYI US EQUITY</t>
  </si>
  <si>
    <t>Acuity Brands</t>
  </si>
  <si>
    <t>JCOM US EQUITY</t>
  </si>
  <si>
    <t>J2 Global Inc</t>
  </si>
  <si>
    <t>SPCE US EQUITY</t>
  </si>
  <si>
    <t>Virgin Galactic</t>
  </si>
  <si>
    <t>EME US EQUITY</t>
  </si>
  <si>
    <t>Emcor Group Inc</t>
  </si>
  <si>
    <t>MIDD US EQUITY</t>
  </si>
  <si>
    <t>Middleby Corp</t>
  </si>
  <si>
    <t>HLNE US EQUITY</t>
  </si>
  <si>
    <t>Hamilton Lane-A</t>
  </si>
  <si>
    <t>WSM US EQUITY</t>
  </si>
  <si>
    <t>Williams-Sonoma</t>
  </si>
  <si>
    <t>UNM US EQUITY</t>
  </si>
  <si>
    <t>Unum Group</t>
  </si>
  <si>
    <t>ORA US EQUITY</t>
  </si>
  <si>
    <t>Ormat Technologi</t>
  </si>
  <si>
    <t>AJRD US EQUITY</t>
  </si>
  <si>
    <t>Aerojet Rocketdy</t>
  </si>
  <si>
    <t>HXL US EQUITY</t>
  </si>
  <si>
    <t>Hexcel Corp</t>
  </si>
  <si>
    <t>ALE US EQUITY</t>
  </si>
  <si>
    <t>Allete Inc</t>
  </si>
  <si>
    <t>ADPT US EQUITY</t>
  </si>
  <si>
    <t>Adaptive Biotech</t>
  </si>
  <si>
    <t>HUN US EQUITY</t>
  </si>
  <si>
    <t>Huntsman Corp</t>
  </si>
  <si>
    <t>PNM US EQUITY</t>
  </si>
  <si>
    <t>Pnm Resources</t>
  </si>
  <si>
    <t>GBCI US EQUITY</t>
  </si>
  <si>
    <t>Glacier Bancorp</t>
  </si>
  <si>
    <t>WAL US EQUITY</t>
  </si>
  <si>
    <t>Western Alliance</t>
  </si>
  <si>
    <t>SNDR US EQUITY</t>
  </si>
  <si>
    <t>Schneider Natl-B</t>
  </si>
  <si>
    <t>NJR US EQUITY</t>
  </si>
  <si>
    <t>New Jersey Res</t>
  </si>
  <si>
    <t>BPMC US EQUITY</t>
  </si>
  <si>
    <t>Blueprint Medici</t>
  </si>
  <si>
    <t>WEN US EQUITY</t>
  </si>
  <si>
    <t>Wendy'S Co/The</t>
  </si>
  <si>
    <t>SATS US EQUITY</t>
  </si>
  <si>
    <t>Echostar Corp-A</t>
  </si>
  <si>
    <t>MNTA US EQUITY</t>
  </si>
  <si>
    <t>Momenta Pharmace</t>
  </si>
  <si>
    <t>CCMP US EQUITY</t>
  </si>
  <si>
    <t>Cabot Microelec</t>
  </si>
  <si>
    <t>NFG US EQUITY</t>
  </si>
  <si>
    <t>Natl Fuel Gas Co</t>
  </si>
  <si>
    <t>SPR US EQUITY</t>
  </si>
  <si>
    <t>Spirit Aerosys-A</t>
  </si>
  <si>
    <t>CLR US EQUITY</t>
  </si>
  <si>
    <t>Contl Res Inc/Ok</t>
  </si>
  <si>
    <t>MAN US EQUITY</t>
  </si>
  <si>
    <t>Manpowergroup In</t>
  </si>
  <si>
    <t>GBT US EQUITY</t>
  </si>
  <si>
    <t>Global Blood The</t>
  </si>
  <si>
    <t>SLM US EQUITY</t>
  </si>
  <si>
    <t>Slm Corp</t>
  </si>
  <si>
    <t>NEOG US EQUITY</t>
  </si>
  <si>
    <t>Neogen Corp</t>
  </si>
  <si>
    <t>BCPC US EQUITY</t>
  </si>
  <si>
    <t>Balchem Corp</t>
  </si>
  <si>
    <t>LFUS US EQUITY</t>
  </si>
  <si>
    <t>Littelfuse Inc</t>
  </si>
  <si>
    <t>NKTR US EQUITY</t>
  </si>
  <si>
    <t>Nektar Therapeut</t>
  </si>
  <si>
    <t>CRI US EQUITY</t>
  </si>
  <si>
    <t>Carter'S Inc</t>
  </si>
  <si>
    <t>OMF US EQUITY</t>
  </si>
  <si>
    <t>Onemain Holdings</t>
  </si>
  <si>
    <t>MAT US EQUITY</t>
  </si>
  <si>
    <t>Mattel Inc</t>
  </si>
  <si>
    <t>ASH US EQUITY</t>
  </si>
  <si>
    <t>Ashland Global H</t>
  </si>
  <si>
    <t>CHNG US EQUITY</t>
  </si>
  <si>
    <t>Change Healthcar</t>
  </si>
  <si>
    <t>SLGN US EQUITY</t>
  </si>
  <si>
    <t>Silgan Holdings</t>
  </si>
  <si>
    <t>GO US EQUITY</t>
  </si>
  <si>
    <t>Grocery Outlet</t>
  </si>
  <si>
    <t>HLI US EQUITY</t>
  </si>
  <si>
    <t>Houlihan Lokey I</t>
  </si>
  <si>
    <t>FTDR US EQUITY</t>
  </si>
  <si>
    <t>Frontdoor In</t>
  </si>
  <si>
    <t>DAR US EQUITY</t>
  </si>
  <si>
    <t>Darling Ingredie</t>
  </si>
  <si>
    <t>NWE US EQUITY</t>
  </si>
  <si>
    <t>Northwestern Cor</t>
  </si>
  <si>
    <t>PFGC US EQUITY</t>
  </si>
  <si>
    <t>Performance Food</t>
  </si>
  <si>
    <t>ENV US EQUITY</t>
  </si>
  <si>
    <t>Envestnet Inc</t>
  </si>
  <si>
    <t>IRDM US EQUITY</t>
  </si>
  <si>
    <t>Iridium Communic</t>
  </si>
  <si>
    <t>WH US EQUITY</t>
  </si>
  <si>
    <t>Wyndham Hotels &amp;</t>
  </si>
  <si>
    <t>PRSP US EQUITY</t>
  </si>
  <si>
    <t>Perspecta Inc</t>
  </si>
  <si>
    <t>AWR US EQUITY</t>
  </si>
  <si>
    <t>Amer States Wate</t>
  </si>
  <si>
    <t>CBU US EQUITY</t>
  </si>
  <si>
    <t>Community Bank S</t>
  </si>
  <si>
    <t>BL US EQUITY</t>
  </si>
  <si>
    <t>Blackline Inc</t>
  </si>
  <si>
    <t>AXE US EQUITY</t>
  </si>
  <si>
    <t>Anixter Intl Inc</t>
  </si>
  <si>
    <t>FGEN US EQUITY</t>
  </si>
  <si>
    <t>Fibrogen Inc</t>
  </si>
  <si>
    <t>ESNT US EQUITY</t>
  </si>
  <si>
    <t>Essent Group Ltd</t>
  </si>
  <si>
    <t>HBI US EQUITY</t>
  </si>
  <si>
    <t>Hanesbrands Inc</t>
  </si>
  <si>
    <t>SITE US EQUITY</t>
  </si>
  <si>
    <t>Siteone Landscap</t>
  </si>
  <si>
    <t>NEWR US EQUITY</t>
  </si>
  <si>
    <t>New Relic Inc</t>
  </si>
  <si>
    <t>RDN US EQUITY</t>
  </si>
  <si>
    <t>Radian Group Inc</t>
  </si>
  <si>
    <t>ADSW US EQUITY</t>
  </si>
  <si>
    <t>Advanced Disposa</t>
  </si>
  <si>
    <t>SIGI US EQUITY</t>
  </si>
  <si>
    <t>Select Ins Grp</t>
  </si>
  <si>
    <t>PII US EQUITY</t>
  </si>
  <si>
    <t>Polaris Inc</t>
  </si>
  <si>
    <t>CR US EQUITY</t>
  </si>
  <si>
    <t>Crane Co</t>
  </si>
  <si>
    <t>MDLA US EQUITY</t>
  </si>
  <si>
    <t>Medallia Inc</t>
  </si>
  <si>
    <t>BOKF US EQUITY</t>
  </si>
  <si>
    <t>Bok Finl Corp</t>
  </si>
  <si>
    <t>TXRH US EQUITY</t>
  </si>
  <si>
    <t>Texas Roadhous</t>
  </si>
  <si>
    <t>FCFS US EQUITY</t>
  </si>
  <si>
    <t>Firstcash Inc</t>
  </si>
  <si>
    <t>HRB US EQUITY</t>
  </si>
  <si>
    <t>H&amp;R Block Inc</t>
  </si>
  <si>
    <t>GPS US EQUITY</t>
  </si>
  <si>
    <t>Gap Inc/The</t>
  </si>
  <si>
    <t>VLY US EQUITY</t>
  </si>
  <si>
    <t>Valley Natl Banc</t>
  </si>
  <si>
    <t>TGNA US EQUITY</t>
  </si>
  <si>
    <t>Tegna Inc</t>
  </si>
  <si>
    <t>MSM US EQUITY</t>
  </si>
  <si>
    <t>Msc Indl Direct</t>
  </si>
  <si>
    <t>KBR US EQUITY</t>
  </si>
  <si>
    <t>Kbr Inc</t>
  </si>
  <si>
    <t>NXST US EQUITY</t>
  </si>
  <si>
    <t>Nexstar Media-A</t>
  </si>
  <si>
    <t>NVRO US EQUITY</t>
  </si>
  <si>
    <t>Nevro Corp</t>
  </si>
  <si>
    <t>ARWR US EQUITY</t>
  </si>
  <si>
    <t>Arrowhead Pharma</t>
  </si>
  <si>
    <t>WTM US EQUITY</t>
  </si>
  <si>
    <t>White Mountains</t>
  </si>
  <si>
    <t>QTWO US EQUITY</t>
  </si>
  <si>
    <t>Q2 Holdings Inc</t>
  </si>
  <si>
    <t>MANT US EQUITY</t>
  </si>
  <si>
    <t>Mantech Intl-A</t>
  </si>
  <si>
    <t>PNFP US EQUITY</t>
  </si>
  <si>
    <t>Pinnacle Finl</t>
  </si>
  <si>
    <t>FLS US EQUITY</t>
  </si>
  <si>
    <t>Flowserve Corp</t>
  </si>
  <si>
    <t>BC US EQUITY</t>
  </si>
  <si>
    <t>Brunswick Corp</t>
  </si>
  <si>
    <t>SF US EQUITY</t>
  </si>
  <si>
    <t>Stifel Financial</t>
  </si>
  <si>
    <t>CLH US EQUITY</t>
  </si>
  <si>
    <t>Clean Harbors</t>
  </si>
  <si>
    <t>BILL US EQUITY</t>
  </si>
  <si>
    <t>Bill.Com Holding</t>
  </si>
  <si>
    <t>STRA US EQUITY</t>
  </si>
  <si>
    <t>Strategic Educat</t>
  </si>
  <si>
    <t>ACIA US EQUITY</t>
  </si>
  <si>
    <t>Acacia Communica</t>
  </si>
  <si>
    <t>MRO US EQUITY</t>
  </si>
  <si>
    <t>Marathon Oil</t>
  </si>
  <si>
    <t>OLLI US EQUITY</t>
  </si>
  <si>
    <t>Ollie'S Bargain</t>
  </si>
  <si>
    <t>PVH US EQUITY</t>
  </si>
  <si>
    <t>Pvh Corp</t>
  </si>
  <si>
    <t>VRNT US EQUITY</t>
  </si>
  <si>
    <t>Verint Systems</t>
  </si>
  <si>
    <t>ROLL US EQUITY</t>
  </si>
  <si>
    <t>Rbc Bearings Inc</t>
  </si>
  <si>
    <t>JBLU US EQUITY</t>
  </si>
  <si>
    <t>Jetblue Airways</t>
  </si>
  <si>
    <t>AVA US EQUITY</t>
  </si>
  <si>
    <t>Avista Corp</t>
  </si>
  <si>
    <t>IMMU US EQUITY</t>
  </si>
  <si>
    <t>Immunomedics Inc</t>
  </si>
  <si>
    <t>TOL US EQUITY</t>
  </si>
  <si>
    <t>Toll Brothers</t>
  </si>
  <si>
    <t>UNF US EQUITY</t>
  </si>
  <si>
    <t>Unifirst Corp/Ma</t>
  </si>
  <si>
    <t>EE US EQUITY</t>
  </si>
  <si>
    <t>El Paso Electric</t>
  </si>
  <si>
    <t>WTS US EQUITY</t>
  </si>
  <si>
    <t>Watts Water Te-A</t>
  </si>
  <si>
    <t>KSS US EQUITY</t>
  </si>
  <si>
    <t>Kohls Corp</t>
  </si>
  <si>
    <t>HOG US EQUITY</t>
  </si>
  <si>
    <t>Harley-Davidson</t>
  </si>
  <si>
    <t>MTG US EQUITY</t>
  </si>
  <si>
    <t>Mgic Invt Corp</t>
  </si>
  <si>
    <t>WDFC US EQUITY</t>
  </si>
  <si>
    <t>Wd-40 Co</t>
  </si>
  <si>
    <t>SNV US EQUITY</t>
  </si>
  <si>
    <t>Synovus Finl</t>
  </si>
  <si>
    <t>VRT US EQUITY</t>
  </si>
  <si>
    <t>Vertiv Holdings</t>
  </si>
  <si>
    <t>AMG US EQUITY</t>
  </si>
  <si>
    <t>Affil Managers</t>
  </si>
  <si>
    <t>NEO US EQUITY</t>
  </si>
  <si>
    <t>Neogenomics Inc</t>
  </si>
  <si>
    <t>NOVT US EQUITY</t>
  </si>
  <si>
    <t>Novanta Inc</t>
  </si>
  <si>
    <t>CVBF US EQUITY</t>
  </si>
  <si>
    <t>Cvb Financial</t>
  </si>
  <si>
    <t>ACIW US EQUITY</t>
  </si>
  <si>
    <t>Aci Worldwide In</t>
  </si>
  <si>
    <t>FINN US EQUITY</t>
  </si>
  <si>
    <t>First Nat Of Neb</t>
  </si>
  <si>
    <t>EBS US EQUITY</t>
  </si>
  <si>
    <t>Emergent Biosolu</t>
  </si>
  <si>
    <t>BHF US EQUITY</t>
  </si>
  <si>
    <t>Brighthouse Fina</t>
  </si>
  <si>
    <t>BLUE US EQUITY</t>
  </si>
  <si>
    <t>Bluebird Bio Inc</t>
  </si>
  <si>
    <t>TNET US EQUITY</t>
  </si>
  <si>
    <t>Trinet Group Inc</t>
  </si>
  <si>
    <t>RXN US EQUITY</t>
  </si>
  <si>
    <t>Rexnord Corp</t>
  </si>
  <si>
    <t>HAIN US EQUITY</t>
  </si>
  <si>
    <t>Hain Celestial</t>
  </si>
  <si>
    <t>SAFM US EQUITY</t>
  </si>
  <si>
    <t>Sanderson Farms</t>
  </si>
  <si>
    <t>BLD US EQUITY</t>
  </si>
  <si>
    <t>Topbuild Cor</t>
  </si>
  <si>
    <t>SSD US EQUITY</t>
  </si>
  <si>
    <t>Simpson Mfg</t>
  </si>
  <si>
    <t>APPN US EQUITY</t>
  </si>
  <si>
    <t>Appian Corp</t>
  </si>
  <si>
    <t>CLGX US EQUITY</t>
  </si>
  <si>
    <t>Corelogic Inc</t>
  </si>
  <si>
    <t>NEP US EQUITY</t>
  </si>
  <si>
    <t>Nextera Energy P</t>
  </si>
  <si>
    <t>POWI US EQUITY</t>
  </si>
  <si>
    <t>Power Integratio</t>
  </si>
  <si>
    <t>CWK US EQUITY</t>
  </si>
  <si>
    <t>Cushman &amp; Wakefi</t>
  </si>
  <si>
    <t>AN US EQUITY</t>
  </si>
  <si>
    <t>Autonation Inc</t>
  </si>
  <si>
    <t>BLKB US EQUITY</t>
  </si>
  <si>
    <t>Blackbaud Inc</t>
  </si>
  <si>
    <t>WWE US EQUITY</t>
  </si>
  <si>
    <t>World Wrestlin-A</t>
  </si>
  <si>
    <t>ANGI US EQUITY</t>
  </si>
  <si>
    <t>Angi Homeservi-A</t>
  </si>
  <si>
    <t>NBL US EQUITY</t>
  </si>
  <si>
    <t>Noble Energy Inc</t>
  </si>
  <si>
    <t>FHN US EQUITY</t>
  </si>
  <si>
    <t>First Horizon Na</t>
  </si>
  <si>
    <t>KEX US EQUITY</t>
  </si>
  <si>
    <t>Kirby Corp</t>
  </si>
  <si>
    <t>CNNE US EQUITY</t>
  </si>
  <si>
    <t>Cannae Holdings</t>
  </si>
  <si>
    <t>BCO US EQUITY</t>
  </si>
  <si>
    <t>Brink'S Co/The</t>
  </si>
  <si>
    <t>USM US EQUITY</t>
  </si>
  <si>
    <t>Us Cellular Corp</t>
  </si>
  <si>
    <t>NCLH US EQUITY</t>
  </si>
  <si>
    <t>Norwegian Cruise</t>
  </si>
  <si>
    <t>IIVI US EQUITY</t>
  </si>
  <si>
    <t>Ii-Vi Inc</t>
  </si>
  <si>
    <t>GRA US EQUITY</t>
  </si>
  <si>
    <t>Wr Grace &amp; Co</t>
  </si>
  <si>
    <t>LAZ US EQUITY</t>
  </si>
  <si>
    <t>Lazard Ltd-Cl A</t>
  </si>
  <si>
    <t>VIAV US EQUITY</t>
  </si>
  <si>
    <t>Viavi Solutions</t>
  </si>
  <si>
    <t>SDGR US EQUITY</t>
  </si>
  <si>
    <t>Schrodinger Inc</t>
  </si>
  <si>
    <t>MUSA US EQUITY</t>
  </si>
  <si>
    <t>Murphy Usa Inc</t>
  </si>
  <si>
    <t>PTCT US EQUITY</t>
  </si>
  <si>
    <t>Ptc Therapeutics</t>
  </si>
  <si>
    <t>TREE US EQUITY</t>
  </si>
  <si>
    <t>Lendingtree Inc</t>
  </si>
  <si>
    <t>JWN US EQUITY</t>
  </si>
  <si>
    <t>Nordstrom Inc</t>
  </si>
  <si>
    <t>VAC US EQUITY</t>
  </si>
  <si>
    <t>Marriott Vacatio</t>
  </si>
  <si>
    <t>COHR US EQUITY</t>
  </si>
  <si>
    <t>Coherent Inc</t>
  </si>
  <si>
    <t>ALLO US EQUITY</t>
  </si>
  <si>
    <t>Allogene Therape</t>
  </si>
  <si>
    <t>MYOK US EQUITY</t>
  </si>
  <si>
    <t>Myokardia Inc</t>
  </si>
  <si>
    <t>VVV US EQUITY</t>
  </si>
  <si>
    <t>Valvoline Inc</t>
  </si>
  <si>
    <t>RARE US EQUITY</t>
  </si>
  <si>
    <t>Ultragenyx Pharm</t>
  </si>
  <si>
    <t>FEYE US EQUITY</t>
  </si>
  <si>
    <t>Fireeye Inc</t>
  </si>
  <si>
    <t>NUVA US EQUITY</t>
  </si>
  <si>
    <t>Nuvasive Inc</t>
  </si>
  <si>
    <t>TRIP US EQUITY</t>
  </si>
  <si>
    <t>Tripadvisor Inc</t>
  </si>
  <si>
    <t>UMPQ US EQUITY</t>
  </si>
  <si>
    <t>Umpqua Holdings</t>
  </si>
  <si>
    <t>TR US EQUITY</t>
  </si>
  <si>
    <t>Tootsie Roll Ind</t>
  </si>
  <si>
    <t>TROLB US EQUITY</t>
  </si>
  <si>
    <t>Tootsie Roll -B</t>
  </si>
  <si>
    <t>TKR US EQUITY</t>
  </si>
  <si>
    <t>Timken Co</t>
  </si>
  <si>
    <t>AVT US EQUITY</t>
  </si>
  <si>
    <t>Avnet Inc</t>
  </si>
  <si>
    <t>HALO US EQUITY</t>
  </si>
  <si>
    <t>Halozyme Therape</t>
  </si>
  <si>
    <t>OMCL US EQUITY</t>
  </si>
  <si>
    <t>Omnicell Inc</t>
  </si>
  <si>
    <t>MEDP US EQUITY</t>
  </si>
  <si>
    <t>Medpace Holdings</t>
  </si>
  <si>
    <t>INOV US EQUITY</t>
  </si>
  <si>
    <t>Inovalon Holdi-A</t>
  </si>
  <si>
    <t>AAON US EQUITY</t>
  </si>
  <si>
    <t>Aaon Inc</t>
  </si>
  <si>
    <t>DVN US EQUITY</t>
  </si>
  <si>
    <t>Devon Energy Co</t>
  </si>
  <si>
    <t>RBC US EQUITY</t>
  </si>
  <si>
    <t>Regal Beloit Cor</t>
  </si>
  <si>
    <t>TPX US EQUITY</t>
  </si>
  <si>
    <t>Tempur Sealy Int</t>
  </si>
  <si>
    <t>NUNZ US EQUITY</t>
  </si>
  <si>
    <t>Nunzia Pharmaceu</t>
  </si>
  <si>
    <t>HESM US EQUITY</t>
  </si>
  <si>
    <t>Hess Midstream-A</t>
  </si>
  <si>
    <t>AGIO US EQUITY</t>
  </si>
  <si>
    <t>Agios Pharmaceut</t>
  </si>
  <si>
    <t>VSAT US EQUITY</t>
  </si>
  <si>
    <t>Viasat Inc</t>
  </si>
  <si>
    <t>AYR US EQUITY</t>
  </si>
  <si>
    <t>Aircastle Ltd</t>
  </si>
  <si>
    <t>FNB US EQUITY</t>
  </si>
  <si>
    <t>Fnb Corp</t>
  </si>
  <si>
    <t>QRTEB US EQUITY</t>
  </si>
  <si>
    <t>Qurate Retail-B</t>
  </si>
  <si>
    <t>QRTEA US EQUITY</t>
  </si>
  <si>
    <t>Qurate Retail-A</t>
  </si>
  <si>
    <t>KWR US EQUITY</t>
  </si>
  <si>
    <t>Quaker Chemical</t>
  </si>
  <si>
    <t>WERN US EQUITY</t>
  </si>
  <si>
    <t>Werner Ent</t>
  </si>
  <si>
    <t>AL US EQUITY</t>
  </si>
  <si>
    <t>Air Lease C</t>
  </si>
  <si>
    <t>SMTC US EQUITY</t>
  </si>
  <si>
    <t>Semtech Corp</t>
  </si>
  <si>
    <t>CCXI US EQUITY</t>
  </si>
  <si>
    <t>Chemocentryx Inc</t>
  </si>
  <si>
    <t>HHC US EQUITY</t>
  </si>
  <si>
    <t>Howard Hughe</t>
  </si>
  <si>
    <t>FRPT US EQUITY</t>
  </si>
  <si>
    <t>Freshpet Inc</t>
  </si>
  <si>
    <t>THO US EQUITY</t>
  </si>
  <si>
    <t>Thor Industries</t>
  </si>
  <si>
    <t>JBT US EQUITY</t>
  </si>
  <si>
    <t>John Bean Tech</t>
  </si>
  <si>
    <t>NCR US EQUITY</t>
  </si>
  <si>
    <t>Ncr Corp</t>
  </si>
  <si>
    <t>NVST US EQUITY</t>
  </si>
  <si>
    <t>Envista Holdings</t>
  </si>
  <si>
    <t>AXSM US EQUITY</t>
  </si>
  <si>
    <t>Axsome Therapeut</t>
  </si>
  <si>
    <t>ALLK US EQUITY</t>
  </si>
  <si>
    <t>Allakos Inc</t>
  </si>
  <si>
    <t>FL US EQUITY</t>
  </si>
  <si>
    <t>Foot Locker Inc</t>
  </si>
  <si>
    <t>DCPH US EQUITY</t>
  </si>
  <si>
    <t>Deciphera Pharma</t>
  </si>
  <si>
    <t>CWT US EQUITY</t>
  </si>
  <si>
    <t>Calif Water Srvc</t>
  </si>
  <si>
    <t>LVGO US EQUITY</t>
  </si>
  <si>
    <t>Livongo Health I</t>
  </si>
  <si>
    <t>BRC US EQUITY</t>
  </si>
  <si>
    <t>Brady Corp - A</t>
  </si>
  <si>
    <t>BRBR US EQUITY</t>
  </si>
  <si>
    <t>Bellring Brand-A</t>
  </si>
  <si>
    <t>SHEN US EQUITY</t>
  </si>
  <si>
    <t>Shenandoah Telec</t>
  </si>
  <si>
    <t>FOLD US EQUITY</t>
  </si>
  <si>
    <t>Amicus Therapeut</t>
  </si>
  <si>
    <t>VVNT US EQUITY</t>
  </si>
  <si>
    <t>Vivint Smart Hom</t>
  </si>
  <si>
    <t>SJI US EQUITY</t>
  </si>
  <si>
    <t>South Jersey Ind</t>
  </si>
  <si>
    <t>ITRI US EQUITY</t>
  </si>
  <si>
    <t>Itron Inc</t>
  </si>
  <si>
    <t>WING US EQUITY</t>
  </si>
  <si>
    <t>Wingstop Inc</t>
  </si>
  <si>
    <t>LSCC US EQUITY</t>
  </si>
  <si>
    <t>Lattice Semicond</t>
  </si>
  <si>
    <t>AMN US EQUITY</t>
  </si>
  <si>
    <t>Amn Healthcare</t>
  </si>
  <si>
    <t>MTZ US EQUITY</t>
  </si>
  <si>
    <t>Mastec Inc</t>
  </si>
  <si>
    <t>TDC US EQUITY</t>
  </si>
  <si>
    <t>Teradata Corp</t>
  </si>
  <si>
    <t>CLDR US EQUITY</t>
  </si>
  <si>
    <t>Cloudera Inc</t>
  </si>
  <si>
    <t>THS US EQUITY</t>
  </si>
  <si>
    <t>Treehouse Foods</t>
  </si>
  <si>
    <t>ARNA US EQUITY</t>
  </si>
  <si>
    <t>Arena Pharmaceut</t>
  </si>
  <si>
    <t>UBSI US EQUITY</t>
  </si>
  <si>
    <t>United Bankshs</t>
  </si>
  <si>
    <t>CFX US EQUITY</t>
  </si>
  <si>
    <t>Colfax Corp</t>
  </si>
  <si>
    <t>PAG US EQUITY</t>
  </si>
  <si>
    <t>Penske Automotiv</t>
  </si>
  <si>
    <t>MIME US EQUITY</t>
  </si>
  <si>
    <t>Mimecast Ltd</t>
  </si>
  <si>
    <t>UMBF US EQUITY</t>
  </si>
  <si>
    <t>Umb Financial</t>
  </si>
  <si>
    <t>TENB US EQUITY</t>
  </si>
  <si>
    <t>Tenable Holdings</t>
  </si>
  <si>
    <t>EAF US EQUITY</t>
  </si>
  <si>
    <t>Graftech Interna</t>
  </si>
  <si>
    <t>RPD US EQUITY</t>
  </si>
  <si>
    <t>Rapid7 Inc</t>
  </si>
  <si>
    <t>RARX US EQUITY</t>
  </si>
  <si>
    <t>Ra Pharmaceutica</t>
  </si>
  <si>
    <t>ONEM US EQUITY</t>
  </si>
  <si>
    <t>1Life Healthcare</t>
  </si>
  <si>
    <t>RAMP US EQUITY</t>
  </si>
  <si>
    <t>Liveramp Holding</t>
  </si>
  <si>
    <t>PACW US EQUITY</t>
  </si>
  <si>
    <t>Pacwest Bancorp</t>
  </si>
  <si>
    <t>ONB US EQUITY</t>
  </si>
  <si>
    <t>Old Natl Bancorp</t>
  </si>
  <si>
    <t>KNSL US EQUITY</t>
  </si>
  <si>
    <t>Kinsale Capital</t>
  </si>
  <si>
    <t>UFPI US EQUITY</t>
  </si>
  <si>
    <t>Universal Forest</t>
  </si>
  <si>
    <t>STL US EQUITY</t>
  </si>
  <si>
    <t>Sterling Bancorp</t>
  </si>
  <si>
    <t>IRTC US EQUITY</t>
  </si>
  <si>
    <t>Irhythm Technolo</t>
  </si>
  <si>
    <t>HMSY US EQUITY</t>
  </si>
  <si>
    <t>Hms Holdings Cor</t>
  </si>
  <si>
    <t>EXP US EQUITY</t>
  </si>
  <si>
    <t>Eagle Materials</t>
  </si>
  <si>
    <t>WYND US EQUITY</t>
  </si>
  <si>
    <t>Wyndham Destinat</t>
  </si>
  <si>
    <t>LAUR US EQUITY</t>
  </si>
  <si>
    <t>Laureate Educa-A</t>
  </si>
  <si>
    <t>BRKS US EQUITY</t>
  </si>
  <si>
    <t>Brooks Automatio</t>
  </si>
  <si>
    <t>MIC US EQUITY</t>
  </si>
  <si>
    <t>Macquarie Infras</t>
  </si>
  <si>
    <t>JJSF US EQUITY</t>
  </si>
  <si>
    <t>J &amp; J Snack Food</t>
  </si>
  <si>
    <t>GTES US EQUITY</t>
  </si>
  <si>
    <t>Gates Industrial</t>
  </si>
  <si>
    <t>ENR US EQUITY</t>
  </si>
  <si>
    <t>Energizer Holdin</t>
  </si>
  <si>
    <t>PE US EQUITY</t>
  </si>
  <si>
    <t>Parsley Energy-A</t>
  </si>
  <si>
    <t>INDB US EQUITY</t>
  </si>
  <si>
    <t>Indep Bank/Ma</t>
  </si>
  <si>
    <t>MGEE US EQUITY</t>
  </si>
  <si>
    <t>Mge Energy Inc</t>
  </si>
  <si>
    <t>ANAT US EQUITY</t>
  </si>
  <si>
    <t>Amer Natl Insur</t>
  </si>
  <si>
    <t>ICPT US EQUITY</t>
  </si>
  <si>
    <t>Intercept Pharma</t>
  </si>
  <si>
    <t>CSFL US EQUITY</t>
  </si>
  <si>
    <t>Centerstate Bank</t>
  </si>
  <si>
    <t>FHB US EQUITY</t>
  </si>
  <si>
    <t>First Hawaiia</t>
  </si>
  <si>
    <t>MCY US EQUITY</t>
  </si>
  <si>
    <t>Mercury Gen Corp</t>
  </si>
  <si>
    <t>CARG US EQUITY</t>
  </si>
  <si>
    <t>Cargurus Inc</t>
  </si>
  <si>
    <t>BOH US EQUITY</t>
  </si>
  <si>
    <t>Bank Of Hawaii</t>
  </si>
  <si>
    <t>KOD US EQUITY</t>
  </si>
  <si>
    <t>Kodiak Sciences</t>
  </si>
  <si>
    <t>SDC US EQUITY</t>
  </si>
  <si>
    <t>Smiledirectclub</t>
  </si>
  <si>
    <t>JW/A US EQUITY</t>
  </si>
  <si>
    <t>Wiley John&amp;Son-A</t>
  </si>
  <si>
    <t>JW/B US EQUITY</t>
  </si>
  <si>
    <t>Wiley John&amp;Son-B</t>
  </si>
  <si>
    <t>SFM US EQUITY</t>
  </si>
  <si>
    <t>Sprouts Farmers</t>
  </si>
  <si>
    <t>RH US EQUITY</t>
  </si>
  <si>
    <t>Rh</t>
  </si>
  <si>
    <t>VSH US EQUITY</t>
  </si>
  <si>
    <t>Vishay Intertech</t>
  </si>
  <si>
    <t>SFNC US EQUITY</t>
  </si>
  <si>
    <t>Simmons First -A</t>
  </si>
  <si>
    <t>VMI US EQUITY</t>
  </si>
  <si>
    <t>Valmont Inds</t>
  </si>
  <si>
    <t>PRLB US EQUITY</t>
  </si>
  <si>
    <t>Proto Labs Inc</t>
  </si>
  <si>
    <t>FELE US EQUITY</t>
  </si>
  <si>
    <t>Franklin Elec Co</t>
  </si>
  <si>
    <t>OZK US EQUITY</t>
  </si>
  <si>
    <t>Bank Ozk</t>
  </si>
  <si>
    <t>CALM US EQUITY</t>
  </si>
  <si>
    <t>Cal-Maine Foods</t>
  </si>
  <si>
    <t>SEM US EQUITY</t>
  </si>
  <si>
    <t>Select Medical</t>
  </si>
  <si>
    <t>STMP US EQUITY</t>
  </si>
  <si>
    <t>Stamps.Com Inc</t>
  </si>
  <si>
    <t>BHVN US EQUITY</t>
  </si>
  <si>
    <t>Biohaven Pharmac</t>
  </si>
  <si>
    <t>ISBC US EQUITY</t>
  </si>
  <si>
    <t>Investors Bancor</t>
  </si>
  <si>
    <t>GATX US EQUITY</t>
  </si>
  <si>
    <t>Gatx Corp</t>
  </si>
  <si>
    <t>ESI US EQUITY</t>
  </si>
  <si>
    <t>Element Solution</t>
  </si>
  <si>
    <t>BOX US EQUITY</t>
  </si>
  <si>
    <t>Box Inc- Class A</t>
  </si>
  <si>
    <t>ENS US EQUITY</t>
  </si>
  <si>
    <t>Enersys</t>
  </si>
  <si>
    <t>CWST US EQUITY</t>
  </si>
  <si>
    <t>Casella Waste</t>
  </si>
  <si>
    <t>SSB US EQUITY</t>
  </si>
  <si>
    <t>South State Corp</t>
  </si>
  <si>
    <t>SHOO US EQUITY</t>
  </si>
  <si>
    <t>Steven Madden</t>
  </si>
  <si>
    <t>SYNA US EQUITY</t>
  </si>
  <si>
    <t>Synaptics Inc</t>
  </si>
  <si>
    <t>DNLI US EQUITY</t>
  </si>
  <si>
    <t>Denali Therapeut</t>
  </si>
  <si>
    <t>NTRA US EQUITY</t>
  </si>
  <si>
    <t>Natera Inc</t>
  </si>
  <si>
    <t>VRNS US EQUITY</t>
  </si>
  <si>
    <t>Varonis Systems</t>
  </si>
  <si>
    <t>LILA US EQUITY</t>
  </si>
  <si>
    <t>Liberty Lati-A</t>
  </si>
  <si>
    <t>LILAB US EQUITY</t>
  </si>
  <si>
    <t>Liberty Lati-B</t>
  </si>
  <si>
    <t>LILAK US EQUITY</t>
  </si>
  <si>
    <t>Liberty Lati-C</t>
  </si>
  <si>
    <t>CNS US EQUITY</t>
  </si>
  <si>
    <t>Cohen &amp; Steers</t>
  </si>
  <si>
    <t>ASB US EQUITY</t>
  </si>
  <si>
    <t>Assoc Banc-Corp</t>
  </si>
  <si>
    <t>APLS US EQUITY</t>
  </si>
  <si>
    <t>Apellis Pharmace</t>
  </si>
  <si>
    <t>MC US EQUITY</t>
  </si>
  <si>
    <t>Moelis &amp; Co-Cl A</t>
  </si>
  <si>
    <t>LPX US EQUITY</t>
  </si>
  <si>
    <t>Louisiana-Pacifi</t>
  </si>
  <si>
    <t>B US EQUITY</t>
  </si>
  <si>
    <t>Barnes Group Inc</t>
  </si>
  <si>
    <t>HOMB US EQUITY</t>
  </si>
  <si>
    <t>Home Bancshares</t>
  </si>
  <si>
    <t>WTFC US EQUITY</t>
  </si>
  <si>
    <t>Wintrust Finl</t>
  </si>
  <si>
    <t>TDS US EQUITY</t>
  </si>
  <si>
    <t>Telephone &amp; Data</t>
  </si>
  <si>
    <t>TDSNA US EQUITY</t>
  </si>
  <si>
    <t>Telephone&amp;Data-A</t>
  </si>
  <si>
    <t>LAD US EQUITY</t>
  </si>
  <si>
    <t>Lithia Motors-A</t>
  </si>
  <si>
    <t>ALRM US EQUITY</t>
  </si>
  <si>
    <t>Alarm.Com Holdin</t>
  </si>
  <si>
    <t>KW US EQUITY</t>
  </si>
  <si>
    <t>Kennedy-Wilson H</t>
  </si>
  <si>
    <t>CSOD US EQUITY</t>
  </si>
  <si>
    <t>Cornerstone Onde</t>
  </si>
  <si>
    <t>WBS US EQUITY</t>
  </si>
  <si>
    <t>Webster Finl</t>
  </si>
  <si>
    <t>AEIS US EQUITY</t>
  </si>
  <si>
    <t>Adv Energy Inds</t>
  </si>
  <si>
    <t>IBKC US EQUITY</t>
  </si>
  <si>
    <t>Iberiabank Corp</t>
  </si>
  <si>
    <t>DIOD US EQUITY</t>
  </si>
  <si>
    <t>Diodes Inc</t>
  </si>
  <si>
    <t>ESE US EQUITY</t>
  </si>
  <si>
    <t>Esco Tech Inc</t>
  </si>
  <si>
    <t>WAFD US EQUITY</t>
  </si>
  <si>
    <t>Wash Fed</t>
  </si>
  <si>
    <t>TRN US EQUITY</t>
  </si>
  <si>
    <t>Trinity Industri</t>
  </si>
  <si>
    <t>SAIA US EQUITY</t>
  </si>
  <si>
    <t>Saia Inc</t>
  </si>
  <si>
    <t>WMS US EQUITY</t>
  </si>
  <si>
    <t>Advanced Drainag</t>
  </si>
  <si>
    <t>GOLF US EQUITY</t>
  </si>
  <si>
    <t>Acushnet Holding</t>
  </si>
  <si>
    <t>GNW US EQUITY</t>
  </si>
  <si>
    <t>Genworth Financi</t>
  </si>
  <si>
    <t>EVR US EQUITY</t>
  </si>
  <si>
    <t>Evercore Inc</t>
  </si>
  <si>
    <t>BXS US EQUITY</t>
  </si>
  <si>
    <t>Bancorpsouth Ban</t>
  </si>
  <si>
    <t>DKS US EQUITY</t>
  </si>
  <si>
    <t>Dick'S Sporting</t>
  </si>
  <si>
    <t>PFSI US EQUITY</t>
  </si>
  <si>
    <t>Pennymac Financi</t>
  </si>
  <si>
    <t>COKE US EQUITY</t>
  </si>
  <si>
    <t>Coca-Cola Consol</t>
  </si>
  <si>
    <t>ITGR US EQUITY</t>
  </si>
  <si>
    <t>Integer Holdings</t>
  </si>
  <si>
    <t>CNO US EQUITY</t>
  </si>
  <si>
    <t>Cno Financial Gr</t>
  </si>
  <si>
    <t>FIZZ US EQUITY</t>
  </si>
  <si>
    <t>Natl Beverage</t>
  </si>
  <si>
    <t>GHC US EQUITY</t>
  </si>
  <si>
    <t>Graham Holding-B</t>
  </si>
  <si>
    <t>AMKR US EQUITY</t>
  </si>
  <si>
    <t>Amkor Tech Inc</t>
  </si>
  <si>
    <t>SVMK US EQUITY</t>
  </si>
  <si>
    <t>Svmk Inc</t>
  </si>
  <si>
    <t>FULT US EQUITY</t>
  </si>
  <si>
    <t>Fulton Financial</t>
  </si>
  <si>
    <t>KRTX US EQUITY</t>
  </si>
  <si>
    <t>Karuna Therapeut</t>
  </si>
  <si>
    <t>COMM US EQUITY</t>
  </si>
  <si>
    <t>Commscope Holdin</t>
  </si>
  <si>
    <t>FHI US EQUITY</t>
  </si>
  <si>
    <t>Federated Hermes</t>
  </si>
  <si>
    <t>APA US EQUITY</t>
  </si>
  <si>
    <t>Apache Corp</t>
  </si>
  <si>
    <t>HP US EQUITY</t>
  </si>
  <si>
    <t>Helmerich &amp; Payn</t>
  </si>
  <si>
    <t>COLB US EQUITY</t>
  </si>
  <si>
    <t>Columbia Banking</t>
  </si>
  <si>
    <t>PBH US EQUITY</t>
  </si>
  <si>
    <t>Prestige Consume</t>
  </si>
  <si>
    <t>NWN US EQUITY</t>
  </si>
  <si>
    <t>Northwest Natura</t>
  </si>
  <si>
    <t>YETI US EQUITY</t>
  </si>
  <si>
    <t>Yeti Holdings In</t>
  </si>
  <si>
    <t>VIE US EQUITY</t>
  </si>
  <si>
    <t>Viela Bio Inc</t>
  </si>
  <si>
    <t>ENSG US EQUITY</t>
  </si>
  <si>
    <t>Ensign Group Inc</t>
  </si>
  <si>
    <t>BKU US EQUITY</t>
  </si>
  <si>
    <t>Bankunited Inc</t>
  </si>
  <si>
    <t>OLN US EQUITY</t>
  </si>
  <si>
    <t>Olin Corp</t>
  </si>
  <si>
    <t>PGNY US EQUITY</t>
  </si>
  <si>
    <t>Progyny Inc</t>
  </si>
  <si>
    <t>NAV US EQUITY</t>
  </si>
  <si>
    <t>Navistar Intl</t>
  </si>
  <si>
    <t>PS US EQUITY</t>
  </si>
  <si>
    <t>Pluralsight In-A</t>
  </si>
  <si>
    <t>ALEC US EQUITY</t>
  </si>
  <si>
    <t>Alector Inc</t>
  </si>
  <si>
    <t>EGHT US EQUITY</t>
  </si>
  <si>
    <t>8X8 Inc</t>
  </si>
  <si>
    <t>CATY US EQUITY</t>
  </si>
  <si>
    <t>Cathay General B</t>
  </si>
  <si>
    <t>EPZM US EQUITY</t>
  </si>
  <si>
    <t>Epizyme Inc</t>
  </si>
  <si>
    <t>SANM US EQUITY</t>
  </si>
  <si>
    <t>Sanmina Corp</t>
  </si>
  <si>
    <t>FIBK US EQUITY</t>
  </si>
  <si>
    <t>First Inter/Mt-A</t>
  </si>
  <si>
    <t>ALTR US EQUITY</t>
  </si>
  <si>
    <t>Altair Enginee-A</t>
  </si>
  <si>
    <t>EXLS US EQUITY</t>
  </si>
  <si>
    <t>Exlservice Holdi</t>
  </si>
  <si>
    <t>CVLT US EQUITY</t>
  </si>
  <si>
    <t>Commvault System</t>
  </si>
  <si>
    <t>ASGN US EQUITY</t>
  </si>
  <si>
    <t>Asgn Inc</t>
  </si>
  <si>
    <t>MOG/B US EQUITY</t>
  </si>
  <si>
    <t>Moog Inc-Class B</t>
  </si>
  <si>
    <t>MOG/A US EQUITY</t>
  </si>
  <si>
    <t>Moog Inc-Class A</t>
  </si>
  <si>
    <t>THC US EQUITY</t>
  </si>
  <si>
    <t>Tenet Healthcare</t>
  </si>
  <si>
    <t>SXT US EQUITY</t>
  </si>
  <si>
    <t>Sensient Technol</t>
  </si>
  <si>
    <t>UNVR US EQUITY</t>
  </si>
  <si>
    <t>Univar Solutions</t>
  </si>
  <si>
    <t>SCL US EQUITY</t>
  </si>
  <si>
    <t>Stepan Co</t>
  </si>
  <si>
    <t>HWC US EQUITY</t>
  </si>
  <si>
    <t>Hancock Whitney</t>
  </si>
  <si>
    <t>EQT US EQUITY</t>
  </si>
  <si>
    <t>Eqt Corp</t>
  </si>
  <si>
    <t>ACA US EQUITY</t>
  </si>
  <si>
    <t>Arcosa Inc</t>
  </si>
  <si>
    <t>WPX US EQUITY</t>
  </si>
  <si>
    <t>Wpx Energy</t>
  </si>
  <si>
    <t>CBRL US EQUITY</t>
  </si>
  <si>
    <t>Cracker Barrel</t>
  </si>
  <si>
    <t>FSLY US EQUITY</t>
  </si>
  <si>
    <t>Fastly Inc -Cl A</t>
  </si>
  <si>
    <t>OTTR US EQUITY</t>
  </si>
  <si>
    <t>Otter Tail Corp</t>
  </si>
  <si>
    <t>CIT US EQUITY</t>
  </si>
  <si>
    <t>Cit Group Inc</t>
  </si>
  <si>
    <t>ADS US EQUITY</t>
  </si>
  <si>
    <t>Alliance Data</t>
  </si>
  <si>
    <t>NFE US EQUITY</t>
  </si>
  <si>
    <t>New Fortress Ene</t>
  </si>
  <si>
    <t>VG US EQUITY</t>
  </si>
  <si>
    <t>Vonage Holdings</t>
  </si>
  <si>
    <t>AEL US EQUITY</t>
  </si>
  <si>
    <t>Amer Equity Invt</t>
  </si>
  <si>
    <t>APAM US EQUITY</t>
  </si>
  <si>
    <t>Artisan Partne-A</t>
  </si>
  <si>
    <t>FIT US EQUITY</t>
  </si>
  <si>
    <t>Fitbit Inc - A</t>
  </si>
  <si>
    <t>M US EQUITY</t>
  </si>
  <si>
    <t>Macy'S Inc</t>
  </si>
  <si>
    <t>AIT US EQUITY</t>
  </si>
  <si>
    <t>Applied Indu Tec</t>
  </si>
  <si>
    <t>DORM US EQUITY</t>
  </si>
  <si>
    <t>Dorman Products</t>
  </si>
  <si>
    <t>BYD US EQUITY</t>
  </si>
  <si>
    <t>Boyd Gaming Corp</t>
  </si>
  <si>
    <t>GBDC US EQUITY</t>
  </si>
  <si>
    <t>Golub Capital Bd</t>
  </si>
  <si>
    <t>NGHC US EQUITY</t>
  </si>
  <si>
    <t>National General</t>
  </si>
  <si>
    <t>HCSG US EQUITY</t>
  </si>
  <si>
    <t>Healthcare Servs</t>
  </si>
  <si>
    <t>FATE US EQUITY</t>
  </si>
  <si>
    <t>Fate Therapeutic</t>
  </si>
  <si>
    <t>NNI US EQUITY</t>
  </si>
  <si>
    <t>Nelnet Inc-Cl A</t>
  </si>
  <si>
    <t>PRNB US EQUITY</t>
  </si>
  <si>
    <t>Principia Biopha</t>
  </si>
  <si>
    <t>MMSI US EQUITY</t>
  </si>
  <si>
    <t>Merit Medical</t>
  </si>
  <si>
    <t>AUB US EQUITY</t>
  </si>
  <si>
    <t>Atlantic Union B</t>
  </si>
  <si>
    <t>SABR US EQUITY</t>
  </si>
  <si>
    <t>Sabre Corp</t>
  </si>
  <si>
    <t>GSHD US EQUITY</t>
  </si>
  <si>
    <t>Goosehead Insu-A</t>
  </si>
  <si>
    <t>NTCT US EQUITY</t>
  </si>
  <si>
    <t>Netscout Systems</t>
  </si>
  <si>
    <t>WK US EQUITY</t>
  </si>
  <si>
    <t>Workiva Inc</t>
  </si>
  <si>
    <t>LCII US EQUITY</t>
  </si>
  <si>
    <t>Lci Industries</t>
  </si>
  <si>
    <t>IOSP US EQUITY</t>
  </si>
  <si>
    <t>Innospec Inc</t>
  </si>
  <si>
    <t>IBOC US EQUITY</t>
  </si>
  <si>
    <t>Intl Bancshares</t>
  </si>
  <si>
    <t>PSEC US EQUITY</t>
  </si>
  <si>
    <t>Prospect Capital</t>
  </si>
  <si>
    <t>OPCH US EQUITY</t>
  </si>
  <si>
    <t>Option Care Heal</t>
  </si>
  <si>
    <t>GEF US EQUITY</t>
  </si>
  <si>
    <t>Greif Inc-Cl A</t>
  </si>
  <si>
    <t>GEF/B US EQUITY</t>
  </si>
  <si>
    <t>Greif Inc-Cl B</t>
  </si>
  <si>
    <t>AMBA US EQUITY</t>
  </si>
  <si>
    <t>Ambarella Inc</t>
  </si>
  <si>
    <t>SAGE US EQUITY</t>
  </si>
  <si>
    <t>Sage Therapeutic</t>
  </si>
  <si>
    <t>PZZA US EQUITY</t>
  </si>
  <si>
    <t>Papa John'S Intl</t>
  </si>
  <si>
    <t>SPB US EQUITY</t>
  </si>
  <si>
    <t>Spectrum Brands</t>
  </si>
  <si>
    <t>TRGP US EQUITY</t>
  </si>
  <si>
    <t>Targa Resources</t>
  </si>
  <si>
    <t>XEC US EQUITY</t>
  </si>
  <si>
    <t>Cimarex Energy C</t>
  </si>
  <si>
    <t>XNCR US EQUITY</t>
  </si>
  <si>
    <t>Xencor Inc</t>
  </si>
  <si>
    <t>POL US EQUITY</t>
  </si>
  <si>
    <t>Polyone Corp</t>
  </si>
  <si>
    <t>EIDX US EQUITY</t>
  </si>
  <si>
    <t>Eidos Therapeuti</t>
  </si>
  <si>
    <t>FSS US EQUITY</t>
  </si>
  <si>
    <t>Fed Signal Corp</t>
  </si>
  <si>
    <t>KBH US EQUITY</t>
  </si>
  <si>
    <t>Kb Home</t>
  </si>
  <si>
    <t>PING US EQUITY</t>
  </si>
  <si>
    <t>Ping Identity Ho</t>
  </si>
  <si>
    <t>FSK US EQUITY</t>
  </si>
  <si>
    <t>Fs Kkr Capital C</t>
  </si>
  <si>
    <t>CMC US EQUITY</t>
  </si>
  <si>
    <t>Commercial Metal</t>
  </si>
  <si>
    <t>ACHC US EQUITY</t>
  </si>
  <si>
    <t>Acadia Healthcar</t>
  </si>
  <si>
    <t>TTEC US EQUITY</t>
  </si>
  <si>
    <t>Ttec Holdings In</t>
  </si>
  <si>
    <t>EYE US EQUITY</t>
  </si>
  <si>
    <t>National Vision</t>
  </si>
  <si>
    <t>BDC US EQUITY</t>
  </si>
  <si>
    <t>Belden Inc</t>
  </si>
  <si>
    <t>CFFN US EQUITY</t>
  </si>
  <si>
    <t>Capitol Federal</t>
  </si>
  <si>
    <t>SBGI US EQUITY</t>
  </si>
  <si>
    <t>Sinclair Broad-A</t>
  </si>
  <si>
    <t>SJW US EQUITY</t>
  </si>
  <si>
    <t>Sjw Group</t>
  </si>
  <si>
    <t>BAND US EQUITY</t>
  </si>
  <si>
    <t>Bandwidth Inc-A</t>
  </si>
  <si>
    <t>ROG US EQUITY</t>
  </si>
  <si>
    <t>Rogers Corp</t>
  </si>
  <si>
    <t>PJT US EQUITY</t>
  </si>
  <si>
    <t>Pjt Partners - A</t>
  </si>
  <si>
    <t>AAN US EQUITY</t>
  </si>
  <si>
    <t>Aaron'S Inc</t>
  </si>
  <si>
    <t>CNMD US EQUITY</t>
  </si>
  <si>
    <t>Conmed Corp</t>
  </si>
  <si>
    <t>MDC US EQUITY</t>
  </si>
  <si>
    <t>Mdc Holdings Inc</t>
  </si>
  <si>
    <t>CLBK US EQUITY</t>
  </si>
  <si>
    <t>Columbia Financi</t>
  </si>
  <si>
    <t>ABCB US EQUITY</t>
  </si>
  <si>
    <t>Ameris Bancorp</t>
  </si>
  <si>
    <t>CC US EQUITY</t>
  </si>
  <si>
    <t>Chemours Co</t>
  </si>
  <si>
    <t>SMPL US EQUITY</t>
  </si>
  <si>
    <t>Simply Good Food</t>
  </si>
  <si>
    <t>NAVI US EQUITY</t>
  </si>
  <si>
    <t>Navient Corp</t>
  </si>
  <si>
    <t>IRWD US EQUITY</t>
  </si>
  <si>
    <t>Ironwood Pharmac</t>
  </si>
  <si>
    <t>AIN US EQUITY</t>
  </si>
  <si>
    <t>Albany Intl Corp</t>
  </si>
  <si>
    <t>BLDR US EQUITY</t>
  </si>
  <si>
    <t>Builders Firstso</t>
  </si>
  <si>
    <t>KTOS US EQUITY</t>
  </si>
  <si>
    <t>Kratos Defense &amp;</t>
  </si>
  <si>
    <t>WSBC US EQUITY</t>
  </si>
  <si>
    <t>Wesbanco Inc</t>
  </si>
  <si>
    <t>FOCS US EQUITY</t>
  </si>
  <si>
    <t>Focus Financia-A</t>
  </si>
  <si>
    <t>FMBI US EQUITY</t>
  </si>
  <si>
    <t>First Midwest/Il</t>
  </si>
  <si>
    <t>EPAY US EQUITY</t>
  </si>
  <si>
    <t>Bottomline Tech</t>
  </si>
  <si>
    <t>SPSC US EQUITY</t>
  </si>
  <si>
    <t>Sps Commerce Inc</t>
  </si>
  <si>
    <t>INSM US EQUITY</t>
  </si>
  <si>
    <t>Insmed Inc</t>
  </si>
  <si>
    <t>FORM US EQUITY</t>
  </si>
  <si>
    <t>Formfactor Inc</t>
  </si>
  <si>
    <t>ARVN US EQUITY</t>
  </si>
  <si>
    <t>Arvinas Inc</t>
  </si>
  <si>
    <t>PSMT US EQUITY</t>
  </si>
  <si>
    <t>Pricesmart Inc</t>
  </si>
  <si>
    <t>VICR US EQUITY</t>
  </si>
  <si>
    <t>Vicor Corp</t>
  </si>
  <si>
    <t>PDCO US EQUITY</t>
  </si>
  <si>
    <t>Patterson Cos</t>
  </si>
  <si>
    <t>FOXF US EQUITY</t>
  </si>
  <si>
    <t>Fox Factory Hold</t>
  </si>
  <si>
    <t>NSP US EQUITY</t>
  </si>
  <si>
    <t>Insperity Inc</t>
  </si>
  <si>
    <t>SHAK US EQUITY</t>
  </si>
  <si>
    <t>Shake Shack In-A</t>
  </si>
  <si>
    <t>CVI US EQUITY</t>
  </si>
  <si>
    <t>Cvr Energy Inc</t>
  </si>
  <si>
    <t>BMI US EQUITY</t>
  </si>
  <si>
    <t>Badger Meter Inc</t>
  </si>
  <si>
    <t>KAR US EQUITY</t>
  </si>
  <si>
    <t>Kar Auction Serv</t>
  </si>
  <si>
    <t>MAIN US EQUITY</t>
  </si>
  <si>
    <t>Main Street Capi</t>
  </si>
  <si>
    <t>CLF US EQUITY</t>
  </si>
  <si>
    <t>Cleveland-Cliffs</t>
  </si>
  <si>
    <t>WABC US EQUITY</t>
  </si>
  <si>
    <t>Westamerica Banc</t>
  </si>
  <si>
    <t>TMHC US EQUITY</t>
  </si>
  <si>
    <t>Taylor Morrison</t>
  </si>
  <si>
    <t>TPTX US EQUITY</t>
  </si>
  <si>
    <t>Turning Point Th</t>
  </si>
  <si>
    <t>FSCT US EQUITY</t>
  </si>
  <si>
    <t>Forescout Techno</t>
  </si>
  <si>
    <t>IPAR US EQUITY</t>
  </si>
  <si>
    <t>Inter Parfums</t>
  </si>
  <si>
    <t>PLXS US EQUITY</t>
  </si>
  <si>
    <t>Plexus Corp</t>
  </si>
  <si>
    <t>MTH US EQUITY</t>
  </si>
  <si>
    <t>Meritage Homes C</t>
  </si>
  <si>
    <t>RDFN US EQUITY</t>
  </si>
  <si>
    <t>Redfin Corp</t>
  </si>
  <si>
    <t>BROG US EQUITY</t>
  </si>
  <si>
    <t>Brooge Holdings</t>
  </si>
  <si>
    <t>KMT US EQUITY</t>
  </si>
  <si>
    <t>Kennametal Inc</t>
  </si>
  <si>
    <t>PRGS US EQUITY</t>
  </si>
  <si>
    <t>Progress Softwar</t>
  </si>
  <si>
    <t>ALGT US EQUITY</t>
  </si>
  <si>
    <t>Allegiant Travel</t>
  </si>
  <si>
    <t>HGV US EQUITY</t>
  </si>
  <si>
    <t>Hilton Grand Vac</t>
  </si>
  <si>
    <t>SFBS US EQUITY</t>
  </si>
  <si>
    <t>Servisfirst Banc</t>
  </si>
  <si>
    <t>AMK US EQUITY</t>
  </si>
  <si>
    <t>Assetmark Financ</t>
  </si>
  <si>
    <t>FFBC US EQUITY</t>
  </si>
  <si>
    <t>First Fin Bancrp</t>
  </si>
  <si>
    <t>UCBI US EQUITY</t>
  </si>
  <si>
    <t>United Community</t>
  </si>
  <si>
    <t>PQG US EQUITY</t>
  </si>
  <si>
    <t>Pq Group Holding</t>
  </si>
  <si>
    <t>GT US EQUITY</t>
  </si>
  <si>
    <t>Goodyear Tire</t>
  </si>
  <si>
    <t>INT US EQUITY</t>
  </si>
  <si>
    <t>World Fuel Svcs</t>
  </si>
  <si>
    <t>ABM US EQUITY</t>
  </si>
  <si>
    <t>Abm Industries</t>
  </si>
  <si>
    <t>TRMK US EQUITY</t>
  </si>
  <si>
    <t>Trustmark Corp</t>
  </si>
  <si>
    <t>HTLD US EQUITY</t>
  </si>
  <si>
    <t>Heartland Expres</t>
  </si>
  <si>
    <t>HUBG US EQUITY</t>
  </si>
  <si>
    <t>Hub Group-A</t>
  </si>
  <si>
    <t>GKOS US EQUITY</t>
  </si>
  <si>
    <t>Glaukos Corp</t>
  </si>
  <si>
    <t>VC US EQUITY</t>
  </si>
  <si>
    <t>Visteon Corp</t>
  </si>
  <si>
    <t>LPSN US EQUITY</t>
  </si>
  <si>
    <t>Liveperson Inc</t>
  </si>
  <si>
    <t>CNK US EQUITY</t>
  </si>
  <si>
    <t>Cinemark Holding</t>
  </si>
  <si>
    <t>EGOV US EQUITY</t>
  </si>
  <si>
    <t>Nic Inc</t>
  </si>
  <si>
    <t>MLHR US EQUITY</t>
  </si>
  <si>
    <t>Herman Miller</t>
  </si>
  <si>
    <t>SAIL US EQUITY</t>
  </si>
  <si>
    <t>Sailpoint Techno</t>
  </si>
  <si>
    <t>ONTO US EQUITY</t>
  </si>
  <si>
    <t>Onto Innovation</t>
  </si>
  <si>
    <t>URBN US EQUITY</t>
  </si>
  <si>
    <t>Urban Outfitter</t>
  </si>
  <si>
    <t>KPTI US EQUITY</t>
  </si>
  <si>
    <t>Karyopharm Thera</t>
  </si>
  <si>
    <t>IGMS US EQUITY</t>
  </si>
  <si>
    <t>Igm Biosciences</t>
  </si>
  <si>
    <t>CBT US EQUITY</t>
  </si>
  <si>
    <t>Cabot Corp</t>
  </si>
  <si>
    <t>NGVT US EQUITY</t>
  </si>
  <si>
    <t>Ingevity Corp</t>
  </si>
  <si>
    <t>PRO US EQUITY</t>
  </si>
  <si>
    <t>Pros Holdings In</t>
  </si>
  <si>
    <t>TWOU US EQUITY</t>
  </si>
  <si>
    <t>2U Inc</t>
  </si>
  <si>
    <t>GDOT US EQUITY</t>
  </si>
  <si>
    <t>Green Dot Corp-A</t>
  </si>
  <si>
    <t>NSIT US EQUITY</t>
  </si>
  <si>
    <t>Insight Enterpri</t>
  </si>
  <si>
    <t>KEM US EQUITY</t>
  </si>
  <si>
    <t>Kemet Corp</t>
  </si>
  <si>
    <t>STAA US EQUITY</t>
  </si>
  <si>
    <t>Staar Surgical</t>
  </si>
  <si>
    <t>NVTA US EQUITY</t>
  </si>
  <si>
    <t>Invitae Corp</t>
  </si>
  <si>
    <t>FWRD US EQUITY</t>
  </si>
  <si>
    <t>Forward Air Corp</t>
  </si>
  <si>
    <t>HMN US EQUITY</t>
  </si>
  <si>
    <t>Horace Mann Educ</t>
  </si>
  <si>
    <t>CMD US EQUITY</t>
  </si>
  <si>
    <t>Cantel Medical</t>
  </si>
  <si>
    <t>FRME US EQUITY</t>
  </si>
  <si>
    <t>First Merchants</t>
  </si>
  <si>
    <t>ROCK US EQUITY</t>
  </si>
  <si>
    <t>Gibraltar Indust</t>
  </si>
  <si>
    <t>R US EQUITY</t>
  </si>
  <si>
    <t>Ryder System Inc</t>
  </si>
  <si>
    <t>FDP US EQUITY</t>
  </si>
  <si>
    <t>Fresh Del Monte</t>
  </si>
  <si>
    <t>AMCX US EQUITY</t>
  </si>
  <si>
    <t>Amc Networks-A</t>
  </si>
  <si>
    <t>FUL US EQUITY</t>
  </si>
  <si>
    <t>Hb Fuller Co</t>
  </si>
  <si>
    <t>NBTB US EQUITY</t>
  </si>
  <si>
    <t>Nbt Bancorp Inc</t>
  </si>
  <si>
    <t>PENN US EQUITY</t>
  </si>
  <si>
    <t>Penn Natl Gaming</t>
  </si>
  <si>
    <t>IDCC US EQUITY</t>
  </si>
  <si>
    <t>Interdigital Inc</t>
  </si>
  <si>
    <t>CENTA US EQUITY</t>
  </si>
  <si>
    <t>Central Garden-A</t>
  </si>
  <si>
    <t>CENT US EQUITY</t>
  </si>
  <si>
    <t>Central Garden</t>
  </si>
  <si>
    <t>CNST US EQUITY</t>
  </si>
  <si>
    <t>Constellation Ph</t>
  </si>
  <si>
    <t>SKYW US EQUITY</t>
  </si>
  <si>
    <t>Skywest Inc</t>
  </si>
  <si>
    <t>KFY US EQUITY</t>
  </si>
  <si>
    <t>Korn Ferry</t>
  </si>
  <si>
    <t>AEO US EQUITY</t>
  </si>
  <si>
    <t>Amer Eagle Outf</t>
  </si>
  <si>
    <t>EPC US EQUITY</t>
  </si>
  <si>
    <t>Edgewell Persona</t>
  </si>
  <si>
    <t>CVCO US EQUITY</t>
  </si>
  <si>
    <t>Cavco Industries</t>
  </si>
  <si>
    <t>INSP US EQUITY</t>
  </si>
  <si>
    <t>Inspire Medical</t>
  </si>
  <si>
    <t>CSGS US EQUITY</t>
  </si>
  <si>
    <t>Csg Systems Intl</t>
  </si>
  <si>
    <t>SUM US EQUITY</t>
  </si>
  <si>
    <t>Summit Materia-A</t>
  </si>
  <si>
    <t>WOR US EQUITY</t>
  </si>
  <si>
    <t>Worthington Inds</t>
  </si>
  <si>
    <t>HI US EQUITY</t>
  </si>
  <si>
    <t>Hillenbrand Inc</t>
  </si>
  <si>
    <t>AKCA US EQUITY</t>
  </si>
  <si>
    <t>Akcea Therapeuti</t>
  </si>
  <si>
    <t>PLMR US EQUITY</t>
  </si>
  <si>
    <t>Palomar Holdings</t>
  </si>
  <si>
    <t>CPK US EQUITY</t>
  </si>
  <si>
    <t>Chesapeake Util</t>
  </si>
  <si>
    <t>YELP US EQUITY</t>
  </si>
  <si>
    <t>Yelp Inc</t>
  </si>
  <si>
    <t>PCRX US EQUITY</t>
  </si>
  <si>
    <t>Pacira Bioscienc</t>
  </si>
  <si>
    <t>MNRO US EQUITY</t>
  </si>
  <si>
    <t>Monro Inc</t>
  </si>
  <si>
    <t>IBP US EQUITY</t>
  </si>
  <si>
    <t>Installed Buildi</t>
  </si>
  <si>
    <t>HTH US EQUITY</t>
  </si>
  <si>
    <t>Hilltop Holdings</t>
  </si>
  <si>
    <t>KN US EQUITY</t>
  </si>
  <si>
    <t>Knowles Corp</t>
  </si>
  <si>
    <t>AVAV US EQUITY</t>
  </si>
  <si>
    <t>Aerovironment In</t>
  </si>
  <si>
    <t>RVMD US EQUITY</t>
  </si>
  <si>
    <t>Revolution Medic</t>
  </si>
  <si>
    <t>ZEON US EQUITY</t>
  </si>
  <si>
    <t>Zeons Corp</t>
  </si>
  <si>
    <t>TWNK US EQUITY</t>
  </si>
  <si>
    <t>Hostess Brands</t>
  </si>
  <si>
    <t>VGR US EQUITY</t>
  </si>
  <si>
    <t>Vector Group Ltd</t>
  </si>
  <si>
    <t>WD US EQUITY</t>
  </si>
  <si>
    <t>Walker &amp; Dunlop</t>
  </si>
  <si>
    <t>SPXC US EQUITY</t>
  </si>
  <si>
    <t>Spx Corp</t>
  </si>
  <si>
    <t>AQUA US EQUITY</t>
  </si>
  <si>
    <t>Evoqua Water Tec</t>
  </si>
  <si>
    <t>ATGE US EQUITY</t>
  </si>
  <si>
    <t>Adtalem Global E</t>
  </si>
  <si>
    <t>CUB US EQUITY</t>
  </si>
  <si>
    <t>Cubic Corp</t>
  </si>
  <si>
    <t>WSC US EQUITY</t>
  </si>
  <si>
    <t>Willscot Corp</t>
  </si>
  <si>
    <t>SFIX US EQUITY</t>
  </si>
  <si>
    <t>Stitch Fix Inc-A</t>
  </si>
  <si>
    <t>CRTX US EQUITY</t>
  </si>
  <si>
    <t>Cortexyme Inc</t>
  </si>
  <si>
    <t>MLI US EQUITY</t>
  </si>
  <si>
    <t>Mueller Inds</t>
  </si>
  <si>
    <t>MATX US EQUITY</t>
  </si>
  <si>
    <t>Matson Inc</t>
  </si>
  <si>
    <t>ZGNX US EQUITY</t>
  </si>
  <si>
    <t>Zogenix Inc</t>
  </si>
  <si>
    <t>USNA US EQUITY</t>
  </si>
  <si>
    <t>Usana Health Sci</t>
  </si>
  <si>
    <t>RMBS US EQUITY</t>
  </si>
  <si>
    <t>Rambus Inc</t>
  </si>
  <si>
    <t>IGT US EQUITY</t>
  </si>
  <si>
    <t>International Ga</t>
  </si>
  <si>
    <t>BGCP US EQUITY</t>
  </si>
  <si>
    <t>Bgc Partners-A</t>
  </si>
  <si>
    <t>YEXT US EQUITY</t>
  </si>
  <si>
    <t>Yext Inc</t>
  </si>
  <si>
    <t>PRAA US EQUITY</t>
  </si>
  <si>
    <t>Pra Group Inc</t>
  </si>
  <si>
    <t>PD US EQUITY</t>
  </si>
  <si>
    <t>Pagerduty Inc</t>
  </si>
  <si>
    <t>DRNA US EQUITY</t>
  </si>
  <si>
    <t>Dicerna Pharmace</t>
  </si>
  <si>
    <t>CMP US EQUITY</t>
  </si>
  <si>
    <t>Compass Minerals</t>
  </si>
  <si>
    <t>RGNX US EQUITY</t>
  </si>
  <si>
    <t>Regenxbio Inc</t>
  </si>
  <si>
    <t>WWW US EQUITY</t>
  </si>
  <si>
    <t>Wolverine World</t>
  </si>
  <si>
    <t>BEAT US EQUITY</t>
  </si>
  <si>
    <t>Biotelemetry Inc</t>
  </si>
  <si>
    <t>PRA US EQUITY</t>
  </si>
  <si>
    <t>Proassurance Cor</t>
  </si>
  <si>
    <t>SCS US EQUITY</t>
  </si>
  <si>
    <t>Steelcase Inc-A</t>
  </si>
  <si>
    <t>CORT US EQUITY</t>
  </si>
  <si>
    <t>Corcept Thera</t>
  </si>
  <si>
    <t>MGRC US EQUITY</t>
  </si>
  <si>
    <t>Mcgrath Rentcorp</t>
  </si>
  <si>
    <t>LGF/A US EQUITY</t>
  </si>
  <si>
    <t>Lions Gate-A</t>
  </si>
  <si>
    <t>LGF/B US EQUITY</t>
  </si>
  <si>
    <t>Lions Gate Ent-B</t>
  </si>
  <si>
    <t>TPH US EQUITY</t>
  </si>
  <si>
    <t>Tri Pointe Group</t>
  </si>
  <si>
    <t>WSFS US EQUITY</t>
  </si>
  <si>
    <t>Wsfs Financial</t>
  </si>
  <si>
    <t>TOWN US EQUITY</t>
  </si>
  <si>
    <t>Towne Bank</t>
  </si>
  <si>
    <t>CROX US EQUITY</t>
  </si>
  <si>
    <t>Crocs Inc</t>
  </si>
  <si>
    <t>IRBT US EQUITY</t>
  </si>
  <si>
    <t>Irobot Corp</t>
  </si>
  <si>
    <t>ATRC US EQUITY</t>
  </si>
  <si>
    <t>Atricure Inc</t>
  </si>
  <si>
    <t>ICFI US EQUITY</t>
  </si>
  <si>
    <t>Icf Internationa</t>
  </si>
  <si>
    <t>RUN US EQUITY</t>
  </si>
  <si>
    <t>Sunrun Inc</t>
  </si>
  <si>
    <t>AA US EQUITY</t>
  </si>
  <si>
    <t>Alcoa Corp</t>
  </si>
  <si>
    <t>LMNX US EQUITY</t>
  </si>
  <si>
    <t>Luminex Corp</t>
  </si>
  <si>
    <t>NWBI US EQUITY</t>
  </si>
  <si>
    <t>Northwest Bancsh</t>
  </si>
  <si>
    <t>NUS US EQUITY</t>
  </si>
  <si>
    <t>Nu Skin Enterp-A</t>
  </si>
  <si>
    <t>INO US EQUITY</t>
  </si>
  <si>
    <t>Inovio Pharmaceu</t>
  </si>
  <si>
    <t>UFS US EQUITY</t>
  </si>
  <si>
    <t>Domtar Corp</t>
  </si>
  <si>
    <t>MWA US EQUITY</t>
  </si>
  <si>
    <t>Mueller Water-A</t>
  </si>
  <si>
    <t>LGIH US EQUITY</t>
  </si>
  <si>
    <t>Lgi Homes Inc</t>
  </si>
  <si>
    <t>NMRK US EQUITY</t>
  </si>
  <si>
    <t>Newmark Group-A</t>
  </si>
  <si>
    <t>FIX US EQUITY</t>
  </si>
  <si>
    <t>Comfort Systems</t>
  </si>
  <si>
    <t>SWTX US EQUITY</t>
  </si>
  <si>
    <t>Springworks Ther</t>
  </si>
  <si>
    <t>CORE US EQUITY</t>
  </si>
  <si>
    <t>Core-Mark Holdin</t>
  </si>
  <si>
    <t>GCP US EQUITY</t>
  </si>
  <si>
    <t>Gcp Applied Tech</t>
  </si>
  <si>
    <t>BKUH US EQUITY</t>
  </si>
  <si>
    <t>Bakhu Holdings</t>
  </si>
  <si>
    <t>CSII US EQUITY</t>
  </si>
  <si>
    <t>Cardiovascular S</t>
  </si>
  <si>
    <t>AVNS US EQUITY</t>
  </si>
  <si>
    <t>Avanos Medical I</t>
  </si>
  <si>
    <t>MTSI US EQUITY</t>
  </si>
  <si>
    <t>Macom Technology</t>
  </si>
  <si>
    <t>PLUG US EQUITY</t>
  </si>
  <si>
    <t>Plug Power Inc</t>
  </si>
  <si>
    <t>GTNot Classified US EQUITY</t>
  </si>
  <si>
    <t>Gray Televisio-A</t>
  </si>
  <si>
    <t>GTN US EQUITY</t>
  </si>
  <si>
    <t>Gray Television</t>
  </si>
  <si>
    <t>RNST US EQUITY</t>
  </si>
  <si>
    <t>Renasant Corp</t>
  </si>
  <si>
    <t>OSIS US EQUITY</t>
  </si>
  <si>
    <t>Osi Systems Inc</t>
  </si>
  <si>
    <t>SIX US EQUITY</t>
  </si>
  <si>
    <t>Six Flags Entert</t>
  </si>
  <si>
    <t>STFC US EQUITY</t>
  </si>
  <si>
    <t>State Auto Finl</t>
  </si>
  <si>
    <t>SAFT US EQUITY</t>
  </si>
  <si>
    <t>Safety Insurance</t>
  </si>
  <si>
    <t>ERI US EQUITY</t>
  </si>
  <si>
    <t>Eldorado Resorts</t>
  </si>
  <si>
    <t>BANR US EQUITY</t>
  </si>
  <si>
    <t>Banner Corporati</t>
  </si>
  <si>
    <t>DAN US EQUITY</t>
  </si>
  <si>
    <t>Dana Inc</t>
  </si>
  <si>
    <t>PRK US EQUITY</t>
  </si>
  <si>
    <t>Park Natl Corp</t>
  </si>
  <si>
    <t>MMI US EQUITY</t>
  </si>
  <si>
    <t>Marcus &amp; Millich</t>
  </si>
  <si>
    <t>RRR US EQUITY</t>
  </si>
  <si>
    <t>Red Rock Resor-A</t>
  </si>
  <si>
    <t>MINI US EQUITY</t>
  </si>
  <si>
    <t>Mobile Mini</t>
  </si>
  <si>
    <t>CVA US EQUITY</t>
  </si>
  <si>
    <t>Covanta Holding</t>
  </si>
  <si>
    <t>TWST US EQUITY</t>
  </si>
  <si>
    <t>Twist Bioscience</t>
  </si>
  <si>
    <t>KTB US EQUITY</t>
  </si>
  <si>
    <t>Kontoor Brand</t>
  </si>
  <si>
    <t>TCDA US EQUITY</t>
  </si>
  <si>
    <t>Tricida Inc</t>
  </si>
  <si>
    <t>GWB US EQUITY</t>
  </si>
  <si>
    <t>Great Western Ba</t>
  </si>
  <si>
    <t>VCYT US EQUITY</t>
  </si>
  <si>
    <t>Veracyte Inc</t>
  </si>
  <si>
    <t>RUSHA US EQUITY</t>
  </si>
  <si>
    <t>Rush Enter-Cl A</t>
  </si>
  <si>
    <t>RUSHB US EQUITY</t>
  </si>
  <si>
    <t>Rush Enter-Cl B</t>
  </si>
  <si>
    <t>CHRS US EQUITY</t>
  </si>
  <si>
    <t>Coherus Bioscien</t>
  </si>
  <si>
    <t>TRHC US EQUITY</t>
  </si>
  <si>
    <t>Tabula Rasa Heal</t>
  </si>
  <si>
    <t>WW US EQUITY</t>
  </si>
  <si>
    <t>Ww International</t>
  </si>
  <si>
    <t>TCBI US EQUITY</t>
  </si>
  <si>
    <t>Texas Capital Ba</t>
  </si>
  <si>
    <t>EVOP US EQUITY</t>
  </si>
  <si>
    <t>Evo Payments-A</t>
  </si>
  <si>
    <t>ATRI US EQUITY</t>
  </si>
  <si>
    <t>Atrion Corp</t>
  </si>
  <si>
    <t>ATI US EQUITY</t>
  </si>
  <si>
    <t>Allegheny Tech</t>
  </si>
  <si>
    <t>SSTK US EQUITY</t>
  </si>
  <si>
    <t>Shutterstock Inc</t>
  </si>
  <si>
    <t>BV US EQUITY</t>
  </si>
  <si>
    <t>Brightview Holdi</t>
  </si>
  <si>
    <t>HLIO US EQUITY</t>
  </si>
  <si>
    <t>Helios Technolog</t>
  </si>
  <si>
    <t>FBC US EQUITY</t>
  </si>
  <si>
    <t>Flagstar Bancorp</t>
  </si>
  <si>
    <t>EIG US EQUITY</t>
  </si>
  <si>
    <t>Employers Holdin</t>
  </si>
  <si>
    <t>INVA US EQUITY</t>
  </si>
  <si>
    <t>Innoviva Inc</t>
  </si>
  <si>
    <t>AIMC US EQUITY</t>
  </si>
  <si>
    <t>Altra Industrial</t>
  </si>
  <si>
    <t>CSVI US EQUITY</t>
  </si>
  <si>
    <t>Computer Service</t>
  </si>
  <si>
    <t>DOOR US EQUITY</t>
  </si>
  <si>
    <t>Masonite Interna</t>
  </si>
  <si>
    <t>MTX US EQUITY</t>
  </si>
  <si>
    <t>Minerals Tech</t>
  </si>
  <si>
    <t>CBZ US EQUITY</t>
  </si>
  <si>
    <t>Cbiz Inc</t>
  </si>
  <si>
    <t>AX US EQUITY</t>
  </si>
  <si>
    <t>Axos Financial I</t>
  </si>
  <si>
    <t>AMSF US EQUITY</t>
  </si>
  <si>
    <t>Amerisafe Inc</t>
  </si>
  <si>
    <t>BMCH US EQUITY</t>
  </si>
  <si>
    <t>Bmc Stock Holdin</t>
  </si>
  <si>
    <t>INGN US EQUITY</t>
  </si>
  <si>
    <t>Inogen Inc</t>
  </si>
  <si>
    <t>LGND US EQUITY</t>
  </si>
  <si>
    <t>Ligand Pharm</t>
  </si>
  <si>
    <t>AHCO US EQUITY</t>
  </si>
  <si>
    <t>Adapthealth Corp</t>
  </si>
  <si>
    <t>VRRM US EQUITY</t>
  </si>
  <si>
    <t>Verra Mobility C</t>
  </si>
  <si>
    <t>VCTR US EQUITY</t>
  </si>
  <si>
    <t>Victory Capita-A</t>
  </si>
  <si>
    <t>PAGP US EQUITY</t>
  </si>
  <si>
    <t>Plains Gp Hold-A</t>
  </si>
  <si>
    <t>SBH US EQUITY</t>
  </si>
  <si>
    <t>Sally Beauty Hol</t>
  </si>
  <si>
    <t>EDIT US EQUITY</t>
  </si>
  <si>
    <t>Editas Medicine</t>
  </si>
  <si>
    <t>NHC US EQUITY</t>
  </si>
  <si>
    <t>Natl Healthcare</t>
  </si>
  <si>
    <t>BANF US EQUITY</t>
  </si>
  <si>
    <t>Bancfirst Corp</t>
  </si>
  <si>
    <t>HTLF US EQUITY</t>
  </si>
  <si>
    <t>Heartland Finl</t>
  </si>
  <si>
    <t>BECN US EQUITY</t>
  </si>
  <si>
    <t>Beacon Roofing S</t>
  </si>
  <si>
    <t>CAR US EQUITY</t>
  </si>
  <si>
    <t>Avis Budget Grou</t>
  </si>
  <si>
    <t>MGLN US EQUITY</t>
  </si>
  <si>
    <t>Magellan Health</t>
  </si>
  <si>
    <t>PPBI US EQUITY</t>
  </si>
  <si>
    <t>Pacific Premier</t>
  </si>
  <si>
    <t>MTOR US EQUITY</t>
  </si>
  <si>
    <t>Meritor Inc</t>
  </si>
  <si>
    <t>KALU US EQUITY</t>
  </si>
  <si>
    <t>Kaiser Aluminum</t>
  </si>
  <si>
    <t>BGS US EQUITY</t>
  </si>
  <si>
    <t>B&amp;G Foods Inc</t>
  </si>
  <si>
    <t>TGTX US EQUITY</t>
  </si>
  <si>
    <t>Tg Therapeutics</t>
  </si>
  <si>
    <t>ALG US EQUITY</t>
  </si>
  <si>
    <t>Alamo Group</t>
  </si>
  <si>
    <t>AM US EQUITY</t>
  </si>
  <si>
    <t>Antero Midstream</t>
  </si>
  <si>
    <t>SEAS US EQUITY</t>
  </si>
  <si>
    <t>Seaworld Enterta</t>
  </si>
  <si>
    <t>MSTR US EQUITY</t>
  </si>
  <si>
    <t>Microstrategy</t>
  </si>
  <si>
    <t>MDRX US EQUITY</t>
  </si>
  <si>
    <t>Allscripts Healt</t>
  </si>
  <si>
    <t>ETRN US EQUITY</t>
  </si>
  <si>
    <t>Equitrans Midstr</t>
  </si>
  <si>
    <t>SCPL US EQUITY</t>
  </si>
  <si>
    <t>Sciplay Corp-A</t>
  </si>
  <si>
    <t>ABG US EQUITY</t>
  </si>
  <si>
    <t>Asbury Auto Grp</t>
  </si>
  <si>
    <t>STBA US EQUITY</t>
  </si>
  <si>
    <t>S &amp; T Bancorp</t>
  </si>
  <si>
    <t>HNI US EQUITY</t>
  </si>
  <si>
    <t>Hni Corp</t>
  </si>
  <si>
    <t>THRM US EQUITY</t>
  </si>
  <si>
    <t>Gentherm Inc</t>
  </si>
  <si>
    <t>DLX US EQUITY</t>
  </si>
  <si>
    <t>Deluxe Corp</t>
  </si>
  <si>
    <t>FLOW US EQUITY</t>
  </si>
  <si>
    <t>Spx Flow Inc</t>
  </si>
  <si>
    <t>MDGL US EQUITY</t>
  </si>
  <si>
    <t>Madrigal Pharmac</t>
  </si>
  <si>
    <t>NRC US EQUITY</t>
  </si>
  <si>
    <t>Natl Research Co</t>
  </si>
  <si>
    <t>SYKE US EQUITY</t>
  </si>
  <si>
    <t>Sykes Enterprise</t>
  </si>
  <si>
    <t>MYGN US EQUITY</t>
  </si>
  <si>
    <t>Myriad Genetics</t>
  </si>
  <si>
    <t>ITCI US EQUITY</t>
  </si>
  <si>
    <t>Intra-Cellular T</t>
  </si>
  <si>
    <t>MGY US EQUITY</t>
  </si>
  <si>
    <t>Magnolia Oil-A</t>
  </si>
  <si>
    <t>SMCI US EQUITY</t>
  </si>
  <si>
    <t>Super Micro Comp</t>
  </si>
  <si>
    <t>HURN US EQUITY</t>
  </si>
  <si>
    <t>Huron Consulting</t>
  </si>
  <si>
    <t>TTMI US EQUITY</t>
  </si>
  <si>
    <t>Ttm Technologies</t>
  </si>
  <si>
    <t>ARQT US EQUITY</t>
  </si>
  <si>
    <t>Arcutis Biothera</t>
  </si>
  <si>
    <t>SWAV US EQUITY</t>
  </si>
  <si>
    <t>Shockwave Medica</t>
  </si>
  <si>
    <t>WMK US EQUITY</t>
  </si>
  <si>
    <t>Weis Markets Inc</t>
  </si>
  <si>
    <t>KAMN US EQUITY</t>
  </si>
  <si>
    <t>Kaman Corp</t>
  </si>
  <si>
    <t>ADUS US EQUITY</t>
  </si>
  <si>
    <t>Addus Homecare</t>
  </si>
  <si>
    <t>IBTX US EQUITY</t>
  </si>
  <si>
    <t>Independent Bank</t>
  </si>
  <si>
    <t>CHCO US EQUITY</t>
  </si>
  <si>
    <t>City Holding Co</t>
  </si>
  <si>
    <t>ELY US EQUITY</t>
  </si>
  <si>
    <t>Callaway Golf Co</t>
  </si>
  <si>
    <t>OI US EQUITY</t>
  </si>
  <si>
    <t>O-I Glass Inc</t>
  </si>
  <si>
    <t>WGO US EQUITY</t>
  </si>
  <si>
    <t>Winnebago Inds</t>
  </si>
  <si>
    <t>HRTX US EQUITY</t>
  </si>
  <si>
    <t>Heron Therapeuti</t>
  </si>
  <si>
    <t>IHRT US EQUITY</t>
  </si>
  <si>
    <t>Iheartmedia-Cl A</t>
  </si>
  <si>
    <t>ATSG US EQUITY</t>
  </si>
  <si>
    <t>Air Transport Se</t>
  </si>
  <si>
    <t>HOPE US EQUITY</t>
  </si>
  <si>
    <t>Hope Bancorp Inc</t>
  </si>
  <si>
    <t>TRS US EQUITY</t>
  </si>
  <si>
    <t>Trimas Corp</t>
  </si>
  <si>
    <t>RCM US EQUITY</t>
  </si>
  <si>
    <t>R1 Rcm Inc</t>
  </si>
  <si>
    <t>MRTN US EQUITY</t>
  </si>
  <si>
    <t>Marten Transport</t>
  </si>
  <si>
    <t>DK US EQUITY</t>
  </si>
  <si>
    <t>Delek Us Holding</t>
  </si>
  <si>
    <t>SAVE US EQUITY</t>
  </si>
  <si>
    <t>Spirit Airlines</t>
  </si>
  <si>
    <t>UVV US EQUITY</t>
  </si>
  <si>
    <t>Universal Corp</t>
  </si>
  <si>
    <t>NXTC US EQUITY</t>
  </si>
  <si>
    <t>Nextcure Inc</t>
  </si>
  <si>
    <t>MD US EQUITY</t>
  </si>
  <si>
    <t>Mednax Inc</t>
  </si>
  <si>
    <t>DRQ US EQUITY</t>
  </si>
  <si>
    <t>Dril-Quip Inc</t>
  </si>
  <si>
    <t>TMP US EQUITY</t>
  </si>
  <si>
    <t>Tompkins Financi</t>
  </si>
  <si>
    <t>MSEX US EQUITY</t>
  </si>
  <si>
    <t>Middlesex Water</t>
  </si>
  <si>
    <t>LZB US EQUITY</t>
  </si>
  <si>
    <t>La-Z-Boy Inc</t>
  </si>
  <si>
    <t>GTLS US EQUITY</t>
  </si>
  <si>
    <t>Chart Industries</t>
  </si>
  <si>
    <t>CNXN US EQUITY</t>
  </si>
  <si>
    <t>Pc Connection</t>
  </si>
  <si>
    <t>ATKR US EQUITY</t>
  </si>
  <si>
    <t>Atkore Internati</t>
  </si>
  <si>
    <t>DDS US EQUITY</t>
  </si>
  <si>
    <t>Dillards Inc-A</t>
  </si>
  <si>
    <t>CDLX US EQUITY</t>
  </si>
  <si>
    <t>Cardlytics Inc</t>
  </si>
  <si>
    <t>SBSI US EQUITY</t>
  </si>
  <si>
    <t>Southside Ban In</t>
  </si>
  <si>
    <t>ECOL US EQUITY</t>
  </si>
  <si>
    <t>Us Ecology Inc</t>
  </si>
  <si>
    <t>TNC US EQUITY</t>
  </si>
  <si>
    <t>Tennant Co</t>
  </si>
  <si>
    <t>X US EQUITY</t>
  </si>
  <si>
    <t>Us Steel Corp</t>
  </si>
  <si>
    <t>JELD US EQUITY</t>
  </si>
  <si>
    <t>Jeld-Wen Holding</t>
  </si>
  <si>
    <t>EGBN US EQUITY</t>
  </si>
  <si>
    <t>Eagle Bancrp Inc</t>
  </si>
  <si>
    <t>TSLX US EQUITY</t>
  </si>
  <si>
    <t>Tpg Specialty Le</t>
  </si>
  <si>
    <t>JOE US EQUITY</t>
  </si>
  <si>
    <t>St Joe Co</t>
  </si>
  <si>
    <t>CRK US EQUITY</t>
  </si>
  <si>
    <t>Comstock Res Inc</t>
  </si>
  <si>
    <t>ESPR US EQUITY</t>
  </si>
  <si>
    <t>Esperion Therape</t>
  </si>
  <si>
    <t>SILK US EQUITY</t>
  </si>
  <si>
    <t>Silk Road Medica</t>
  </si>
  <si>
    <t>RPAY US EQUITY</t>
  </si>
  <si>
    <t>Repay Holdings C</t>
  </si>
  <si>
    <t>EPAC US EQUITY</t>
  </si>
  <si>
    <t>Enerpac Tool Gro</t>
  </si>
  <si>
    <t>SCWX US EQUITY</t>
  </si>
  <si>
    <t>Secureworks Co-A</t>
  </si>
  <si>
    <t>WCC US EQUITY</t>
  </si>
  <si>
    <t>Wesco Intl</t>
  </si>
  <si>
    <t>MEI US EQUITY</t>
  </si>
  <si>
    <t>Methode Elec</t>
  </si>
  <si>
    <t>KRO US EQUITY</t>
  </si>
  <si>
    <t>Kronos Worldwide</t>
  </si>
  <si>
    <t>HL US EQUITY</t>
  </si>
  <si>
    <t>Hecla Mining Co</t>
  </si>
  <si>
    <t>SCHL US EQUITY</t>
  </si>
  <si>
    <t>Scholastic Corp</t>
  </si>
  <si>
    <t>SONO US EQUITY</t>
  </si>
  <si>
    <t>Sonos Inc</t>
  </si>
  <si>
    <t>CRVL US EQUITY</t>
  </si>
  <si>
    <t>Corvel Corp</t>
  </si>
  <si>
    <t>TEX US EQUITY</t>
  </si>
  <si>
    <t>Terex Corp</t>
  </si>
  <si>
    <t>CVGW US EQUITY</t>
  </si>
  <si>
    <t>Calavo Growers I</t>
  </si>
  <si>
    <t>INFN US EQUITY</t>
  </si>
  <si>
    <t>Infinera Corp</t>
  </si>
  <si>
    <t>LNN US EQUITY</t>
  </si>
  <si>
    <t>Lindsay Corp</t>
  </si>
  <si>
    <t>CNX US EQUITY</t>
  </si>
  <si>
    <t>Cnx Resources Co</t>
  </si>
  <si>
    <t>CSWI US EQUITY</t>
  </si>
  <si>
    <t>Csw Industri Inc</t>
  </si>
  <si>
    <t>OPK US EQUITY</t>
  </si>
  <si>
    <t>Opko Health</t>
  </si>
  <si>
    <t>ENTA US EQUITY</t>
  </si>
  <si>
    <t>Enanta Pharmaceu</t>
  </si>
  <si>
    <t>CDNA US EQUITY</t>
  </si>
  <si>
    <t>Caredx Inc</t>
  </si>
  <si>
    <t>VNOM US EQUITY</t>
  </si>
  <si>
    <t>Viper Energy Par</t>
  </si>
  <si>
    <t>SBCF US EQUITY</t>
  </si>
  <si>
    <t>Seacoast Bank/Fl</t>
  </si>
  <si>
    <t>HTGC US EQUITY</t>
  </si>
  <si>
    <t>Hercules Capital</t>
  </si>
  <si>
    <t>NMIH US EQUITY</t>
  </si>
  <si>
    <t>Nmi Holdings I-A</t>
  </si>
  <si>
    <t>OCFC US EQUITY</t>
  </si>
  <si>
    <t>Oceanfirst Finl</t>
  </si>
  <si>
    <t>TRUP US EQUITY</t>
  </si>
  <si>
    <t>Trupanion Inc</t>
  </si>
  <si>
    <t>BEAM US EQUITY</t>
  </si>
  <si>
    <t>Beam Therapeutic</t>
  </si>
  <si>
    <t>SPWR US EQUITY</t>
  </si>
  <si>
    <t>Sunpower Corp</t>
  </si>
  <si>
    <t>CRS US EQUITY</t>
  </si>
  <si>
    <t>Carpenter Tech</t>
  </si>
  <si>
    <t>SMP US EQUITY</t>
  </si>
  <si>
    <t>Standard Motor</t>
  </si>
  <si>
    <t>GLUU US EQUITY</t>
  </si>
  <si>
    <t>Glu Mobile Inc</t>
  </si>
  <si>
    <t>NOVA US EQUITY</t>
  </si>
  <si>
    <t>Sunnova Energy I</t>
  </si>
  <si>
    <t>WTBFA US EQUITY</t>
  </si>
  <si>
    <t>Wtb Finl Corp-A</t>
  </si>
  <si>
    <t>WTBFB US EQUITY</t>
  </si>
  <si>
    <t>Wtb Finl Corp-B</t>
  </si>
  <si>
    <t>ZUO US EQUITY</t>
  </si>
  <si>
    <t>Zuora Inc -Cl A</t>
  </si>
  <si>
    <t>AKBA US EQUITY</t>
  </si>
  <si>
    <t>Akebia Therapeut</t>
  </si>
  <si>
    <t>BCC US EQUITY</t>
  </si>
  <si>
    <t>Boise Cascade Co</t>
  </si>
  <si>
    <t>SWN US EQUITY</t>
  </si>
  <si>
    <t>Southwestrn Engy</t>
  </si>
  <si>
    <t>ADVM US EQUITY</t>
  </si>
  <si>
    <t>Adverum Biotechn</t>
  </si>
  <si>
    <t>FLR US EQUITY</t>
  </si>
  <si>
    <t>Fluor Corp</t>
  </si>
  <si>
    <t>AIMT US EQUITY</t>
  </si>
  <si>
    <t>Aimmune Therapeu</t>
  </si>
  <si>
    <t>RMR US EQUITY</t>
  </si>
  <si>
    <t>Rmr Group-A</t>
  </si>
  <si>
    <t>FFG US EQUITY</t>
  </si>
  <si>
    <t>Fbl Finl Group-A</t>
  </si>
  <si>
    <t>MLAB US EQUITY</t>
  </si>
  <si>
    <t>Mesa Labs</t>
  </si>
  <si>
    <t>AMRX US EQUITY</t>
  </si>
  <si>
    <t>Amneal Pharmaceu</t>
  </si>
  <si>
    <t>BUSE US EQUITY</t>
  </si>
  <si>
    <t>First Busey Corp</t>
  </si>
  <si>
    <t>HCAT US EQUITY</t>
  </si>
  <si>
    <t>Health Catalyst</t>
  </si>
  <si>
    <t>AGLY US EQUITY</t>
  </si>
  <si>
    <t>Agiliti Inc</t>
  </si>
  <si>
    <t>CVET US EQUITY</t>
  </si>
  <si>
    <t>Covetrus Inc</t>
  </si>
  <si>
    <t>RVNC US EQUITY</t>
  </si>
  <si>
    <t>Revance Therapeu</t>
  </si>
  <si>
    <t>MUR US EQUITY</t>
  </si>
  <si>
    <t>Murphy Oil Corp</t>
  </si>
  <si>
    <t>NGM US EQUITY</t>
  </si>
  <si>
    <t>Ngm Biopharmaceu</t>
  </si>
  <si>
    <t>CADE US EQUITY</t>
  </si>
  <si>
    <t>Cadence Bancorp</t>
  </si>
  <si>
    <t>PFS US EQUITY</t>
  </si>
  <si>
    <t>Provident Financ</t>
  </si>
  <si>
    <t>NSTG US EQUITY</t>
  </si>
  <si>
    <t>Nanostring Techn</t>
  </si>
  <si>
    <t>DDD US EQUITY</t>
  </si>
  <si>
    <t>3D Systems Corp</t>
  </si>
  <si>
    <t>HTZ US EQUITY</t>
  </si>
  <si>
    <t>Hertz Global Hol</t>
  </si>
  <si>
    <t>CTB US EQUITY</t>
  </si>
  <si>
    <t>Cooper Tire &amp; Ru</t>
  </si>
  <si>
    <t>TCBK US EQUITY</t>
  </si>
  <si>
    <t>Trico Bancshares</t>
  </si>
  <si>
    <t>WIRE US EQUITY</t>
  </si>
  <si>
    <t>Encore Wire</t>
  </si>
  <si>
    <t>SKY US EQUITY</t>
  </si>
  <si>
    <t>Skyline Champion</t>
  </si>
  <si>
    <t>FCF US EQUITY</t>
  </si>
  <si>
    <t>First Common Fin</t>
  </si>
  <si>
    <t>BRKL US EQUITY</t>
  </si>
  <si>
    <t>Brookline Bancrp</t>
  </si>
  <si>
    <t>PIPR US EQUITY</t>
  </si>
  <si>
    <t>Piper Sandler Co</t>
  </si>
  <si>
    <t>LKFN US EQUITY</t>
  </si>
  <si>
    <t>Lakeland Finl</t>
  </si>
  <si>
    <t>BDTX US EQUITY</t>
  </si>
  <si>
    <t>Black Diamond Th</t>
  </si>
  <si>
    <t>WAAS US EQUITY</t>
  </si>
  <si>
    <t>Aquaventure Hold</t>
  </si>
  <si>
    <t>ADNT US EQUITY</t>
  </si>
  <si>
    <t>Adient Plc</t>
  </si>
  <si>
    <t>ECPG US EQUITY</t>
  </si>
  <si>
    <t>Encore Capital G</t>
  </si>
  <si>
    <t>JBSS US EQUITY</t>
  </si>
  <si>
    <t>John B Sanfilipp</t>
  </si>
  <si>
    <t>ATNI US EQUITY</t>
  </si>
  <si>
    <t>Atn Internationa</t>
  </si>
  <si>
    <t>TIVO US EQUITY</t>
  </si>
  <si>
    <t>Tivo Corp</t>
  </si>
  <si>
    <t>GPI US EQUITY</t>
  </si>
  <si>
    <t>Group 1 Automoti</t>
  </si>
  <si>
    <t>SSYS US EQUITY</t>
  </si>
  <si>
    <t>Stratasys Ltd</t>
  </si>
  <si>
    <t>AVYA US EQUITY</t>
  </si>
  <si>
    <t>Avaya Holdings C</t>
  </si>
  <si>
    <t>SUPN US EQUITY</t>
  </si>
  <si>
    <t>Supernus Pharmac</t>
  </si>
  <si>
    <t>WHD US EQUITY</t>
  </si>
  <si>
    <t>Cactus Inc- A</t>
  </si>
  <si>
    <t>RGR US EQUITY</t>
  </si>
  <si>
    <t>Sturm Ruger &amp; Co</t>
  </si>
  <si>
    <t>YMAB US EQUITY</t>
  </si>
  <si>
    <t>Y-Mabs Therapeut</t>
  </si>
  <si>
    <t>ODT US EQUITY</t>
  </si>
  <si>
    <t>Odonate Therapeu</t>
  </si>
  <si>
    <t>ODP US EQUITY</t>
  </si>
  <si>
    <t>Office Depot Inc</t>
  </si>
  <si>
    <t>FLWS US EQUITY</t>
  </si>
  <si>
    <t>1-800-Flowers-A</t>
  </si>
  <si>
    <t>RCII US EQUITY</t>
  </si>
  <si>
    <t>Rent-A-Center</t>
  </si>
  <si>
    <t>RAD US EQUITY</t>
  </si>
  <si>
    <t>Rite Aid Corp</t>
  </si>
  <si>
    <t>USPH US EQUITY</t>
  </si>
  <si>
    <t>Us Physical Ther</t>
  </si>
  <si>
    <t>CDE US EQUITY</t>
  </si>
  <si>
    <t>Coeur Mining Inc</t>
  </si>
  <si>
    <t>PRFT US EQUITY</t>
  </si>
  <si>
    <t>Perficient Inc</t>
  </si>
  <si>
    <t>PAHC US EQUITY</t>
  </si>
  <si>
    <t>Phibro Animal-A</t>
  </si>
  <si>
    <t>KAI US EQUITY</t>
  </si>
  <si>
    <t>Kadant Inc</t>
  </si>
  <si>
    <t>SRCE US EQUITY</t>
  </si>
  <si>
    <t>1St Source Corp</t>
  </si>
  <si>
    <t>VRTU US EQUITY</t>
  </si>
  <si>
    <t>Virtusa Corp</t>
  </si>
  <si>
    <t>NMFC US EQUITY</t>
  </si>
  <si>
    <t>New Mountain Fin</t>
  </si>
  <si>
    <t>NPO US EQUITY</t>
  </si>
  <si>
    <t>Enpro Industries</t>
  </si>
  <si>
    <t>FPAC US EQUITY</t>
  </si>
  <si>
    <t>Far Point Acqu-A</t>
  </si>
  <si>
    <t>DY US EQUITY</t>
  </si>
  <si>
    <t>Dycom Inds</t>
  </si>
  <si>
    <t>FOE US EQUITY</t>
  </si>
  <si>
    <t>Ferro Corp</t>
  </si>
  <si>
    <t>SWM US EQUITY</t>
  </si>
  <si>
    <t>Schweitzer-Maudu</t>
  </si>
  <si>
    <t>RAVN US EQUITY</t>
  </si>
  <si>
    <t>Raven Industries</t>
  </si>
  <si>
    <t>AMWD US EQUITY</t>
  </si>
  <si>
    <t>Amer Woodmark Co</t>
  </si>
  <si>
    <t>CNGO US EQUITY</t>
  </si>
  <si>
    <t>Cengage Learning</t>
  </si>
  <si>
    <t>SGMS US EQUITY</t>
  </si>
  <si>
    <t>Scientific Games</t>
  </si>
  <si>
    <t>PLUS US EQUITY</t>
  </si>
  <si>
    <t>Eplus Inc</t>
  </si>
  <si>
    <t>ROAD US EQUITY</t>
  </si>
  <si>
    <t>Construction P-A</t>
  </si>
  <si>
    <t>FMBL US EQUITY</t>
  </si>
  <si>
    <t>Farmers &amp; Mer/Ca</t>
  </si>
  <si>
    <t>CASH US EQUITY</t>
  </si>
  <si>
    <t>Meta Financial G</t>
  </si>
  <si>
    <t>UFCS US EQUITY</t>
  </si>
  <si>
    <t>United Fire Grou</t>
  </si>
  <si>
    <t>OFLX US EQUITY</t>
  </si>
  <si>
    <t>Omega Flex Inc</t>
  </si>
  <si>
    <t>SASR US EQUITY</t>
  </si>
  <si>
    <t>Sandy Spring Ban</t>
  </si>
  <si>
    <t>AXNX US EQUITY</t>
  </si>
  <si>
    <t>Axonics Modulati</t>
  </si>
  <si>
    <t>LTHM US EQUITY</t>
  </si>
  <si>
    <t>Livent Corp</t>
  </si>
  <si>
    <t>UTL US EQUITY</t>
  </si>
  <si>
    <t>Unitil Corp</t>
  </si>
  <si>
    <t>RCKT US EQUITY</t>
  </si>
  <si>
    <t>Rocket Pharmaceu</t>
  </si>
  <si>
    <t>VREX US EQUITY</t>
  </si>
  <si>
    <t>Varex Imagin</t>
  </si>
  <si>
    <t>SSP US EQUITY</t>
  </si>
  <si>
    <t>Ew Scripps-A</t>
  </si>
  <si>
    <t>MED US EQUITY</t>
  </si>
  <si>
    <t>Medifast Inc</t>
  </si>
  <si>
    <t>CTS US EQUITY</t>
  </si>
  <si>
    <t>Cts Corp</t>
  </si>
  <si>
    <t>MODN US EQUITY</t>
  </si>
  <si>
    <t>Model N Inc</t>
  </si>
  <si>
    <t>PBF US EQUITY</t>
  </si>
  <si>
    <t>Pbf Energy Inc-A</t>
  </si>
  <si>
    <t>OYST US EQUITY</t>
  </si>
  <si>
    <t>Oyster Point Pha</t>
  </si>
  <si>
    <t>WDR US EQUITY</t>
  </si>
  <si>
    <t>Waddell &amp; Reed-A</t>
  </si>
  <si>
    <t>GRC US EQUITY</t>
  </si>
  <si>
    <t>Gorman-Rupp Co</t>
  </si>
  <si>
    <t>MXL US EQUITY</t>
  </si>
  <si>
    <t>Maxlinear</t>
  </si>
  <si>
    <t>BKE US EQUITY</t>
  </si>
  <si>
    <t>The Buckle Inc</t>
  </si>
  <si>
    <t>NTUS US EQUITY</t>
  </si>
  <si>
    <t>Natus Medical</t>
  </si>
  <si>
    <t>PLOW US EQUITY</t>
  </si>
  <si>
    <t>Douglas Dynamics</t>
  </si>
  <si>
    <t>TCMD US EQUITY</t>
  </si>
  <si>
    <t>Tactile Systems</t>
  </si>
  <si>
    <t>CCF US EQUITY</t>
  </si>
  <si>
    <t>Chase Corp</t>
  </si>
  <si>
    <t>LC US EQUITY</t>
  </si>
  <si>
    <t>Lendingclub Corp</t>
  </si>
  <si>
    <t>CBB US EQUITY</t>
  </si>
  <si>
    <t>Cincinnati Bell</t>
  </si>
  <si>
    <t>UPWK US EQUITY</t>
  </si>
  <si>
    <t>Upwork Inc</t>
  </si>
  <si>
    <t>HSTM US EQUITY</t>
  </si>
  <si>
    <t>Healthstream Inc</t>
  </si>
  <si>
    <t>FPH US EQUITY</t>
  </si>
  <si>
    <t>Five Point Hol-A</t>
  </si>
  <si>
    <t>SGMO US EQUITY</t>
  </si>
  <si>
    <t>Sangamo Therapeu</t>
  </si>
  <si>
    <t>PRDO US EQUITY</t>
  </si>
  <si>
    <t>Perdoceo Educati</t>
  </si>
  <si>
    <t>QADA US EQUITY</t>
  </si>
  <si>
    <t>Qad Inc-A</t>
  </si>
  <si>
    <t>QADB US EQUITY</t>
  </si>
  <si>
    <t>Qad Inc-B</t>
  </si>
  <si>
    <t>FARO US EQUITY</t>
  </si>
  <si>
    <t>Faro Tech</t>
  </si>
  <si>
    <t>UIS US EQUITY</t>
  </si>
  <si>
    <t>Unisys Corp</t>
  </si>
  <si>
    <t>APRE US EQUITY</t>
  </si>
  <si>
    <t>Aprea Therapeuti</t>
  </si>
  <si>
    <t>IMVT US EQUITY</t>
  </si>
  <si>
    <t>Immunovant Inc</t>
  </si>
  <si>
    <t>TSE US EQUITY</t>
  </si>
  <si>
    <t>Trinseo Sa</t>
  </si>
  <si>
    <t>NBHC US EQUITY</t>
  </si>
  <si>
    <t>National-Cl A</t>
  </si>
  <si>
    <t>CAKE US EQUITY</t>
  </si>
  <si>
    <t>Cheesecake Facto</t>
  </si>
  <si>
    <t>AZZ US EQUITY</t>
  </si>
  <si>
    <t>Azz Inc</t>
  </si>
  <si>
    <t>GRPN US EQUITY</t>
  </si>
  <si>
    <t>Groupon Inc</t>
  </si>
  <si>
    <t>SCU US EQUITY</t>
  </si>
  <si>
    <t>Sculptor Capital</t>
  </si>
  <si>
    <t>EFSC US EQUITY</t>
  </si>
  <si>
    <t>Enterprise Finan</t>
  </si>
  <si>
    <t>MTRN US EQUITY</t>
  </si>
  <si>
    <t>Materion Corp</t>
  </si>
  <si>
    <t>VBTX US EQUITY</t>
  </si>
  <si>
    <t>Veritex Holdings</t>
  </si>
  <si>
    <t>LRN US EQUITY</t>
  </si>
  <si>
    <t>K12 Inc</t>
  </si>
  <si>
    <t>RIG US EQUITY</t>
  </si>
  <si>
    <t>Transocean Ltd</t>
  </si>
  <si>
    <t>BRP US EQUITY</t>
  </si>
  <si>
    <t>Brp Group Inc-A</t>
  </si>
  <si>
    <t>STOK US EQUITY</t>
  </si>
  <si>
    <t>Stoke Therapeuti</t>
  </si>
  <si>
    <t>PHAT US EQUITY</t>
  </si>
  <si>
    <t>Phathom Pharmace</t>
  </si>
  <si>
    <t>SPT US EQUITY</t>
  </si>
  <si>
    <t>Sprout Social-A</t>
  </si>
  <si>
    <t>KRNY US EQUITY</t>
  </si>
  <si>
    <t>Kearny Financial</t>
  </si>
  <si>
    <t>REGI US EQUITY</t>
  </si>
  <si>
    <t>Renewable Energy</t>
  </si>
  <si>
    <t>ASTE US EQUITY</t>
  </si>
  <si>
    <t>Astec Industries</t>
  </si>
  <si>
    <t>PATK US EQUITY</t>
  </si>
  <si>
    <t>Patrick Inds Inc</t>
  </si>
  <si>
    <t>GABC US EQUITY</t>
  </si>
  <si>
    <t>German Amer Bncp</t>
  </si>
  <si>
    <t>CERS US EQUITY</t>
  </si>
  <si>
    <t>Cerus Corp</t>
  </si>
  <si>
    <t>AMRC US EQUITY</t>
  </si>
  <si>
    <t>Ameresco Inc-A</t>
  </si>
  <si>
    <t>CYTK US EQUITY</t>
  </si>
  <si>
    <t>Cytokinetics Inc</t>
  </si>
  <si>
    <t>KNSA US EQUITY</t>
  </si>
  <si>
    <t>Kiniksa Pharma-A</t>
  </si>
  <si>
    <t>HFWA US EQUITY</t>
  </si>
  <si>
    <t>Heritage Finl</t>
  </si>
  <si>
    <t>SPAQ US EQUITY</t>
  </si>
  <si>
    <t>Spartan Energy-A</t>
  </si>
  <si>
    <t>GSKY US EQUITY</t>
  </si>
  <si>
    <t>Greensky Inc-A</t>
  </si>
  <si>
    <t>BHLB US EQUITY</t>
  </si>
  <si>
    <t>Berkshire Hills</t>
  </si>
  <si>
    <t>AMEH US EQUITY</t>
  </si>
  <si>
    <t>Apollo Medical H</t>
  </si>
  <si>
    <t>OVV US EQUITY</t>
  </si>
  <si>
    <t>Ovintiv Inc</t>
  </si>
  <si>
    <t>ATEX US EQUITY</t>
  </si>
  <si>
    <t>Anterix Inc</t>
  </si>
  <si>
    <t>WBT US EQUITY</t>
  </si>
  <si>
    <t>Welbilt Inc</t>
  </si>
  <si>
    <t>CCX US EQUITY</t>
  </si>
  <si>
    <t>Churchill Cap-A</t>
  </si>
  <si>
    <t>PRIM US EQUITY</t>
  </si>
  <si>
    <t>Primoris Service</t>
  </si>
  <si>
    <t>MAXR US EQUITY</t>
  </si>
  <si>
    <t>Maxar Technologi</t>
  </si>
  <si>
    <t>MATW US EQUITY</t>
  </si>
  <si>
    <t>Matthews Intl-A</t>
  </si>
  <si>
    <t>EVER US EQUITY</t>
  </si>
  <si>
    <t>Everquote Inc-A</t>
  </si>
  <si>
    <t>XPER US EQUITY</t>
  </si>
  <si>
    <t>Xperi Corp</t>
  </si>
  <si>
    <t>RMAX US EQUITY</t>
  </si>
  <si>
    <t>Re/Max Holdings</t>
  </si>
  <si>
    <t>NVAX US EQUITY</t>
  </si>
  <si>
    <t>Novavax Inc</t>
  </si>
  <si>
    <t>PRSC US EQUITY</t>
  </si>
  <si>
    <t>Providence Servi</t>
  </si>
  <si>
    <t>BHE US EQUITY</t>
  </si>
  <si>
    <t>Benchmark Electr</t>
  </si>
  <si>
    <t>PHR US EQUITY</t>
  </si>
  <si>
    <t>Phreesia Inc</t>
  </si>
  <si>
    <t>APLT US EQUITY</t>
  </si>
  <si>
    <t>Applied Therapeu</t>
  </si>
  <si>
    <t>KRYS US EQUITY</t>
  </si>
  <si>
    <t>Krystal Biotech</t>
  </si>
  <si>
    <t>JACK US EQUITY</t>
  </si>
  <si>
    <t>Jack In The Box</t>
  </si>
  <si>
    <t>FBAK US EQUITY</t>
  </si>
  <si>
    <t>First National B</t>
  </si>
  <si>
    <t>INTL US EQUITY</t>
  </si>
  <si>
    <t>Intl Fcstone Inc</t>
  </si>
  <si>
    <t>NP US EQUITY</t>
  </si>
  <si>
    <t>Neenah Inc</t>
  </si>
  <si>
    <t>REZI US EQUITY</t>
  </si>
  <si>
    <t>Resideo Techn</t>
  </si>
  <si>
    <t>INSW US EQUITY</t>
  </si>
  <si>
    <t>International Se</t>
  </si>
  <si>
    <t>VCRA US EQUITY</t>
  </si>
  <si>
    <t>Vocera Communica</t>
  </si>
  <si>
    <t>HY US EQUITY</t>
  </si>
  <si>
    <t>Hyster-Yale</t>
  </si>
  <si>
    <t>OSPN US EQUITY</t>
  </si>
  <si>
    <t>Onespan Inc</t>
  </si>
  <si>
    <t>CNR US EQUITY</t>
  </si>
  <si>
    <t>Cornerstone Buil</t>
  </si>
  <si>
    <t>IMKTA US EQUITY</t>
  </si>
  <si>
    <t>Ingles Markets-A</t>
  </si>
  <si>
    <t>GOSS US EQUITY</t>
  </si>
  <si>
    <t>Gossamer Bio Inc</t>
  </si>
  <si>
    <t>PLAB US EQUITY</t>
  </si>
  <si>
    <t>Photronics Inc</t>
  </si>
  <si>
    <t>GMS US EQUITY</t>
  </si>
  <si>
    <t>Gms Inc</t>
  </si>
  <si>
    <t>AMPH US EQUITY</t>
  </si>
  <si>
    <t>Amphastar Pharma</t>
  </si>
  <si>
    <t>NXGN US EQUITY</t>
  </si>
  <si>
    <t>Nextgen Healthca</t>
  </si>
  <si>
    <t>TBIO US EQUITY</t>
  </si>
  <si>
    <t>Translate Bio In</t>
  </si>
  <si>
    <t>AC US EQUITY</t>
  </si>
  <si>
    <t>Associated Cap-A</t>
  </si>
  <si>
    <t>IMGN US EQUITY</t>
  </si>
  <si>
    <t>Immunogen Inc</t>
  </si>
  <si>
    <t>MTEM US EQUITY</t>
  </si>
  <si>
    <t>Molecular Templa</t>
  </si>
  <si>
    <t>CRNC US EQUITY</t>
  </si>
  <si>
    <t>Cerence Inc</t>
  </si>
  <si>
    <t>KDMN US EQUITY</t>
  </si>
  <si>
    <t>Kadmon Holdings</t>
  </si>
  <si>
    <t>PAE US EQUITY</t>
  </si>
  <si>
    <t>Pae Inc</t>
  </si>
  <si>
    <t>EB US EQUITY</t>
  </si>
  <si>
    <t>Eventbrite Inc-A</t>
  </si>
  <si>
    <t>DEAC US EQUITY</t>
  </si>
  <si>
    <t>Diamond Eagle Ac</t>
  </si>
  <si>
    <t>FIXX US EQUITY</t>
  </si>
  <si>
    <t>Homology Medicin</t>
  </si>
  <si>
    <t>REAL US EQUITY</t>
  </si>
  <si>
    <t>Realreal Inc/The</t>
  </si>
  <si>
    <t>RBCAA US EQUITY</t>
  </si>
  <si>
    <t>Republic Bncrp-A</t>
  </si>
  <si>
    <t>THRV US EQUITY</t>
  </si>
  <si>
    <t>Thryv Holdings I</t>
  </si>
  <si>
    <t>AIR US EQUITY</t>
  </si>
  <si>
    <t>Aar Corp</t>
  </si>
  <si>
    <t>PDCE US EQUITY</t>
  </si>
  <si>
    <t>Pdc Energy Inc</t>
  </si>
  <si>
    <t>GVA US EQUITY</t>
  </si>
  <si>
    <t>Granite Constr</t>
  </si>
  <si>
    <t>SNBR US EQUITY</t>
  </si>
  <si>
    <t>Sleep Number Cor</t>
  </si>
  <si>
    <t>QUOT US EQUITY</t>
  </si>
  <si>
    <t>Quotient Technol</t>
  </si>
  <si>
    <t>NWLI US EQUITY</t>
  </si>
  <si>
    <t>National Weste-A</t>
  </si>
  <si>
    <t>LLNW US EQUITY</t>
  </si>
  <si>
    <t>Limelight Networ</t>
  </si>
  <si>
    <t>ANF US EQUITY</t>
  </si>
  <si>
    <t>Abercrombie &amp; Fi</t>
  </si>
  <si>
    <t>UPLD US EQUITY</t>
  </si>
  <si>
    <t>Upland Software</t>
  </si>
  <si>
    <t>STC US EQUITY</t>
  </si>
  <si>
    <t>Stewart Info Svc</t>
  </si>
  <si>
    <t>NTGR US EQUITY</t>
  </si>
  <si>
    <t>Netgear Inc</t>
  </si>
  <si>
    <t>RYTM US EQUITY</t>
  </si>
  <si>
    <t>Rhythm Pharmaceu</t>
  </si>
  <si>
    <t>SYBT US EQUITY</t>
  </si>
  <si>
    <t>Stock Yards Banc</t>
  </si>
  <si>
    <t>COOP US EQUITY</t>
  </si>
  <si>
    <t>Mr Cooper Group</t>
  </si>
  <si>
    <t>FBNC US EQUITY</t>
  </si>
  <si>
    <t>First Bancorp/Nc</t>
  </si>
  <si>
    <t>MSGN US EQUITY</t>
  </si>
  <si>
    <t>Msg Networks- A</t>
  </si>
  <si>
    <t>BE US EQUITY</t>
  </si>
  <si>
    <t>Bloom Energy C-A</t>
  </si>
  <si>
    <t>ATNX US EQUITY</t>
  </si>
  <si>
    <t>Athenex Inc</t>
  </si>
  <si>
    <t>FBK US EQUITY</t>
  </si>
  <si>
    <t>Fb Financial Cor</t>
  </si>
  <si>
    <t>OXM US EQUITY</t>
  </si>
  <si>
    <t>Oxford Inds Inc</t>
  </si>
  <si>
    <t>HBIA US EQUITY</t>
  </si>
  <si>
    <t>Hills Bancorp</t>
  </si>
  <si>
    <t>CARO US EQUITY</t>
  </si>
  <si>
    <t>Carolina Financi</t>
  </si>
  <si>
    <t>WASH US EQUITY</t>
  </si>
  <si>
    <t>Wash Trust Banc</t>
  </si>
  <si>
    <t>FREQ US EQUITY</t>
  </si>
  <si>
    <t>Frequency Therap</t>
  </si>
  <si>
    <t>KIDS US EQUITY</t>
  </si>
  <si>
    <t>Orthopediatrics</t>
  </si>
  <si>
    <t>CYDY US EQUITY</t>
  </si>
  <si>
    <t>Cytodyn Inc</t>
  </si>
  <si>
    <t>SYX US EQUITY</t>
  </si>
  <si>
    <t>Systemax Inc</t>
  </si>
  <si>
    <t>UCTT US EQUITY</t>
  </si>
  <si>
    <t>Ultra Clean Hold</t>
  </si>
  <si>
    <t>RDUS US EQUITY</t>
  </si>
  <si>
    <t>Radius Health In</t>
  </si>
  <si>
    <t>REV US EQUITY</t>
  </si>
  <si>
    <t>Revlon Inc-A</t>
  </si>
  <si>
    <t>PETQ US EQUITY</t>
  </si>
  <si>
    <t>Petiq Inc</t>
  </si>
  <si>
    <t>TBK US EQUITY</t>
  </si>
  <si>
    <t>Triumph Bancorp</t>
  </si>
  <si>
    <t>CDXS US EQUITY</t>
  </si>
  <si>
    <t>Codexis Inc</t>
  </si>
  <si>
    <t>CRY US EQUITY</t>
  </si>
  <si>
    <t>Cryolife Inc</t>
  </si>
  <si>
    <t>AERI US EQUITY</t>
  </si>
  <si>
    <t>Aerie Pharmaceut</t>
  </si>
  <si>
    <t>DNOW US EQUITY</t>
  </si>
  <si>
    <t>Now Inc</t>
  </si>
  <si>
    <t>BKD US EQUITY</t>
  </si>
  <si>
    <t>Brookdale Sr</t>
  </si>
  <si>
    <t>NTLA US EQUITY</t>
  </si>
  <si>
    <t>Intellia Therape</t>
  </si>
  <si>
    <t>OMER US EQUITY</t>
  </si>
  <si>
    <t>Omeros Corp</t>
  </si>
  <si>
    <t>CWH US EQUITY</t>
  </si>
  <si>
    <t>Camping World-A</t>
  </si>
  <si>
    <t>CMCO US EQUITY</t>
  </si>
  <si>
    <t>Columbus Mcki/Ny</t>
  </si>
  <si>
    <t>JOUT US EQUITY</t>
  </si>
  <si>
    <t>Johnson Outdoo-A</t>
  </si>
  <si>
    <t>ANDE US EQUITY</t>
  </si>
  <si>
    <t>Andersons Inc</t>
  </si>
  <si>
    <t>SAH US EQUITY</t>
  </si>
  <si>
    <t>Sonic Automoti-A</t>
  </si>
  <si>
    <t>RTRX US EQUITY</t>
  </si>
  <si>
    <t>Retrophin Inc</t>
  </si>
  <si>
    <t>ACEL US EQUITY</t>
  </si>
  <si>
    <t>Accel Entertainm</t>
  </si>
  <si>
    <t>EBSB US EQUITY</t>
  </si>
  <si>
    <t>Meridian Bancorp</t>
  </si>
  <si>
    <t>BBBY US EQUITY</t>
  </si>
  <si>
    <t>Bed Bath &amp;Beyond</t>
  </si>
  <si>
    <t>CARA US EQUITY</t>
  </si>
  <si>
    <t>Cara Therapeutic</t>
  </si>
  <si>
    <t>GBX US EQUITY</t>
  </si>
  <si>
    <t>Greenbrier Cos</t>
  </si>
  <si>
    <t>ACLS US EQUITY</t>
  </si>
  <si>
    <t>Axcelis Tech Inc</t>
  </si>
  <si>
    <t>BPFH US EQUITY</t>
  </si>
  <si>
    <t>Boston Priv Finl</t>
  </si>
  <si>
    <t>HXOH US EQUITY</t>
  </si>
  <si>
    <t>Hexion Holding-B</t>
  </si>
  <si>
    <t>VSLR US EQUITY</t>
  </si>
  <si>
    <t>Vivint Solar Inc</t>
  </si>
  <si>
    <t>SLP US EQUITY</t>
  </si>
  <si>
    <t>Simulations Plus</t>
  </si>
  <si>
    <t>INSG US EQUITY</t>
  </si>
  <si>
    <t>Inseego Corp</t>
  </si>
  <si>
    <t>RCUS US EQUITY</t>
  </si>
  <si>
    <t>Arcus Bioscience</t>
  </si>
  <si>
    <t>BLMN US EQUITY</t>
  </si>
  <si>
    <t>Bloomin' Brands</t>
  </si>
  <si>
    <t>VRTS US EQUITY</t>
  </si>
  <si>
    <t>Virtus Invest</t>
  </si>
  <si>
    <t>MBUU US EQUITY</t>
  </si>
  <si>
    <t>Malibu Boats-A</t>
  </si>
  <si>
    <t>KFRC US EQUITY</t>
  </si>
  <si>
    <t>Kforce Inc</t>
  </si>
  <si>
    <t>RVLV US EQUITY</t>
  </si>
  <si>
    <t>Revolve Group In</t>
  </si>
  <si>
    <t>AGM US EQUITY</t>
  </si>
  <si>
    <t>Fed Agri Mtg-C</t>
  </si>
  <si>
    <t>AGM/A US EQUITY</t>
  </si>
  <si>
    <t>Fed Agri Mtg-A</t>
  </si>
  <si>
    <t>AAWW US EQUITY</t>
  </si>
  <si>
    <t>Atlas Air Worldw</t>
  </si>
  <si>
    <t>PASG US EQUITY</t>
  </si>
  <si>
    <t>Passage Bio Inc</t>
  </si>
  <si>
    <t>OPB US EQUITY</t>
  </si>
  <si>
    <t>Opus Bank</t>
  </si>
  <si>
    <t>CCH US EQUITY</t>
  </si>
  <si>
    <t>Collier Creek-A</t>
  </si>
  <si>
    <t>CYRX US EQUITY</t>
  </si>
  <si>
    <t>Cryoport</t>
  </si>
  <si>
    <t>GFF US EQUITY</t>
  </si>
  <si>
    <t>Griffon Corp</t>
  </si>
  <si>
    <t>LOB US EQUITY</t>
  </si>
  <si>
    <t>Live Oak Bancsha</t>
  </si>
  <si>
    <t>MBI US EQUITY</t>
  </si>
  <si>
    <t>Mbia Inc</t>
  </si>
  <si>
    <t>BCSF US EQUITY</t>
  </si>
  <si>
    <t>Bain Capital Spe</t>
  </si>
  <si>
    <t>FOR US EQUITY</t>
  </si>
  <si>
    <t>Forestar Group</t>
  </si>
  <si>
    <t>GSAT US EQUITY</t>
  </si>
  <si>
    <t>Globalstar Inc</t>
  </si>
  <si>
    <t>AMBC US EQUITY</t>
  </si>
  <si>
    <t>Ambac Financial</t>
  </si>
  <si>
    <t>COLL US EQUITY</t>
  </si>
  <si>
    <t>Collegium Pharma</t>
  </si>
  <si>
    <t>AROC US EQUITY</t>
  </si>
  <si>
    <t>Archrock Inc</t>
  </si>
  <si>
    <t>HLIT US EQUITY</t>
  </si>
  <si>
    <t>Harmonic Inc</t>
  </si>
  <si>
    <t>APOG US EQUITY</t>
  </si>
  <si>
    <t>Apogee Enterpr</t>
  </si>
  <si>
    <t>FDEF US EQUITY</t>
  </si>
  <si>
    <t>First Defiance</t>
  </si>
  <si>
    <t>UVE US EQUITY</t>
  </si>
  <si>
    <t>Universal Insura</t>
  </si>
  <si>
    <t>MDPEB US EQUITY</t>
  </si>
  <si>
    <t>Meredith Corp-B</t>
  </si>
  <si>
    <t>MDP US EQUITY</t>
  </si>
  <si>
    <t>Meredith Corp</t>
  </si>
  <si>
    <t>NCBS US EQUITY</t>
  </si>
  <si>
    <t>Nicolet Bankshar</t>
  </si>
  <si>
    <t>YORW US EQUITY</t>
  </si>
  <si>
    <t>York Water Co</t>
  </si>
  <si>
    <t>HRI US EQUITY</t>
  </si>
  <si>
    <t>Herc Holdings In</t>
  </si>
  <si>
    <t>FMCB US EQUITY</t>
  </si>
  <si>
    <t>SXI US EQUITY</t>
  </si>
  <si>
    <t>Standex Intl Co</t>
  </si>
  <si>
    <t>BCOR US EQUITY</t>
  </si>
  <si>
    <t>Blucora Inc</t>
  </si>
  <si>
    <t>RRC US EQUITY</t>
  </si>
  <si>
    <t>Range Resources</t>
  </si>
  <si>
    <t>AGX US EQUITY</t>
  </si>
  <si>
    <t>Argan Inc</t>
  </si>
  <si>
    <t>AMTB US EQUITY</t>
  </si>
  <si>
    <t>Amerant Bancorp</t>
  </si>
  <si>
    <t>AMTBB US EQUITY</t>
  </si>
  <si>
    <t>Amerant Bancor-B</t>
  </si>
  <si>
    <t>EGRX US EQUITY</t>
  </si>
  <si>
    <t>Eagle Pharmaceut</t>
  </si>
  <si>
    <t>UEIC US EQUITY</t>
  </si>
  <si>
    <t>Universal Elec</t>
  </si>
  <si>
    <t>CTBI US EQUITY</t>
  </si>
  <si>
    <t>Communi Trust Ba</t>
  </si>
  <si>
    <t>IIIV US EQUITY</t>
  </si>
  <si>
    <t>I3 Verticals-A</t>
  </si>
  <si>
    <t>COHU US EQUITY</t>
  </si>
  <si>
    <t>Cohu Inc</t>
  </si>
  <si>
    <t>GSBD US EQUITY</t>
  </si>
  <si>
    <t>Goldman Sachs Bd</t>
  </si>
  <si>
    <t>DIN US EQUITY</t>
  </si>
  <si>
    <t>Dine Brands Glob</t>
  </si>
  <si>
    <t>CKH US EQUITY</t>
  </si>
  <si>
    <t>Seacor Holdings</t>
  </si>
  <si>
    <t>PTLA US EQUITY</t>
  </si>
  <si>
    <t>Portola Pharmace</t>
  </si>
  <si>
    <t>PETS US EQUITY</t>
  </si>
  <si>
    <t>Petmed Express</t>
  </si>
  <si>
    <t>BMTC US EQUITY</t>
  </si>
  <si>
    <t>Bryn Mawr Bank</t>
  </si>
  <si>
    <t>AVRO US EQUITY</t>
  </si>
  <si>
    <t>Avrobio Inc</t>
  </si>
  <si>
    <t>EXPI US EQUITY</t>
  </si>
  <si>
    <t>Exp World Holdin</t>
  </si>
  <si>
    <t>HNGR US EQUITY</t>
  </si>
  <si>
    <t>Hanger Inc</t>
  </si>
  <si>
    <t>PGEN US EQUITY</t>
  </si>
  <si>
    <t>Precigen Inc</t>
  </si>
  <si>
    <t>EBIX US EQUITY</t>
  </si>
  <si>
    <t>Ebix Inc</t>
  </si>
  <si>
    <t>NFBK US EQUITY</t>
  </si>
  <si>
    <t>Northfield Banco</t>
  </si>
  <si>
    <t>SCSC US EQUITY</t>
  </si>
  <si>
    <t>Scansource Inc</t>
  </si>
  <si>
    <t>TTGT US EQUITY</t>
  </si>
  <si>
    <t>Techtarget</t>
  </si>
  <si>
    <t>SGH US EQUITY</t>
  </si>
  <si>
    <t>Smart Global Hol</t>
  </si>
  <si>
    <t>LBAI US EQUITY</t>
  </si>
  <si>
    <t>Lakeland Bancorp</t>
  </si>
  <si>
    <t>CNOB US EQUITY</t>
  </si>
  <si>
    <t>Connectone Banco</t>
  </si>
  <si>
    <t>ZIOP US EQUITY</t>
  </si>
  <si>
    <t>Ziopharm Oncolog</t>
  </si>
  <si>
    <t>CCS US EQUITY</t>
  </si>
  <si>
    <t>Century Communit</t>
  </si>
  <si>
    <t>MHO US EQUITY</t>
  </si>
  <si>
    <t>M/I Homes Inc</t>
  </si>
  <si>
    <t>CLVS US EQUITY</t>
  </si>
  <si>
    <t>Clovis Oncology</t>
  </si>
  <si>
    <t>BSIG US EQUITY</t>
  </si>
  <si>
    <t>Brightsphere Inv</t>
  </si>
  <si>
    <t>GLT US EQUITY</t>
  </si>
  <si>
    <t>Glatfelter</t>
  </si>
  <si>
    <t>GSBC US EQUITY</t>
  </si>
  <si>
    <t>Great Southn Ban</t>
  </si>
  <si>
    <t>AINV US EQUITY</t>
  </si>
  <si>
    <t>Apollo Inv Corp</t>
  </si>
  <si>
    <t>ELF US EQUITY</t>
  </si>
  <si>
    <t>Elf Beauty Inc</t>
  </si>
  <si>
    <t>ACMR US EQUITY</t>
  </si>
  <si>
    <t>Acm Research-A</t>
  </si>
  <si>
    <t>TRST US EQUITY</t>
  </si>
  <si>
    <t>Trustco Bank Ny</t>
  </si>
  <si>
    <t>PGTI US EQUITY</t>
  </si>
  <si>
    <t>Pgt Innovations</t>
  </si>
  <si>
    <t>HCC US EQUITY</t>
  </si>
  <si>
    <t>Warrior Met Coal</t>
  </si>
  <si>
    <t>HA US EQUITY</t>
  </si>
  <si>
    <t>Hawaiian Holding</t>
  </si>
  <si>
    <t>HMST US EQUITY</t>
  </si>
  <si>
    <t>Homestreet Inc</t>
  </si>
  <si>
    <t>BIG US EQUITY</t>
  </si>
  <si>
    <t>Big Lots Inc</t>
  </si>
  <si>
    <t>SP US EQUITY</t>
  </si>
  <si>
    <t>Sp Plus Corp</t>
  </si>
  <si>
    <t>OSUR US EQUITY</t>
  </si>
  <si>
    <t>Orasure Tech</t>
  </si>
  <si>
    <t>PACB US EQUITY</t>
  </si>
  <si>
    <t>Pacific Bioscien</t>
  </si>
  <si>
    <t>GLDD US EQUITY</t>
  </si>
  <si>
    <t>Great Lakes Dred</t>
  </si>
  <si>
    <t>KNL US EQUITY</t>
  </si>
  <si>
    <t>Knoll Inc</t>
  </si>
  <si>
    <t>BERK US EQUITY</t>
  </si>
  <si>
    <t>Berkshire Bncrp</t>
  </si>
  <si>
    <t>PACK US EQUITY</t>
  </si>
  <si>
    <t>Ranpak Holdings</t>
  </si>
  <si>
    <t>HSC US EQUITY</t>
  </si>
  <si>
    <t>Harsco Corp</t>
  </si>
  <si>
    <t>ACCO US EQUITY</t>
  </si>
  <si>
    <t>Acco Brands Corp</t>
  </si>
  <si>
    <t>OFIX US EQUITY</t>
  </si>
  <si>
    <t>Orthofix Medical</t>
  </si>
  <si>
    <t>ARDX US EQUITY</t>
  </si>
  <si>
    <t>Ardelyx Inc</t>
  </si>
  <si>
    <t>RLMD US EQUITY</t>
  </si>
  <si>
    <t>Relmada Therapeu</t>
  </si>
  <si>
    <t>TPIC US EQUITY</t>
  </si>
  <si>
    <t>Tpi Composites I</t>
  </si>
  <si>
    <t>CASS US EQUITY</t>
  </si>
  <si>
    <t>Cass Information</t>
  </si>
  <si>
    <t>GMHI US EQUITY</t>
  </si>
  <si>
    <t>Gores Metro-Cl A</t>
  </si>
  <si>
    <t>LORL US EQUITY</t>
  </si>
  <si>
    <t>Loral Space &amp; Co</t>
  </si>
  <si>
    <t>ATRA US EQUITY</t>
  </si>
  <si>
    <t>Atara Biotherape</t>
  </si>
  <si>
    <t>TBI US EQUITY</t>
  </si>
  <si>
    <t>Trueblue Inc</t>
  </si>
  <si>
    <t>BTAI US EQUITY</t>
  </si>
  <si>
    <t>Bioxcel Therapeu</t>
  </si>
  <si>
    <t>VNDA US EQUITY</t>
  </si>
  <si>
    <t>Vanda Pharmaceut</t>
  </si>
  <si>
    <t>ARCB US EQUITY</t>
  </si>
  <si>
    <t>Arcbest Corp</t>
  </si>
  <si>
    <t>HEES US EQUITY</t>
  </si>
  <si>
    <t>H&amp;E Equipment Se</t>
  </si>
  <si>
    <t>OCSL US EQUITY</t>
  </si>
  <si>
    <t>Oaktree Specialt</t>
  </si>
  <si>
    <t>FF US EQUITY</t>
  </si>
  <si>
    <t>Futurefuel Corp</t>
  </si>
  <si>
    <t>TG US EQUITY</t>
  </si>
  <si>
    <t>Tredegar Corp</t>
  </si>
  <si>
    <t>CSTL US EQUITY</t>
  </si>
  <si>
    <t>Castle Bioscienc</t>
  </si>
  <si>
    <t>FORR US EQUITY</t>
  </si>
  <si>
    <t>Forrester Resear</t>
  </si>
  <si>
    <t>LBC US EQUITY</t>
  </si>
  <si>
    <t>Luther Burbank C</t>
  </si>
  <si>
    <t>ABTX US EQUITY</t>
  </si>
  <si>
    <t>Allegiance Bancs</t>
  </si>
  <si>
    <t>QTRX US EQUITY</t>
  </si>
  <si>
    <t>Quanterix Corp</t>
  </si>
  <si>
    <t>LNTH US EQUITY</t>
  </si>
  <si>
    <t>Lantheus Holding</t>
  </si>
  <si>
    <t>PFBC US EQUITY</t>
  </si>
  <si>
    <t>Preferred Bank</t>
  </si>
  <si>
    <t>SLRC US EQUITY</t>
  </si>
  <si>
    <t>Solar Capital Lt</t>
  </si>
  <si>
    <t>WINA US EQUITY</t>
  </si>
  <si>
    <t>Winmark Corp</t>
  </si>
  <si>
    <t>PACQ US EQUITY</t>
  </si>
  <si>
    <t>Pure Acquisition</t>
  </si>
  <si>
    <t>RAPT US EQUITY</t>
  </si>
  <si>
    <t>Rapt Therapeutic</t>
  </si>
  <si>
    <t>THR US EQUITY</t>
  </si>
  <si>
    <t>Thermon Group Ho</t>
  </si>
  <si>
    <t>RDNT US EQUITY</t>
  </si>
  <si>
    <t>Radnet Inc</t>
  </si>
  <si>
    <t>ENVA US EQUITY</t>
  </si>
  <si>
    <t>Enova Internatio</t>
  </si>
  <si>
    <t>ASMB US EQUITY</t>
  </si>
  <si>
    <t>Assembly Bioscie</t>
  </si>
  <si>
    <t>DENN US EQUITY</t>
  </si>
  <si>
    <t>Denny'S Corp</t>
  </si>
  <si>
    <t>NPK US EQUITY</t>
  </si>
  <si>
    <t>Natl Presto Inds</t>
  </si>
  <si>
    <t>DCOM US EQUITY</t>
  </si>
  <si>
    <t>Dime Comm Bncshs</t>
  </si>
  <si>
    <t>SPTN US EQUITY</t>
  </si>
  <si>
    <t>Spartannash Co</t>
  </si>
  <si>
    <t>ICHR US EQUITY</t>
  </si>
  <si>
    <t>Ichor Holdings L</t>
  </si>
  <si>
    <t>FFWM US EQUITY</t>
  </si>
  <si>
    <t>First Foundation</t>
  </si>
  <si>
    <t>HTBK US EQUITY</t>
  </si>
  <si>
    <t>Heritage Commerc</t>
  </si>
  <si>
    <t>KLDI US EQUITY</t>
  </si>
  <si>
    <t>Kldiscovery</t>
  </si>
  <si>
    <t>CEVA US EQUITY</t>
  </si>
  <si>
    <t>Ceva Inc</t>
  </si>
  <si>
    <t>VSTO US EQUITY</t>
  </si>
  <si>
    <t>Vista Outdoor</t>
  </si>
  <si>
    <t>KELYB US EQUITY</t>
  </si>
  <si>
    <t>Kelly Services-B</t>
  </si>
  <si>
    <t>KELYA US EQUITY</t>
  </si>
  <si>
    <t>Kelly Services-A</t>
  </si>
  <si>
    <t>GES US EQUITY</t>
  </si>
  <si>
    <t>Guess? Inc</t>
  </si>
  <si>
    <t>AKRO US EQUITY</t>
  </si>
  <si>
    <t>Akero Therapeuti</t>
  </si>
  <si>
    <t>DSSI US EQUITY</t>
  </si>
  <si>
    <t>Diamond S Shi</t>
  </si>
  <si>
    <t>GTT US EQUITY</t>
  </si>
  <si>
    <t>Gtt Communicatio</t>
  </si>
  <si>
    <t>AEGN US EQUITY</t>
  </si>
  <si>
    <t>Aegion Corp</t>
  </si>
  <si>
    <t>VEC US EQUITY</t>
  </si>
  <si>
    <t>Vectrus Inc</t>
  </si>
  <si>
    <t>HUD US EQUITY</t>
  </si>
  <si>
    <t>Hudson Ltd-Cl A</t>
  </si>
  <si>
    <t>LMAT US EQUITY</t>
  </si>
  <si>
    <t>Lemaitre Vascula</t>
  </si>
  <si>
    <t>APY US EQUITY</t>
  </si>
  <si>
    <t>Apergy Corp</t>
  </si>
  <si>
    <t>ANIP US EQUITY</t>
  </si>
  <si>
    <t>Ani Pharmaceutic</t>
  </si>
  <si>
    <t>UVSP US EQUITY</t>
  </si>
  <si>
    <t>Univest Financia</t>
  </si>
  <si>
    <t>SRDX US EQUITY</t>
  </si>
  <si>
    <t>Surmodics Inc</t>
  </si>
  <si>
    <t>FBM US EQUITY</t>
  </si>
  <si>
    <t>Foundation Build</t>
  </si>
  <si>
    <t>MGPI US EQUITY</t>
  </si>
  <si>
    <t>Mgp Ingredients</t>
  </si>
  <si>
    <t>OMN US EQUITY</t>
  </si>
  <si>
    <t>Omnova Solutions</t>
  </si>
  <si>
    <t>EVH US EQUITY</t>
  </si>
  <si>
    <t>Evolent Health-A</t>
  </si>
  <si>
    <t>OBNK US EQUITY</t>
  </si>
  <si>
    <t>Origin Bancorp I</t>
  </si>
  <si>
    <t>RILY US EQUITY</t>
  </si>
  <si>
    <t>B. Riley Financi</t>
  </si>
  <si>
    <t>PLAY US EQUITY</t>
  </si>
  <si>
    <t>Dave &amp; Buster'S</t>
  </si>
  <si>
    <t>VECO US EQUITY</t>
  </si>
  <si>
    <t>Veeco Instrument</t>
  </si>
  <si>
    <t>MCRI US EQUITY</t>
  </si>
  <si>
    <t>Monarch Casino</t>
  </si>
  <si>
    <t>UNFI US EQUITY</t>
  </si>
  <si>
    <t>United Natural</t>
  </si>
  <si>
    <t>ZUMZ US EQUITY</t>
  </si>
  <si>
    <t>Zumiez Inc</t>
  </si>
  <si>
    <t>TCPC US EQUITY</t>
  </si>
  <si>
    <t>Blackrock Tcp Ca</t>
  </si>
  <si>
    <t>MNRL US EQUITY</t>
  </si>
  <si>
    <t>Brigham Minerals</t>
  </si>
  <si>
    <t>CPAA US EQUITY</t>
  </si>
  <si>
    <t>Conyers Park I-A</t>
  </si>
  <si>
    <t>NVEE US EQUITY</t>
  </si>
  <si>
    <t>Nv5 Global Inc</t>
  </si>
  <si>
    <t>SRI US EQUITY</t>
  </si>
  <si>
    <t>Stoneridge Inc</t>
  </si>
  <si>
    <t>FTAC US EQUITY</t>
  </si>
  <si>
    <t>Fintech Acqui-A</t>
  </si>
  <si>
    <t>CAC US EQUITY</t>
  </si>
  <si>
    <t>Camden National</t>
  </si>
  <si>
    <t>ETNB US EQUITY</t>
  </si>
  <si>
    <t>89Bio Inc</t>
  </si>
  <si>
    <t>PEBO US EQUITY</t>
  </si>
  <si>
    <t>Peoples Banc Inc</t>
  </si>
  <si>
    <t>PTEN US EQUITY</t>
  </si>
  <si>
    <t>Patterson-Uti</t>
  </si>
  <si>
    <t>RES US EQUITY</t>
  </si>
  <si>
    <t>Rpc Inc</t>
  </si>
  <si>
    <t>CBTX US EQUITY</t>
  </si>
  <si>
    <t>Cbtx Inc</t>
  </si>
  <si>
    <t>WRLD US EQUITY</t>
  </si>
  <si>
    <t>World Acceptance</t>
  </si>
  <si>
    <t>EBF US EQUITY</t>
  </si>
  <si>
    <t>Ennis Inc</t>
  </si>
  <si>
    <t>DBI US EQUITY</t>
  </si>
  <si>
    <t>Designer Brand-A</t>
  </si>
  <si>
    <t>AXDX US EQUITY</t>
  </si>
  <si>
    <t>Accelerate Diagn</t>
  </si>
  <si>
    <t>AMSWA US EQUITY</t>
  </si>
  <si>
    <t>Amer Software-A</t>
  </si>
  <si>
    <t>LPG US EQUITY</t>
  </si>
  <si>
    <t>Dorian Lpg Ltd</t>
  </si>
  <si>
    <t>THFF US EQUITY</t>
  </si>
  <si>
    <t>First Fin Cor/In</t>
  </si>
  <si>
    <t>WIFI US EQUITY</t>
  </si>
  <si>
    <t>Boingo Wireless</t>
  </si>
  <si>
    <t>ATEN US EQUITY</t>
  </si>
  <si>
    <t>A10 Networks Inc</t>
  </si>
  <si>
    <t>HONE US EQUITY</t>
  </si>
  <si>
    <t>Harborone Bancor</t>
  </si>
  <si>
    <t>CVM US EQUITY</t>
  </si>
  <si>
    <t>Cel-Sci Corp</t>
  </si>
  <si>
    <t>KURA US EQUITY</t>
  </si>
  <si>
    <t>Kura Oncology In</t>
  </si>
  <si>
    <t>LASR US EQUITY</t>
  </si>
  <si>
    <t>Nlight Inc</t>
  </si>
  <si>
    <t>WTTR US EQUITY</t>
  </si>
  <si>
    <t>Select Energy -A</t>
  </si>
  <si>
    <t>CNDT US EQUITY</t>
  </si>
  <si>
    <t>Conduent Inc</t>
  </si>
  <si>
    <t>HBNC US EQUITY</t>
  </si>
  <si>
    <t>Horizon Bancorp</t>
  </si>
  <si>
    <t>APXT US EQUITY</t>
  </si>
  <si>
    <t>Apex Technolog-A</t>
  </si>
  <si>
    <t>BCEL US EQUITY</t>
  </si>
  <si>
    <t>Atreca Inc - A</t>
  </si>
  <si>
    <t>TGH US EQUITY</t>
  </si>
  <si>
    <t>Textainer Group</t>
  </si>
  <si>
    <t>MGTX US EQUITY</t>
  </si>
  <si>
    <t>Meiragtx Holding</t>
  </si>
  <si>
    <t>QCRH US EQUITY</t>
  </si>
  <si>
    <t>Qcr Holdings Inc</t>
  </si>
  <si>
    <t>MORF US EQUITY</t>
  </si>
  <si>
    <t>Morphic Holding</t>
  </si>
  <si>
    <t>GTHX US EQUITY</t>
  </si>
  <si>
    <t>G1 Therapeutics</t>
  </si>
  <si>
    <t>MOBL US EQUITY</t>
  </si>
  <si>
    <t>Mobileiron Inc</t>
  </si>
  <si>
    <t>AXL US EQUITY</t>
  </si>
  <si>
    <t>Amer Axle &amp; Mfg</t>
  </si>
  <si>
    <t>BY US EQUITY</t>
  </si>
  <si>
    <t>Byline Bancorp I</t>
  </si>
  <si>
    <t>CPF US EQUITY</t>
  </si>
  <si>
    <t>Central Pacific</t>
  </si>
  <si>
    <t>CACA US EQUITY</t>
  </si>
  <si>
    <t>China Crawfish L</t>
  </si>
  <si>
    <t>VCEL US EQUITY</t>
  </si>
  <si>
    <t>Vericel Corp</t>
  </si>
  <si>
    <t>PLT US EQUITY</t>
  </si>
  <si>
    <t>Plantronics Inc</t>
  </si>
  <si>
    <t>PNTG US EQUITY</t>
  </si>
  <si>
    <t>Pennant Group</t>
  </si>
  <si>
    <t>ECHO US EQUITY</t>
  </si>
  <si>
    <t>Echo Global Logi</t>
  </si>
  <si>
    <t>HSKA US EQUITY</t>
  </si>
  <si>
    <t>Heska Corp</t>
  </si>
  <si>
    <t>HSII US EQUITY</t>
  </si>
  <si>
    <t>Heidrick &amp; Strug</t>
  </si>
  <si>
    <t>HFFG US EQUITY</t>
  </si>
  <si>
    <t>Hf Foods Group I</t>
  </si>
  <si>
    <t>MTSC US EQUITY</t>
  </si>
  <si>
    <t>Mts Systems Corp</t>
  </si>
  <si>
    <t>MCHB US EQUITY</t>
  </si>
  <si>
    <t>Mechanics Bk/Wal</t>
  </si>
  <si>
    <t>TRWH US EQUITY</t>
  </si>
  <si>
    <t>Twin River World</t>
  </si>
  <si>
    <t>ANIK US EQUITY</t>
  </si>
  <si>
    <t>Anika Therapeuti</t>
  </si>
  <si>
    <t>TILE US EQUITY</t>
  </si>
  <si>
    <t>Interface Inc</t>
  </si>
  <si>
    <t>EAT US EQUITY</t>
  </si>
  <si>
    <t>Brinker Intl</t>
  </si>
  <si>
    <t>ARCH US EQUITY</t>
  </si>
  <si>
    <t>Arch Coal Inc-A</t>
  </si>
  <si>
    <t>SIG US EQUITY</t>
  </si>
  <si>
    <t>Signet Jewelers</t>
  </si>
  <si>
    <t>CFB US EQUITY</t>
  </si>
  <si>
    <t>Crossfirst Banks</t>
  </si>
  <si>
    <t>MBIN US EQUITY</t>
  </si>
  <si>
    <t>Merchants Bancor</t>
  </si>
  <si>
    <t>TKCM US EQUITY</t>
  </si>
  <si>
    <t>Token Communitie</t>
  </si>
  <si>
    <t>MSBI US EQUITY</t>
  </si>
  <si>
    <t>Midland States B</t>
  </si>
  <si>
    <t>AOBC US EQUITY</t>
  </si>
  <si>
    <t>American Outdoor</t>
  </si>
  <si>
    <t>TPB US EQUITY</t>
  </si>
  <si>
    <t>Turning Point Br</t>
  </si>
  <si>
    <t>NLTX US EQUITY</t>
  </si>
  <si>
    <t>Neoleukin Therap</t>
  </si>
  <si>
    <t>BOMN US EQUITY</t>
  </si>
  <si>
    <t>Boston Omaha -A</t>
  </si>
  <si>
    <t>BANC US EQUITY</t>
  </si>
  <si>
    <t>Banc Of Californ</t>
  </si>
  <si>
    <t>MDXG US EQUITY</t>
  </si>
  <si>
    <t>Mimedx Group Inc</t>
  </si>
  <si>
    <t>MYRG US EQUITY</t>
  </si>
  <si>
    <t>Myr Group Inc/De</t>
  </si>
  <si>
    <t>KBAL US EQUITY</t>
  </si>
  <si>
    <t>Kimball Intl -B</t>
  </si>
  <si>
    <t>KALA US EQUITY</t>
  </si>
  <si>
    <t>Kala Pharmaceuti</t>
  </si>
  <si>
    <t>VVI US EQUITY</t>
  </si>
  <si>
    <t>Viad Corp</t>
  </si>
  <si>
    <t>PRVL US EQUITY</t>
  </si>
  <si>
    <t>Prevail Therapeu</t>
  </si>
  <si>
    <t>SRRK US EQUITY</t>
  </si>
  <si>
    <t>Scholar Rock Hol</t>
  </si>
  <si>
    <t>VSTM US EQUITY</t>
  </si>
  <si>
    <t>Verastem Inc</t>
  </si>
  <si>
    <t>WSBF US EQUITY</t>
  </si>
  <si>
    <t>Waterstone Finan</t>
  </si>
  <si>
    <t>BDGE US EQUITY</t>
  </si>
  <si>
    <t>Bridge Bancorp</t>
  </si>
  <si>
    <t>PRVB US EQUITY</t>
  </si>
  <si>
    <t>Provention Bio I</t>
  </si>
  <si>
    <t>MEET US EQUITY</t>
  </si>
  <si>
    <t>Meet Group Inc/T</t>
  </si>
  <si>
    <t>PBI US EQUITY</t>
  </si>
  <si>
    <t>Pitney Bowes Inc</t>
  </si>
  <si>
    <t>SPAR US EQUITY</t>
  </si>
  <si>
    <t>Spartan Motors</t>
  </si>
  <si>
    <t>BMRC US EQUITY</t>
  </si>
  <si>
    <t>Bank Of Marin Ba</t>
  </si>
  <si>
    <t>HYAC US EQUITY</t>
  </si>
  <si>
    <t>Haymaker Ac-Cl A</t>
  </si>
  <si>
    <t>XENT US EQUITY</t>
  </si>
  <si>
    <t>Intersect Ent In</t>
  </si>
  <si>
    <t>GHIV US EQUITY</t>
  </si>
  <si>
    <t>Gores Holdings-A</t>
  </si>
  <si>
    <t>VRS US EQUITY</t>
  </si>
  <si>
    <t>Verso Corp - A</t>
  </si>
  <si>
    <t>CYH US EQUITY</t>
  </si>
  <si>
    <t>Community Health</t>
  </si>
  <si>
    <t>IHC US EQUITY</t>
  </si>
  <si>
    <t>Indep Hldg Co</t>
  </si>
  <si>
    <t>WETF US EQUITY</t>
  </si>
  <si>
    <t>Wisdomtree Inves</t>
  </si>
  <si>
    <t>PROS US EQUITY</t>
  </si>
  <si>
    <t>Prosight Global</t>
  </si>
  <si>
    <t>FCBC US EQUITY</t>
  </si>
  <si>
    <t>First Communi Bk</t>
  </si>
  <si>
    <t>CPRX US EQUITY</t>
  </si>
  <si>
    <t>Catalyst Pharmac</t>
  </si>
  <si>
    <t>CDZI US EQUITY</t>
  </si>
  <si>
    <t>Cadiz Inc</t>
  </si>
  <si>
    <t>AROW US EQUITY</t>
  </si>
  <si>
    <t>Arrow Finl Corp</t>
  </si>
  <si>
    <t>MCS US EQUITY</t>
  </si>
  <si>
    <t>Marcus Corp</t>
  </si>
  <si>
    <t>ADTN US EQUITY</t>
  </si>
  <si>
    <t>Adtran Inc</t>
  </si>
  <si>
    <t>GPRO US EQUITY</t>
  </si>
  <si>
    <t>Gopro Inc-Cl A</t>
  </si>
  <si>
    <t>BOOT US EQUITY</t>
  </si>
  <si>
    <t>Boot Barn Holdin</t>
  </si>
  <si>
    <t>HCAC US EQUITY</t>
  </si>
  <si>
    <t>Hennessy Capit-A</t>
  </si>
  <si>
    <t>SIGA US EQUITY</t>
  </si>
  <si>
    <t>Siga Tech Inc</t>
  </si>
  <si>
    <t>VHC US EQUITY</t>
  </si>
  <si>
    <t>Virnetx Holding</t>
  </si>
  <si>
    <t>HCCI US EQUITY</t>
  </si>
  <si>
    <t>Heritage-Crystal</t>
  </si>
  <si>
    <t>SFTW US EQUITY</t>
  </si>
  <si>
    <t>Osprey Technol-A</t>
  </si>
  <si>
    <t>PARR US EQUITY</t>
  </si>
  <si>
    <t>Par Pacific Hold</t>
  </si>
  <si>
    <t>GRBK US EQUITY</t>
  </si>
  <si>
    <t>Green Brick Part</t>
  </si>
  <si>
    <t>FRPH US EQUITY</t>
  </si>
  <si>
    <t>Frp Holdings Inc</t>
  </si>
  <si>
    <t>FLIC US EQUITY</t>
  </si>
  <si>
    <t>First Of Long Is</t>
  </si>
  <si>
    <t>ANAB US EQUITY</t>
  </si>
  <si>
    <t>Anaptysbio Inc</t>
  </si>
  <si>
    <t>PRPL US EQUITY</t>
  </si>
  <si>
    <t>Purple Innovatio</t>
  </si>
  <si>
    <t>LGC US EQUITY</t>
  </si>
  <si>
    <t>Legacy Acquisi-A</t>
  </si>
  <si>
    <t>QNST US EQUITY</t>
  </si>
  <si>
    <t>Quinstreet Inc</t>
  </si>
  <si>
    <t>AGEN US EQUITY</t>
  </si>
  <si>
    <t>Agenus Inc</t>
  </si>
  <si>
    <t>WNC US EQUITY</t>
  </si>
  <si>
    <t>Wabash National</t>
  </si>
  <si>
    <t>MYE US EQUITY</t>
  </si>
  <si>
    <t>Myers Inds Inc</t>
  </si>
  <si>
    <t>DGICB US EQUITY</t>
  </si>
  <si>
    <t>Donegal Group-B</t>
  </si>
  <si>
    <t>DGICA US EQUITY</t>
  </si>
  <si>
    <t>Donegal Grp-Cl A</t>
  </si>
  <si>
    <t>OII US EQUITY</t>
  </si>
  <si>
    <t>Oceaneering Intl</t>
  </si>
  <si>
    <t>BSTC US EQUITY</t>
  </si>
  <si>
    <t>Biospecifics Tec</t>
  </si>
  <si>
    <t>CALX US EQUITY</t>
  </si>
  <si>
    <t>Calix Inc</t>
  </si>
  <si>
    <t>AVD US EQUITY</t>
  </si>
  <si>
    <t>Amer Vanguard</t>
  </si>
  <si>
    <t>CRBP US EQUITY</t>
  </si>
  <si>
    <t>Corbus Pharmaceu</t>
  </si>
  <si>
    <t>ACAM US EQUITY</t>
  </si>
  <si>
    <t>Acamar Partne-A</t>
  </si>
  <si>
    <t>RLGY US EQUITY</t>
  </si>
  <si>
    <t>Realogy Holdings</t>
  </si>
  <si>
    <t>AGYS US EQUITY</t>
  </si>
  <si>
    <t>Agilysys Inc</t>
  </si>
  <si>
    <t>AMC US EQUITY</t>
  </si>
  <si>
    <t>Amc Entertainmen</t>
  </si>
  <si>
    <t>GDYN US EQUITY</t>
  </si>
  <si>
    <t>Grid Dynamics Ho</t>
  </si>
  <si>
    <t>BHRB US EQUITY</t>
  </si>
  <si>
    <t>Burke &amp; Herbert</t>
  </si>
  <si>
    <t>NESR US EQUITY</t>
  </si>
  <si>
    <t>National Energy</t>
  </si>
  <si>
    <t>URGN US EQUITY</t>
  </si>
  <si>
    <t>Urogen Pharma Lt</t>
  </si>
  <si>
    <t>BXG US EQUITY</t>
  </si>
  <si>
    <t>Bluegreen Vacati</t>
  </si>
  <si>
    <t>FFIC US EQUITY</t>
  </si>
  <si>
    <t>Flushing Finl</t>
  </si>
  <si>
    <t>AMRS US EQUITY</t>
  </si>
  <si>
    <t>Amyris Inc</t>
  </si>
  <si>
    <t>ERII US EQUITY</t>
  </si>
  <si>
    <t>Energy Recovery</t>
  </si>
  <si>
    <t>FMBH US EQUITY</t>
  </si>
  <si>
    <t>First Mid Bancsh</t>
  </si>
  <si>
    <t>AXGN US EQUITY</t>
  </si>
  <si>
    <t>Axogen Inc</t>
  </si>
  <si>
    <t>GIII US EQUITY</t>
  </si>
  <si>
    <t>G Iii Apparel</t>
  </si>
  <si>
    <t>CMTL US EQUITY</t>
  </si>
  <si>
    <t>Comtech Telecomm</t>
  </si>
  <si>
    <t>ACTT US EQUITY</t>
  </si>
  <si>
    <t>Act Ii Global Ac</t>
  </si>
  <si>
    <t>CFFA US EQUITY</t>
  </si>
  <si>
    <t>Cf Finance Acq-A</t>
  </si>
  <si>
    <t>HCKT US EQUITY</t>
  </si>
  <si>
    <t>Hackett Group</t>
  </si>
  <si>
    <t>IESC US EQUITY</t>
  </si>
  <si>
    <t>Ies Holdings Inc</t>
  </si>
  <si>
    <t>APPS US EQUITY</t>
  </si>
  <si>
    <t>Digital Turbine</t>
  </si>
  <si>
    <t>BBDC US EQUITY</t>
  </si>
  <si>
    <t>Barings Bdc Inc</t>
  </si>
  <si>
    <t>PDFS US EQUITY</t>
  </si>
  <si>
    <t>Pdf Solutions</t>
  </si>
  <si>
    <t>RBBN US EQUITY</t>
  </si>
  <si>
    <t>Ribbon Communica</t>
  </si>
  <si>
    <t>BFC US EQUITY</t>
  </si>
  <si>
    <t>Bank First Corp</t>
  </si>
  <si>
    <t>TGI US EQUITY</t>
  </si>
  <si>
    <t>Triumph Group</t>
  </si>
  <si>
    <t>FBMS US EQUITY</t>
  </si>
  <si>
    <t>First Bancshares</t>
  </si>
  <si>
    <t>USLM US EQUITY</t>
  </si>
  <si>
    <t>Us Lime &amp; Minera</t>
  </si>
  <si>
    <t>SBNC US EQUITY</t>
  </si>
  <si>
    <t>Southern Bcsh/Nc</t>
  </si>
  <si>
    <t>REPL US EQUITY</t>
  </si>
  <si>
    <t>Replimune Group</t>
  </si>
  <si>
    <t>VAPO US EQUITY</t>
  </si>
  <si>
    <t>Vapotherm Inc</t>
  </si>
  <si>
    <t>BOOM US EQUITY</t>
  </si>
  <si>
    <t>Dmc Global Inc</t>
  </si>
  <si>
    <t>UIHC US EQUITY</t>
  </si>
  <si>
    <t>United Insurance</t>
  </si>
  <si>
    <t>MRC US EQUITY</t>
  </si>
  <si>
    <t>Mrc Global Inc</t>
  </si>
  <si>
    <t>CRMT US EQUITY</t>
  </si>
  <si>
    <t>America'S Car-Ma</t>
  </si>
  <si>
    <t>CRNX US EQUITY</t>
  </si>
  <si>
    <t>Crinetics Pharma</t>
  </si>
  <si>
    <t>CNSL US EQUITY</t>
  </si>
  <si>
    <t>Consolidated Com</t>
  </si>
  <si>
    <t>RPLA US EQUITY</t>
  </si>
  <si>
    <t>Replay Acquisiti</t>
  </si>
  <si>
    <t>HWKN US EQUITY</t>
  </si>
  <si>
    <t>Hawkins Inc</t>
  </si>
  <si>
    <t>TRC US EQUITY</t>
  </si>
  <si>
    <t>Tejon Ranch Co</t>
  </si>
  <si>
    <t>ORGO US EQUITY</t>
  </si>
  <si>
    <t>Organogenesis Ho</t>
  </si>
  <si>
    <t>CLW US EQUITY</t>
  </si>
  <si>
    <t>Clearwater</t>
  </si>
  <si>
    <t>VIVC US EQUITY</t>
  </si>
  <si>
    <t>Vivic Corp</t>
  </si>
  <si>
    <t>THCB US EQUITY</t>
  </si>
  <si>
    <t>Tuscan Holdings</t>
  </si>
  <si>
    <t>EXTR US EQUITY</t>
  </si>
  <si>
    <t>Extreme Networks</t>
  </si>
  <si>
    <t>TEN US EQUITY</t>
  </si>
  <si>
    <t>Tenneco Inc-A</t>
  </si>
  <si>
    <t>CUE US EQUITY</t>
  </si>
  <si>
    <t>Cue Biopharma In</t>
  </si>
  <si>
    <t>NEWT US EQUITY</t>
  </si>
  <si>
    <t>Newtek Business</t>
  </si>
  <si>
    <t>NX US EQUITY</t>
  </si>
  <si>
    <t>Quanex Building</t>
  </si>
  <si>
    <t>ANGO US EQUITY</t>
  </si>
  <si>
    <t>Angiodynamics In</t>
  </si>
  <si>
    <t>CLNE US EQUITY</t>
  </si>
  <si>
    <t>Clean Energy Fue</t>
  </si>
  <si>
    <t>ULH US EQUITY</t>
  </si>
  <si>
    <t>Universal Logist</t>
  </si>
  <si>
    <t>CGBD US EQUITY</t>
  </si>
  <si>
    <t>Tcg Bdc Inc</t>
  </si>
  <si>
    <t>GXGX US EQUITY</t>
  </si>
  <si>
    <t>Gx Acquisition-A</t>
  </si>
  <si>
    <t>WOW US EQUITY</t>
  </si>
  <si>
    <t>Wideopenwest Inc</t>
  </si>
  <si>
    <t>CRD/A US EQUITY</t>
  </si>
  <si>
    <t>Crawford &amp; Co-A</t>
  </si>
  <si>
    <t>CRD/B US EQUITY</t>
  </si>
  <si>
    <t>Crawford &amp; Co-B</t>
  </si>
  <si>
    <t>KOS US EQUITY</t>
  </si>
  <si>
    <t>Kosmos Energy Lt</t>
  </si>
  <si>
    <t>BYSI US EQUITY</t>
  </si>
  <si>
    <t>Beyondspring Inc</t>
  </si>
  <si>
    <t>OMI US EQUITY</t>
  </si>
  <si>
    <t>Owens &amp; Minor</t>
  </si>
  <si>
    <t>EMIS US EQUITY</t>
  </si>
  <si>
    <t>Emisphere Tech</t>
  </si>
  <si>
    <t>TALO US EQUITY</t>
  </si>
  <si>
    <t>Talos Energy Inc</t>
  </si>
  <si>
    <t>ATRS US EQUITY</t>
  </si>
  <si>
    <t>Antares Pharma</t>
  </si>
  <si>
    <t>VHI US EQUITY</t>
  </si>
  <si>
    <t>Valhi Inc</t>
  </si>
  <si>
    <t>NEBU US EQUITY</t>
  </si>
  <si>
    <t>Nebula Acquisiti</t>
  </si>
  <si>
    <t>MIRM US EQUITY</t>
  </si>
  <si>
    <t>Mirum Pharmaceut</t>
  </si>
  <si>
    <t>IOTS US EQUITY</t>
  </si>
  <si>
    <t>Adesto Technolog</t>
  </si>
  <si>
    <t>RUBY US EQUITY</t>
  </si>
  <si>
    <t>Rubius Therapeut</t>
  </si>
  <si>
    <t>SCVL US EQUITY</t>
  </si>
  <si>
    <t>Shoe Carnival</t>
  </si>
  <si>
    <t>PI US EQUITY</t>
  </si>
  <si>
    <t>Impinj Inc</t>
  </si>
  <si>
    <t>TVTY US EQUITY</t>
  </si>
  <si>
    <t>Tivity Health In</t>
  </si>
  <si>
    <t>EXPC US EQUITY</t>
  </si>
  <si>
    <t>Experience Inv-A</t>
  </si>
  <si>
    <t>IMXI US EQUITY</t>
  </si>
  <si>
    <t>International Mo</t>
  </si>
  <si>
    <t>PBYI US EQUITY</t>
  </si>
  <si>
    <t>Puma Biotechnolo</t>
  </si>
  <si>
    <t>RST US EQUITY</t>
  </si>
  <si>
    <t>Rosetta Stone In</t>
  </si>
  <si>
    <t>BDSI US EQUITY</t>
  </si>
  <si>
    <t>Biodelivery Scie</t>
  </si>
  <si>
    <t>THBR US EQUITY</t>
  </si>
  <si>
    <t>Thunder Bridge-A</t>
  </si>
  <si>
    <t>HMTV US EQUITY</t>
  </si>
  <si>
    <t>Hemisphere Media</t>
  </si>
  <si>
    <t>CNND US EQUITY</t>
  </si>
  <si>
    <t>Canandaigua Natl</t>
  </si>
  <si>
    <t>ZYXI US EQUITY</t>
  </si>
  <si>
    <t>Zynex Inc</t>
  </si>
  <si>
    <t>MOFG US EQUITY</t>
  </si>
  <si>
    <t>Midwestone Finan</t>
  </si>
  <si>
    <t>VYGR US EQUITY</t>
  </si>
  <si>
    <t>Voyager Therapeu</t>
  </si>
  <si>
    <t>PDLI US EQUITY</t>
  </si>
  <si>
    <t>Pdl Biopharma In</t>
  </si>
  <si>
    <t>ARTNA US EQUITY</t>
  </si>
  <si>
    <t>Artesian Res-A</t>
  </si>
  <si>
    <t>ARTNB US EQUITY</t>
  </si>
  <si>
    <t>Artesian Res-B</t>
  </si>
  <si>
    <t>CENX US EQUITY</t>
  </si>
  <si>
    <t>Century Aluminum</t>
  </si>
  <si>
    <t>CNBKB US EQUITY</t>
  </si>
  <si>
    <t>Century Banc -B</t>
  </si>
  <si>
    <t>CNBKA US EQUITY</t>
  </si>
  <si>
    <t>Century Banc -A</t>
  </si>
  <si>
    <t>CUBI US EQUITY</t>
  </si>
  <si>
    <t>Customers Bancor</t>
  </si>
  <si>
    <t>MITK US EQUITY</t>
  </si>
  <si>
    <t>Mitek Systems</t>
  </si>
  <si>
    <t>CHK US EQUITY</t>
  </si>
  <si>
    <t>Chesapeake Energ</t>
  </si>
  <si>
    <t>LICT US EQUITY</t>
  </si>
  <si>
    <t>Lict Corp</t>
  </si>
  <si>
    <t>TBBK US EQUITY</t>
  </si>
  <si>
    <t>Bancorp Inc/The</t>
  </si>
  <si>
    <t>MBWM US EQUITY</t>
  </si>
  <si>
    <t>Mercantile Bank</t>
  </si>
  <si>
    <t>RECN US EQUITY</t>
  </si>
  <si>
    <t>Resources Connec</t>
  </si>
  <si>
    <t>RUBI US EQUITY</t>
  </si>
  <si>
    <t>Rubicon Project</t>
  </si>
  <si>
    <t>JIH US EQUITY</t>
  </si>
  <si>
    <t>Juniper Indus-A</t>
  </si>
  <si>
    <t>PGC US EQUITY</t>
  </si>
  <si>
    <t>Peapack Gladston</t>
  </si>
  <si>
    <t>VKTX US EQUITY</t>
  </si>
  <si>
    <t>Viking Therapeut</t>
  </si>
  <si>
    <t>NPTN US EQUITY</t>
  </si>
  <si>
    <t>Neophotonics Cor</t>
  </si>
  <si>
    <t>SRNE US EQUITY</t>
  </si>
  <si>
    <t>Sorrento Therape</t>
  </si>
  <si>
    <t>STSA US EQUITY</t>
  </si>
  <si>
    <t>Satsuma Pharmace</t>
  </si>
  <si>
    <t>FCEL US EQUITY</t>
  </si>
  <si>
    <t>Fuelcell Energy</t>
  </si>
  <si>
    <t>SGRY US EQUITY</t>
  </si>
  <si>
    <t>Surgery Partners</t>
  </si>
  <si>
    <t>APEI US EQUITY</t>
  </si>
  <si>
    <t>American Public</t>
  </si>
  <si>
    <t>CHEF US EQUITY</t>
  </si>
  <si>
    <t>Chefs Warehouse</t>
  </si>
  <si>
    <t>FMNB US EQUITY</t>
  </si>
  <si>
    <t>Farmers Natl Ban</t>
  </si>
  <si>
    <t>HAFC US EQUITY</t>
  </si>
  <si>
    <t>Hanmi Finl Corp</t>
  </si>
  <si>
    <t>FRTA US EQUITY</t>
  </si>
  <si>
    <t>Forterra Inc</t>
  </si>
  <si>
    <t>VTIQ US EQUITY</t>
  </si>
  <si>
    <t>Vectoiq Acquisit</t>
  </si>
  <si>
    <t>SIBN US EQUITY</t>
  </si>
  <si>
    <t>Si-Bone Inc</t>
  </si>
  <si>
    <t>ATHX US EQUITY</t>
  </si>
  <si>
    <t>Athersys Inc</t>
  </si>
  <si>
    <t>NFIN US EQUITY</t>
  </si>
  <si>
    <t>Netfin Acquisi-A</t>
  </si>
  <si>
    <t>WVE US EQUITY</t>
  </si>
  <si>
    <t>Wave Life Scienc</t>
  </si>
  <si>
    <t>DTIL US EQUITY</t>
  </si>
  <si>
    <t>Precision Biosci</t>
  </si>
  <si>
    <t>CCBG US EQUITY</t>
  </si>
  <si>
    <t>Cap City Bank</t>
  </si>
  <si>
    <t>SGU US EQUITY</t>
  </si>
  <si>
    <t>Star Group Lp</t>
  </si>
  <si>
    <t>FLXN US EQUITY</t>
  </si>
  <si>
    <t>Flexion Therapeu</t>
  </si>
  <si>
    <t>VLGEA US EQUITY</t>
  </si>
  <si>
    <t>Village Super -A</t>
  </si>
  <si>
    <t>PUB US EQUITY</t>
  </si>
  <si>
    <t>People'S Utah Ba</t>
  </si>
  <si>
    <t>FSRV US EQUITY</t>
  </si>
  <si>
    <t>Finserv Acquis-A</t>
  </si>
  <si>
    <t>TLRA US EQUITY</t>
  </si>
  <si>
    <t>Telaria Inc</t>
  </si>
  <si>
    <t>HCCO US EQUITY</t>
  </si>
  <si>
    <t>Healthcare Merge</t>
  </si>
  <si>
    <t>NASB US EQUITY</t>
  </si>
  <si>
    <t>Nasb Financial</t>
  </si>
  <si>
    <t>CIIC US EQUITY</t>
  </si>
  <si>
    <t>Ciig Merger Corp</t>
  </si>
  <si>
    <t>PZN US EQUITY</t>
  </si>
  <si>
    <t>Pzena Inves-Cl A</t>
  </si>
  <si>
    <t>SITM US EQUITY</t>
  </si>
  <si>
    <t>Sitime Corp</t>
  </si>
  <si>
    <t>CALA US EQUITY</t>
  </si>
  <si>
    <t>Calithera Biosci</t>
  </si>
  <si>
    <t>VRAY US EQUITY</t>
  </si>
  <si>
    <t>Viewray Inc</t>
  </si>
  <si>
    <t>PGNX US EQUITY</t>
  </si>
  <si>
    <t>Progenics Pharm</t>
  </si>
  <si>
    <t>GRAF US EQUITY</t>
  </si>
  <si>
    <t>Graf Industrial</t>
  </si>
  <si>
    <t>OPRT US EQUITY</t>
  </si>
  <si>
    <t>Oportun Financia</t>
  </si>
  <si>
    <t>SENEB US EQUITY</t>
  </si>
  <si>
    <t>Seneca Foods-B</t>
  </si>
  <si>
    <t>SENEA US EQUITY</t>
  </si>
  <si>
    <t>Seneca Foods-A</t>
  </si>
  <si>
    <t>NK US EQUITY</t>
  </si>
  <si>
    <t>Nantkwest Inc</t>
  </si>
  <si>
    <t>LCA US EQUITY</t>
  </si>
  <si>
    <t>Landcadia Hold-A</t>
  </si>
  <si>
    <t>FSB US EQUITY</t>
  </si>
  <si>
    <t>Franklin Financi</t>
  </si>
  <si>
    <t>FRTG US EQUITY</t>
  </si>
  <si>
    <t>Frontera Group I</t>
  </si>
  <si>
    <t>AVID US EQUITY</t>
  </si>
  <si>
    <t>Avid Technology</t>
  </si>
  <si>
    <t>DVAX US EQUITY</t>
  </si>
  <si>
    <t>Dynavax Technolo</t>
  </si>
  <si>
    <t>SSTI US EQUITY</t>
  </si>
  <si>
    <t>Shotspotter Inc</t>
  </si>
  <si>
    <t>TAQR US EQUITY</t>
  </si>
  <si>
    <t>Traqer Corp</t>
  </si>
  <si>
    <t>DRRX US EQUITY</t>
  </si>
  <si>
    <t>Durect Corp</t>
  </si>
  <si>
    <t>USAT US EQUITY</t>
  </si>
  <si>
    <t>Usa Technologies</t>
  </si>
  <si>
    <t>SSPK US EQUITY</t>
  </si>
  <si>
    <t>Silver Spike-A</t>
  </si>
  <si>
    <t>SCHN US EQUITY</t>
  </si>
  <si>
    <t>Schnitzer Steel</t>
  </si>
  <si>
    <t>HIFS US EQUITY</t>
  </si>
  <si>
    <t>Hingham Inst Svg</t>
  </si>
  <si>
    <t>PLCE US EQUITY</t>
  </si>
  <si>
    <t>Children'S Place</t>
  </si>
  <si>
    <t>TPC US EQUITY</t>
  </si>
  <si>
    <t>Tutor Perini Cor</t>
  </si>
  <si>
    <t>VIVO US EQUITY</t>
  </si>
  <si>
    <t>Meridian Biosci</t>
  </si>
  <si>
    <t>PFNX US EQUITY</t>
  </si>
  <si>
    <t>Pfenex Inc</t>
  </si>
  <si>
    <t>REX US EQUITY</t>
  </si>
  <si>
    <t>Rex American Res</t>
  </si>
  <si>
    <t>SBE US EQUITY</t>
  </si>
  <si>
    <t>Switchback Ene-A</t>
  </si>
  <si>
    <t>DJCO US EQUITY</t>
  </si>
  <si>
    <t>Daily Journal</t>
  </si>
  <si>
    <t>DBD US EQUITY</t>
  </si>
  <si>
    <t>Diebold Nixdorf</t>
  </si>
  <si>
    <t>HCI US EQUITY</t>
  </si>
  <si>
    <t>Hci Group Inc</t>
  </si>
  <si>
    <t>BLBD US EQUITY</t>
  </si>
  <si>
    <t>Blue Bird Corp</t>
  </si>
  <si>
    <t>TRNE US EQUITY</t>
  </si>
  <si>
    <t>Trine Acquisit-A</t>
  </si>
  <si>
    <t>CBMG US EQUITY</t>
  </si>
  <si>
    <t>Cellular Biomedi</t>
  </si>
  <si>
    <t>LBRT US EQUITY</t>
  </si>
  <si>
    <t>Liberty Oilfie-A</t>
  </si>
  <si>
    <t>MIK US EQUITY</t>
  </si>
  <si>
    <t>Michaels Cos Inc</t>
  </si>
  <si>
    <t>CATO US EQUITY</t>
  </si>
  <si>
    <t>Cato Corp-A</t>
  </si>
  <si>
    <t>MLR US EQUITY</t>
  </si>
  <si>
    <t>Miller Inds/Tenn</t>
  </si>
  <si>
    <t>BFYT US EQUITY</t>
  </si>
  <si>
    <t>Benefytt Technol</t>
  </si>
  <si>
    <t>DSPG US EQUITY</t>
  </si>
  <si>
    <t>Dsp Group Inc</t>
  </si>
  <si>
    <t>INS US EQUITY</t>
  </si>
  <si>
    <t>Intelligent Sys</t>
  </si>
  <si>
    <t>BCRX US EQUITY</t>
  </si>
  <si>
    <t>Biocryst Pharm</t>
  </si>
  <si>
    <t>POWL US EQUITY</t>
  </si>
  <si>
    <t>Powell Inds Inc</t>
  </si>
  <si>
    <t>AMAL US EQUITY</t>
  </si>
  <si>
    <t>Amalgamated Bk-A</t>
  </si>
  <si>
    <t>DOMO US EQUITY</t>
  </si>
  <si>
    <t>Domo Inc- Cl B</t>
  </si>
  <si>
    <t>TXMD US EQUITY</t>
  </si>
  <si>
    <t>Therapeuticsmd</t>
  </si>
  <si>
    <t>CHPM US EQUITY</t>
  </si>
  <si>
    <t>Chp Merger Cor-A</t>
  </si>
  <si>
    <t>DBMG US EQUITY</t>
  </si>
  <si>
    <t>Dbm Global Inc</t>
  </si>
  <si>
    <t>LCI US EQUITY</t>
  </si>
  <si>
    <t>Lannett Co Inc</t>
  </si>
  <si>
    <t>ETH US EQUITY</t>
  </si>
  <si>
    <t>Ethan Allen</t>
  </si>
  <si>
    <t>UTMD US EQUITY</t>
  </si>
  <si>
    <t>Utah Medical Pro</t>
  </si>
  <si>
    <t>SNDX US EQUITY</t>
  </si>
  <si>
    <t>Syndax Pharmaceu</t>
  </si>
  <si>
    <t>HRTG US EQUITY</t>
  </si>
  <si>
    <t>Heritage Insuran</t>
  </si>
  <si>
    <t>BHB US EQUITY</t>
  </si>
  <si>
    <t>Bar Harbor Bnksh</t>
  </si>
  <si>
    <t>CPSI US EQUITY</t>
  </si>
  <si>
    <t>Computer Program</t>
  </si>
  <si>
    <t>MPX US EQUITY</t>
  </si>
  <si>
    <t>Marine Products</t>
  </si>
  <si>
    <t>KRMD US EQUITY</t>
  </si>
  <si>
    <t>Repro Medsystems</t>
  </si>
  <si>
    <t>BREW US EQUITY</t>
  </si>
  <si>
    <t>Craft Brew Allia</t>
  </si>
  <si>
    <t>CTMX US EQUITY</t>
  </si>
  <si>
    <t>Cytomx Therapeut</t>
  </si>
  <si>
    <t>VRCA US EQUITY</t>
  </si>
  <si>
    <t>Verrica Pharmace</t>
  </si>
  <si>
    <t>CASA US EQUITY</t>
  </si>
  <si>
    <t>Casa Systems Inc</t>
  </si>
  <si>
    <t>EBTC US EQUITY</t>
  </si>
  <si>
    <t>Enterprise Banco</t>
  </si>
  <si>
    <t>MRSN US EQUITY</t>
  </si>
  <si>
    <t>Mersana Therapeu</t>
  </si>
  <si>
    <t>ATROB US EQUITY</t>
  </si>
  <si>
    <t>Astronics Corp-B</t>
  </si>
  <si>
    <t>ATRO US EQUITY</t>
  </si>
  <si>
    <t>Astronics Corp</t>
  </si>
  <si>
    <t>MGNX US EQUITY</t>
  </si>
  <si>
    <t>Macrogenics Inc</t>
  </si>
  <si>
    <t>HARP US EQUITY</t>
  </si>
  <si>
    <t>Harpoon Therapeu</t>
  </si>
  <si>
    <t>IBCP US EQUITY</t>
  </si>
  <si>
    <t>Indep Bank/Mich</t>
  </si>
  <si>
    <t>NSSC US EQUITY</t>
  </si>
  <si>
    <t>Napco Security</t>
  </si>
  <si>
    <t>CELH US EQUITY</t>
  </si>
  <si>
    <t>Celsius Holdings</t>
  </si>
  <si>
    <t>TSC US EQUITY</t>
  </si>
  <si>
    <t>Tristate Capital</t>
  </si>
  <si>
    <t>BNFT US EQUITY</t>
  </si>
  <si>
    <t>Benefitfocus Inc</t>
  </si>
  <si>
    <t>XBIT US EQUITY</t>
  </si>
  <si>
    <t>Xbiotech Inc</t>
  </si>
  <si>
    <t>OTCM US EQUITY</t>
  </si>
  <si>
    <t>Otc Markets Gr-A</t>
  </si>
  <si>
    <t>CIA US EQUITY</t>
  </si>
  <si>
    <t>Citizens Inc</t>
  </si>
  <si>
    <t>REVB US EQUITY</t>
  </si>
  <si>
    <t>Revere Bank</t>
  </si>
  <si>
    <t>EIGI US EQUITY</t>
  </si>
  <si>
    <t>Endurance Intern</t>
  </si>
  <si>
    <t>EVRI US EQUITY</t>
  </si>
  <si>
    <t>Everi Holdings I</t>
  </si>
  <si>
    <t>HBT US EQUITY</t>
  </si>
  <si>
    <t>Hbt Financial In</t>
  </si>
  <si>
    <t>BBSI US EQUITY</t>
  </si>
  <si>
    <t>Barrett Bus Svcs</t>
  </si>
  <si>
    <t>CUSI US EQUITY</t>
  </si>
  <si>
    <t>Cuisine Solution</t>
  </si>
  <si>
    <t>MCBS US EQUITY</t>
  </si>
  <si>
    <t>Metrocity Banksh</t>
  </si>
  <si>
    <t>UFPT US EQUITY</t>
  </si>
  <si>
    <t>Ufp Technologies</t>
  </si>
  <si>
    <t>HLX US EQUITY</t>
  </si>
  <si>
    <t>Helix Energy Sol</t>
  </si>
  <si>
    <t>RWWI US EQUITY</t>
  </si>
  <si>
    <t>Rand Worldwide I</t>
  </si>
  <si>
    <t>LOCO US EQUITY</t>
  </si>
  <si>
    <t>El Pollo Loco Ho</t>
  </si>
  <si>
    <t>MTW US EQUITY</t>
  </si>
  <si>
    <t>Manitowoc Co</t>
  </si>
  <si>
    <t>FULC US EQUITY</t>
  </si>
  <si>
    <t>Fulcrum Therapeu</t>
  </si>
  <si>
    <t>GME US EQUITY</t>
  </si>
  <si>
    <t>Gamestop Corp-A</t>
  </si>
  <si>
    <t>SXC US EQUITY</t>
  </si>
  <si>
    <t>Suncoke Energy I</t>
  </si>
  <si>
    <t>RMNI US EQUITY</t>
  </si>
  <si>
    <t>Rimini Street In</t>
  </si>
  <si>
    <t>CSV US EQUITY</t>
  </si>
  <si>
    <t>Carriage Service</t>
  </si>
  <si>
    <t>DCO US EQUITY</t>
  </si>
  <si>
    <t>Ducommun Inc</t>
  </si>
  <si>
    <t>CNCE US EQUITY</t>
  </si>
  <si>
    <t>Concert Pharmace</t>
  </si>
  <si>
    <t>KCLI US EQUITY</t>
  </si>
  <si>
    <t>Kansas City Life</t>
  </si>
  <si>
    <t>THVB US EQUITY</t>
  </si>
  <si>
    <t>Thomasville Bcsh</t>
  </si>
  <si>
    <t>RBB US EQUITY</t>
  </si>
  <si>
    <t>Rbb Bancorp</t>
  </si>
  <si>
    <t>FISI US EQUITY</t>
  </si>
  <si>
    <t>Financial Inst</t>
  </si>
  <si>
    <t>COWN US EQUITY</t>
  </si>
  <si>
    <t>Cowen Inc - A</t>
  </si>
  <si>
    <t>GAIN US EQUITY</t>
  </si>
  <si>
    <t>Gladstone Invest</t>
  </si>
  <si>
    <t>DPHC US EQUITY</t>
  </si>
  <si>
    <t>Diamondpeak Ho-A</t>
  </si>
  <si>
    <t>VALU US EQUITY</t>
  </si>
  <si>
    <t>Value Line Inc</t>
  </si>
  <si>
    <t>GBL US EQUITY</t>
  </si>
  <si>
    <t>Gamco Investo-A</t>
  </si>
  <si>
    <t>MTDR US EQUITY</t>
  </si>
  <si>
    <t>Matador Resource</t>
  </si>
  <si>
    <t>DHIL US EQUITY</t>
  </si>
  <si>
    <t>Diamond Hill</t>
  </si>
  <si>
    <t>UBX US EQUITY</t>
  </si>
  <si>
    <t>Unity Biotechnol</t>
  </si>
  <si>
    <t>KE US EQUITY</t>
  </si>
  <si>
    <t>Kimball Electron</t>
  </si>
  <si>
    <t>ATCX US EQUITY</t>
  </si>
  <si>
    <t>Atlas Technical</t>
  </si>
  <si>
    <t>BTU US EQUITY</t>
  </si>
  <si>
    <t>Peabody Energy</t>
  </si>
  <si>
    <t>NVGS US EQUITY</t>
  </si>
  <si>
    <t>Navigator Holdin</t>
  </si>
  <si>
    <t>BCOV US EQUITY</t>
  </si>
  <si>
    <t>Brightcove</t>
  </si>
  <si>
    <t>CLAR US EQUITY</t>
  </si>
  <si>
    <t>Clarus Corp</t>
  </si>
  <si>
    <t>CATC US EQUITY</t>
  </si>
  <si>
    <t>Cambridge Bncrp</t>
  </si>
  <si>
    <t>XPEL US EQUITY</t>
  </si>
  <si>
    <t>Xpel Inc</t>
  </si>
  <si>
    <t>GWGH US EQUITY</t>
  </si>
  <si>
    <t>Gwg Holdings Inc</t>
  </si>
  <si>
    <t>EQBK US EQUITY</t>
  </si>
  <si>
    <t>Equity Bancsha-A</t>
  </si>
  <si>
    <t>MGTA US EQUITY</t>
  </si>
  <si>
    <t>Magenta Therapeu</t>
  </si>
  <si>
    <t>CCAP US EQUITY</t>
  </si>
  <si>
    <t>Crescent Capital</t>
  </si>
  <si>
    <t>HTBI US EQUITY</t>
  </si>
  <si>
    <t>Hometrust Bancsh</t>
  </si>
  <si>
    <t>CCNE US EQUITY</t>
  </si>
  <si>
    <t>Cnb Finl Corp/Pa</t>
  </si>
  <si>
    <t>FMAO US EQUITY</t>
  </si>
  <si>
    <t>Farmers &amp; Mer/Oh</t>
  </si>
  <si>
    <t>XLWH US EQUITY</t>
  </si>
  <si>
    <t>Xinliwang Intern</t>
  </si>
  <si>
    <t>PFIS US EQUITY</t>
  </si>
  <si>
    <t>Peoples Fin Svcs</t>
  </si>
  <si>
    <t>IIIN US EQUITY</t>
  </si>
  <si>
    <t>Insteel Inds</t>
  </si>
  <si>
    <t>ADMA US EQUITY</t>
  </si>
  <si>
    <t>Adma Biologics I</t>
  </si>
  <si>
    <t>REVG US EQUITY</t>
  </si>
  <si>
    <t>Rev Group Inc</t>
  </si>
  <si>
    <t>IMRA US EQUITY</t>
  </si>
  <si>
    <t>Imara Inc</t>
  </si>
  <si>
    <t>RIGL US EQUITY</t>
  </si>
  <si>
    <t>Rigel Pharmaceut</t>
  </si>
  <si>
    <t>CDMO US EQUITY</t>
  </si>
  <si>
    <t>Avid Bioservices</t>
  </si>
  <si>
    <t>NOG US EQUITY</t>
  </si>
  <si>
    <t>Northern Oil And</t>
  </si>
  <si>
    <t>BJRI US EQUITY</t>
  </si>
  <si>
    <t>Bj'S Restaurants</t>
  </si>
  <si>
    <t>DGII US EQUITY</t>
  </si>
  <si>
    <t>Digi Intl Inc</t>
  </si>
  <si>
    <t>FMCI US EQUITY</t>
  </si>
  <si>
    <t>Forum Merger Ii</t>
  </si>
  <si>
    <t>BSRR US EQUITY</t>
  </si>
  <si>
    <t>Sierra Bancorp</t>
  </si>
  <si>
    <t>SPPI US EQUITY</t>
  </si>
  <si>
    <t>Spectrum Pharmac</t>
  </si>
  <si>
    <t>WTBA US EQUITY</t>
  </si>
  <si>
    <t>West Bancorp</t>
  </si>
  <si>
    <t>BWB US EQUITY</t>
  </si>
  <si>
    <t>Bridgewater Banc</t>
  </si>
  <si>
    <t>ALRS US EQUITY</t>
  </si>
  <si>
    <t>Alerus Financial</t>
  </si>
  <si>
    <t>RRBI US EQUITY</t>
  </si>
  <si>
    <t>Red River Bancsh</t>
  </si>
  <si>
    <t>HMHC US EQUITY</t>
  </si>
  <si>
    <t>Houghton Mifflin</t>
  </si>
  <si>
    <t>VPG US EQUITY</t>
  </si>
  <si>
    <t>Vishay Preci</t>
  </si>
  <si>
    <t>PAYS US EQUITY</t>
  </si>
  <si>
    <t>Paysign Inc</t>
  </si>
  <si>
    <t>GCI US EQUITY</t>
  </si>
  <si>
    <t>Gannett Co Inc</t>
  </si>
  <si>
    <t>PBFS US EQUITY</t>
  </si>
  <si>
    <t>Pioneer Bancorp</t>
  </si>
  <si>
    <t>OPY US EQUITY</t>
  </si>
  <si>
    <t>Oppenheimer Ho-A</t>
  </si>
  <si>
    <t>OCUL US EQUITY</t>
  </si>
  <si>
    <t>Ocular Therapeut</t>
  </si>
  <si>
    <t>MOV US EQUITY</t>
  </si>
  <si>
    <t>Movado Group</t>
  </si>
  <si>
    <t>MOVAA US EQUITY</t>
  </si>
  <si>
    <t>Movado Group-A</t>
  </si>
  <si>
    <t>TRUE US EQUITY</t>
  </si>
  <si>
    <t>Truecar Inc</t>
  </si>
  <si>
    <t>HAYN US EQUITY</t>
  </si>
  <si>
    <t>Haynes Intl Inc</t>
  </si>
  <si>
    <t>SPWH US EQUITY</t>
  </si>
  <si>
    <t>Sportsman'S Ware</t>
  </si>
  <si>
    <t>FLGT US EQUITY</t>
  </si>
  <si>
    <t>Fulgent Genetics</t>
  </si>
  <si>
    <t>TPCO US EQUITY</t>
  </si>
  <si>
    <t>Tribune Publishi</t>
  </si>
  <si>
    <t>CCO US EQUITY</t>
  </si>
  <si>
    <t>Clear Channel Ou</t>
  </si>
  <si>
    <t>ZIXI US EQUITY</t>
  </si>
  <si>
    <t>Zix Corp</t>
  </si>
  <si>
    <t>NODK US EQUITY</t>
  </si>
  <si>
    <t>Ni Holdings Inc</t>
  </si>
  <si>
    <t>AMNB US EQUITY</t>
  </si>
  <si>
    <t>Amer Natl Bnkshs</t>
  </si>
  <si>
    <t>CAI US EQUITY</t>
  </si>
  <si>
    <t>Cai Internationa</t>
  </si>
  <si>
    <t>CZNC US EQUITY</t>
  </si>
  <si>
    <t>Citizens &amp; North</t>
  </si>
  <si>
    <t>SOI US EQUITY</t>
  </si>
  <si>
    <t>Solaris Oil In-A</t>
  </si>
  <si>
    <t>GNMK US EQUITY</t>
  </si>
  <si>
    <t>Genmark Diagnost</t>
  </si>
  <si>
    <t>ACBI US EQUITY</t>
  </si>
  <si>
    <t>Atlantic Capital</t>
  </si>
  <si>
    <t>LIND US EQUITY</t>
  </si>
  <si>
    <t>Lindblad Expedit</t>
  </si>
  <si>
    <t>ODC US EQUITY</t>
  </si>
  <si>
    <t>Oil Dri Corp</t>
  </si>
  <si>
    <t>TDW US EQUITY</t>
  </si>
  <si>
    <t>Tidewater Inc</t>
  </si>
  <si>
    <t>ASIX US EQUITY</t>
  </si>
  <si>
    <t>Advansix Inc</t>
  </si>
  <si>
    <t>TMDX US EQUITY</t>
  </si>
  <si>
    <t>Transmedics Grou</t>
  </si>
  <si>
    <t>STRL US EQUITY</t>
  </si>
  <si>
    <t>Sterling Constru</t>
  </si>
  <si>
    <t>ALBO US EQUITY</t>
  </si>
  <si>
    <t>Albireo Pharma I</t>
  </si>
  <si>
    <t>CRSA US EQUITY</t>
  </si>
  <si>
    <t>Crescent Acqui-A</t>
  </si>
  <si>
    <t>CARS US EQUITY</t>
  </si>
  <si>
    <t>Cars.Com Inc</t>
  </si>
  <si>
    <t>DO US EQUITY</t>
  </si>
  <si>
    <t>Diamond Offshore</t>
  </si>
  <si>
    <t>CRAI US EQUITY</t>
  </si>
  <si>
    <t>Cra Internationa</t>
  </si>
  <si>
    <t>PRED US EQUITY</t>
  </si>
  <si>
    <t>Predictive Techn</t>
  </si>
  <si>
    <t>OOMA US EQUITY</t>
  </si>
  <si>
    <t>Ooma Inc</t>
  </si>
  <si>
    <t>NERV US EQUITY</t>
  </si>
  <si>
    <t>Minerva Neurosci</t>
  </si>
  <si>
    <t>NCMI US EQUITY</t>
  </si>
  <si>
    <t>National Cinemed</t>
  </si>
  <si>
    <t>USCR US EQUITY</t>
  </si>
  <si>
    <t>Us Concrete Inc</t>
  </si>
  <si>
    <t>IVC US EQUITY</t>
  </si>
  <si>
    <t>Invacare Corp</t>
  </si>
  <si>
    <t>MCRB US EQUITY</t>
  </si>
  <si>
    <t>Seres Therapeuti</t>
  </si>
  <si>
    <t>ITIC US EQUITY</t>
  </si>
  <si>
    <t>Investors Title</t>
  </si>
  <si>
    <t>LACQ US EQUITY</t>
  </si>
  <si>
    <t>Leisure Acquisit</t>
  </si>
  <si>
    <t>NVEC US EQUITY</t>
  </si>
  <si>
    <t>Nve Corp</t>
  </si>
  <si>
    <t>LAWS US EQUITY</t>
  </si>
  <si>
    <t>Lawson Products</t>
  </si>
  <si>
    <t>ARA US EQUITY</t>
  </si>
  <si>
    <t>American Renal A</t>
  </si>
  <si>
    <t>KOP US EQUITY</t>
  </si>
  <si>
    <t>Koppers Holdings</t>
  </si>
  <si>
    <t>SMMC US EQUITY</t>
  </si>
  <si>
    <t>South Mountain-A</t>
  </si>
  <si>
    <t>MTRX US EQUITY</t>
  </si>
  <si>
    <t>Matrix Service</t>
  </si>
  <si>
    <t>PKOH US EQUITY</t>
  </si>
  <si>
    <t>Park Ohio Hldgs</t>
  </si>
  <si>
    <t>CIR US EQUITY</t>
  </si>
  <si>
    <t>Circor Intl</t>
  </si>
  <si>
    <t>ARCT US EQUITY</t>
  </si>
  <si>
    <t>Arcturus Therape</t>
  </si>
  <si>
    <t>PAR US EQUITY</t>
  </si>
  <si>
    <t>Par Technology</t>
  </si>
  <si>
    <t>CSWC US EQUITY</t>
  </si>
  <si>
    <t>Cap Southwest</t>
  </si>
  <si>
    <t>NEX US EQUITY</t>
  </si>
  <si>
    <t>Nextier Oilfield</t>
  </si>
  <si>
    <t>LATN US EQUITY</t>
  </si>
  <si>
    <t>Union Acquisitio</t>
  </si>
  <si>
    <t>RVRA US EQUITY</t>
  </si>
  <si>
    <t>Riviera Resource</t>
  </si>
  <si>
    <t>ATEC US EQUITY</t>
  </si>
  <si>
    <t>Alphatec Holding</t>
  </si>
  <si>
    <t>GTYH US EQUITY</t>
  </si>
  <si>
    <t>Gty Technology H</t>
  </si>
  <si>
    <t>AR US EQUITY</t>
  </si>
  <si>
    <t>Antero Resources</t>
  </si>
  <si>
    <t>CATS US EQUITY</t>
  </si>
  <si>
    <t>Catasys Inc</t>
  </si>
  <si>
    <t>LEGH US EQUITY</t>
  </si>
  <si>
    <t>Legacy Housing C</t>
  </si>
  <si>
    <t>AMOT US EQUITY</t>
  </si>
  <si>
    <t>Allied Motion Te</t>
  </si>
  <si>
    <t>PLYA US EQUITY</t>
  </si>
  <si>
    <t>Playa Hotels &amp; R</t>
  </si>
  <si>
    <t>SONA US EQUITY</t>
  </si>
  <si>
    <t>Southern Nationa</t>
  </si>
  <si>
    <t>GNTY US EQUITY</t>
  </si>
  <si>
    <t>Guaranty Bancshr</t>
  </si>
  <si>
    <t>TBNK US EQUITY</t>
  </si>
  <si>
    <t>Territorial Banc</t>
  </si>
  <si>
    <t>HVT/A US EQUITY</t>
  </si>
  <si>
    <t>Haverty Furn -A</t>
  </si>
  <si>
    <t>HVT US EQUITY</t>
  </si>
  <si>
    <t>Haverty Furnitur</t>
  </si>
  <si>
    <t>CAL US EQUITY</t>
  </si>
  <si>
    <t>Caleres Inc</t>
  </si>
  <si>
    <t>CARE US EQUITY</t>
  </si>
  <si>
    <t>Carter Bank &amp; Tr</t>
  </si>
  <si>
    <t>NATH US EQUITY</t>
  </si>
  <si>
    <t>Nathans Famous</t>
  </si>
  <si>
    <t>RGS US EQUITY</t>
  </si>
  <si>
    <t>Regis Corp</t>
  </si>
  <si>
    <t>PLPC US EQUITY</t>
  </si>
  <si>
    <t>Preformed Line</t>
  </si>
  <si>
    <t>GNK US EQUITY</t>
  </si>
  <si>
    <t>Genco Shipping &amp;</t>
  </si>
  <si>
    <t>CIVB US EQUITY</t>
  </si>
  <si>
    <t>Civista Bancshar</t>
  </si>
  <si>
    <t>CODX US EQUITY</t>
  </si>
  <si>
    <t>Co-Diagnostics I</t>
  </si>
  <si>
    <t>PCYO US EQUITY</t>
  </si>
  <si>
    <t>Pure Cycle Corp</t>
  </si>
  <si>
    <t>PCSB US EQUITY</t>
  </si>
  <si>
    <t>Pcsb Financial C</t>
  </si>
  <si>
    <t>MCBC US EQUITY</t>
  </si>
  <si>
    <t>Macatawa Bank</t>
  </si>
  <si>
    <t>EZPW US EQUITY</t>
  </si>
  <si>
    <t>Ezcorp Inc-A</t>
  </si>
  <si>
    <t>CPE US EQUITY</t>
  </si>
  <si>
    <t>Callon Petroleum</t>
  </si>
  <si>
    <t>EVFM US EQUITY</t>
  </si>
  <si>
    <t>Evofem Bioscienc</t>
  </si>
  <si>
    <t>MFSF US EQUITY</t>
  </si>
  <si>
    <t>Mutualfirst Fin</t>
  </si>
  <si>
    <t>MPAA US EQUITY</t>
  </si>
  <si>
    <t>Motorcar Parts</t>
  </si>
  <si>
    <t>PUMP US EQUITY</t>
  </si>
  <si>
    <t>Propetro Holding</t>
  </si>
  <si>
    <t>LMNR US EQUITY</t>
  </si>
  <si>
    <t>Limoneira Co</t>
  </si>
  <si>
    <t>RMG US EQUITY</t>
  </si>
  <si>
    <t>Rmg Acquisition</t>
  </si>
  <si>
    <t>SPKE US EQUITY</t>
  </si>
  <si>
    <t>Spark Energy-A</t>
  </si>
  <si>
    <t>SHLL US EQUITY</t>
  </si>
  <si>
    <t>Tortoise Acqui-A</t>
  </si>
  <si>
    <t>LNDC US EQUITY</t>
  </si>
  <si>
    <t>Landec Corp</t>
  </si>
  <si>
    <t>WLDN US EQUITY</t>
  </si>
  <si>
    <t>Willdan Group In</t>
  </si>
  <si>
    <t>CCRN US EQUITY</t>
  </si>
  <si>
    <t>Cross Country He</t>
  </si>
  <si>
    <t>NDLS US EQUITY</t>
  </si>
  <si>
    <t>Noodles &amp; Co</t>
  </si>
  <si>
    <t>PKE US EQUITY</t>
  </si>
  <si>
    <t>Park Aerospace C</t>
  </si>
  <si>
    <t>PIC US EQUITY</t>
  </si>
  <si>
    <t>Pivotal Investme</t>
  </si>
  <si>
    <t>NRBO US EQUITY</t>
  </si>
  <si>
    <t>Neurobo Pharmace</t>
  </si>
  <si>
    <t>DXPE US EQUITY</t>
  </si>
  <si>
    <t>Dxp Enterprises</t>
  </si>
  <si>
    <t>SMMF US EQUITY</t>
  </si>
  <si>
    <t>Summit Finl Grp</t>
  </si>
  <si>
    <t>STRO US EQUITY</t>
  </si>
  <si>
    <t>Sutro Biopharma</t>
  </si>
  <si>
    <t>NPA US EQUITY</t>
  </si>
  <si>
    <t>New Providence-A</t>
  </si>
  <si>
    <t>BZH US EQUITY</t>
  </si>
  <si>
    <t>Beazer Homes Usa</t>
  </si>
  <si>
    <t>MNKD US EQUITY</t>
  </si>
  <si>
    <t>Mannkind Corp</t>
  </si>
  <si>
    <t>GRTX US EQUITY</t>
  </si>
  <si>
    <t>Galera Therapeut</t>
  </si>
  <si>
    <t>PSNL US EQUITY</t>
  </si>
  <si>
    <t>Personalis Inc</t>
  </si>
  <si>
    <t>ETM US EQUITY</t>
  </si>
  <si>
    <t>Entercom Comm-A</t>
  </si>
  <si>
    <t>AMCI US EQUITY</t>
  </si>
  <si>
    <t>Amci Acquisiti-A</t>
  </si>
  <si>
    <t>MNCL US EQUITY</t>
  </si>
  <si>
    <t>Monocle Acquisit</t>
  </si>
  <si>
    <t>IRMD US EQUITY</t>
  </si>
  <si>
    <t>Iradimed Corp</t>
  </si>
  <si>
    <t>MCB US EQUITY</t>
  </si>
  <si>
    <t>Metropolitan Ban</t>
  </si>
  <si>
    <t>SPFI US EQUITY</t>
  </si>
  <si>
    <t>South Plains Fin</t>
  </si>
  <si>
    <t>SMBC US EQUITY</t>
  </si>
  <si>
    <t>Southern Missour</t>
  </si>
  <si>
    <t>STML US EQUITY</t>
  </si>
  <si>
    <t>Stemline Therape</t>
  </si>
  <si>
    <t>CABA US EQUITY</t>
  </si>
  <si>
    <t>Cabaletta Bio In</t>
  </si>
  <si>
    <t>SMBK US EQUITY</t>
  </si>
  <si>
    <t>Smartfinancial I</t>
  </si>
  <si>
    <t>GIX US EQUITY</t>
  </si>
  <si>
    <t>Gigcapital2 Inc</t>
  </si>
  <si>
    <t>GWRS US EQUITY</t>
  </si>
  <si>
    <t>Global Water Res</t>
  </si>
  <si>
    <t>WTI US EQUITY</t>
  </si>
  <si>
    <t>W&amp;T Offshore Inc</t>
  </si>
  <si>
    <t>SPNE US EQUITY</t>
  </si>
  <si>
    <t>Seaspine Hold</t>
  </si>
  <si>
    <t>SYRS US EQUITY</t>
  </si>
  <si>
    <t>Syros Pharmaceut</t>
  </si>
  <si>
    <t>MFAC US EQUITY</t>
  </si>
  <si>
    <t>Megalith Finan-A</t>
  </si>
  <si>
    <t>MLP US EQUITY</t>
  </si>
  <si>
    <t>Maui Land &amp; Pine</t>
  </si>
  <si>
    <t>EGAN US EQUITY</t>
  </si>
  <si>
    <t>Egain Corp</t>
  </si>
  <si>
    <t>FNLC US EQUITY</t>
  </si>
  <si>
    <t>First Bancorp/Me</t>
  </si>
  <si>
    <t>PFLT US EQUITY</t>
  </si>
  <si>
    <t>Pennantpark Floa</t>
  </si>
  <si>
    <t>GERN US EQUITY</t>
  </si>
  <si>
    <t>Geron Corp</t>
  </si>
  <si>
    <t>CURO US EQUITY</t>
  </si>
  <si>
    <t>Curo Group Holdi</t>
  </si>
  <si>
    <t>MJCO US EQUITY</t>
  </si>
  <si>
    <t>Majesco</t>
  </si>
  <si>
    <t>VERU US EQUITY</t>
  </si>
  <si>
    <t>Veru Inc</t>
  </si>
  <si>
    <t>PKIN US EQUITY</t>
  </si>
  <si>
    <t>Pekin Life Insur</t>
  </si>
  <si>
    <t>SRAC US EQUITY</t>
  </si>
  <si>
    <t>Stable Road Ac-A</t>
  </si>
  <si>
    <t>SIEB US EQUITY</t>
  </si>
  <si>
    <t>Siebert Finl</t>
  </si>
  <si>
    <t>SMLR US EQUITY</t>
  </si>
  <si>
    <t>Semler Scientifi</t>
  </si>
  <si>
    <t>THCA US EQUITY</t>
  </si>
  <si>
    <t>CTSO US EQUITY</t>
  </si>
  <si>
    <t>Cytosorbents Cor</t>
  </si>
  <si>
    <t>IPV US EQUITY</t>
  </si>
  <si>
    <t>Interprivate Acq</t>
  </si>
  <si>
    <t>KRA US EQUITY</t>
  </si>
  <si>
    <t>Kraton Corp</t>
  </si>
  <si>
    <t>FRG US EQUITY</t>
  </si>
  <si>
    <t>Franchise Group</t>
  </si>
  <si>
    <t>RGCO US EQUITY</t>
  </si>
  <si>
    <t>Rgc Resources</t>
  </si>
  <si>
    <t>FIZN US EQUITY</t>
  </si>
  <si>
    <t>First Citiz Bcsh</t>
  </si>
  <si>
    <t>NWPX US EQUITY</t>
  </si>
  <si>
    <t>Northwest Pipe</t>
  </si>
  <si>
    <t>HBCP US EQUITY</t>
  </si>
  <si>
    <t>Home Bancorp Inc</t>
  </si>
  <si>
    <t>OSBC US EQUITY</t>
  </si>
  <si>
    <t>Old Second Bncrp</t>
  </si>
  <si>
    <t>TELL US EQUITY</t>
  </si>
  <si>
    <t>Tellurian Inc</t>
  </si>
  <si>
    <t>TNAV US EQUITY</t>
  </si>
  <si>
    <t>Telenav Inc</t>
  </si>
  <si>
    <t>UFI US EQUITY</t>
  </si>
  <si>
    <t>Unifi Inc</t>
  </si>
  <si>
    <t>GCAP US EQUITY</t>
  </si>
  <si>
    <t>Gain Capital Hol</t>
  </si>
  <si>
    <t>CHS US EQUITY</t>
  </si>
  <si>
    <t>Chico'S Fas Inc</t>
  </si>
  <si>
    <t>NEXT US EQUITY</t>
  </si>
  <si>
    <t>Nextdecade Corp</t>
  </si>
  <si>
    <t>FC US EQUITY</t>
  </si>
  <si>
    <t>Franklin Covey</t>
  </si>
  <si>
    <t>INSU US EQUITY</t>
  </si>
  <si>
    <t>Insurance Acq-A</t>
  </si>
  <si>
    <t>BCEI US EQUITY</t>
  </si>
  <si>
    <t>Bonanza Creek En</t>
  </si>
  <si>
    <t>RUTH US EQUITY</t>
  </si>
  <si>
    <t>Ruth'S Hospitali</t>
  </si>
  <si>
    <t>FNKO US EQUITY</t>
  </si>
  <si>
    <t>Funko Inc-Cl A</t>
  </si>
  <si>
    <t>RDVT US EQUITY</t>
  </si>
  <si>
    <t>Red Violet Inc</t>
  </si>
  <si>
    <t>CSHX US EQUITY</t>
  </si>
  <si>
    <t>Cashmere Valley</t>
  </si>
  <si>
    <t>CASI US EQUITY</t>
  </si>
  <si>
    <t>Casi Pharmaceuti</t>
  </si>
  <si>
    <t>ADRO US EQUITY</t>
  </si>
  <si>
    <t>Aduro Biotech In</t>
  </si>
  <si>
    <t>EXSR US EQUITY</t>
  </si>
  <si>
    <t>Exchange Bk/Cal</t>
  </si>
  <si>
    <t>MCCK US EQUITY</t>
  </si>
  <si>
    <t>Mestek Inc</t>
  </si>
  <si>
    <t>ATCN US EQUITY</t>
  </si>
  <si>
    <t>Atec Inc</t>
  </si>
  <si>
    <t>TPVG US EQUITY</t>
  </si>
  <si>
    <t>Triplepoint Vent</t>
  </si>
  <si>
    <t>SFST US EQUITY</t>
  </si>
  <si>
    <t>Southern First</t>
  </si>
  <si>
    <t>AIXN US EQUITY</t>
  </si>
  <si>
    <t>Aixin Life Inter</t>
  </si>
  <si>
    <t>AMAG US EQUITY</t>
  </si>
  <si>
    <t>Amag Pharmaceuti</t>
  </si>
  <si>
    <t>ALCO US EQUITY</t>
  </si>
  <si>
    <t>Alico Inc</t>
  </si>
  <si>
    <t>HOOK US EQUITY</t>
  </si>
  <si>
    <t>Hookipa Pharma I</t>
  </si>
  <si>
    <t>TITN US EQUITY</t>
  </si>
  <si>
    <t>Titan Machinery</t>
  </si>
  <si>
    <t>GRTS US EQUITY</t>
  </si>
  <si>
    <t>Gritstone Oncolo</t>
  </si>
  <si>
    <t>FBNK US EQUITY</t>
  </si>
  <si>
    <t>Facebank Group I</t>
  </si>
  <si>
    <t>VSEC US EQUITY</t>
  </si>
  <si>
    <t>Vse Corp</t>
  </si>
  <si>
    <t>WEYS US EQUITY</t>
  </si>
  <si>
    <t>Weyco Group</t>
  </si>
  <si>
    <t>HBMD US EQUITY</t>
  </si>
  <si>
    <t>Howard Bancorp I</t>
  </si>
  <si>
    <t>OSMT US EQUITY</t>
  </si>
  <si>
    <t>Osmotica Pharmac</t>
  </si>
  <si>
    <t>LFAC US EQUITY</t>
  </si>
  <si>
    <t>Lf Capital Acq-A</t>
  </si>
  <si>
    <t>LE US EQUITY</t>
  </si>
  <si>
    <t>Lands' End Inc</t>
  </si>
  <si>
    <t>GFN US EQUITY</t>
  </si>
  <si>
    <t>General Finance</t>
  </si>
  <si>
    <t>GCBC US EQUITY</t>
  </si>
  <si>
    <t>Greene County</t>
  </si>
  <si>
    <t>TH US EQUITY</t>
  </si>
  <si>
    <t>Target Hospitali</t>
  </si>
  <si>
    <t>SPOK US EQUITY</t>
  </si>
  <si>
    <t>Spok Holdings In</t>
  </si>
  <si>
    <t>HZO US EQUITY</t>
  </si>
  <si>
    <t>Marinemax Inc</t>
  </si>
  <si>
    <t>GCO US EQUITY</t>
  </si>
  <si>
    <t>Genesco Inc</t>
  </si>
  <si>
    <t>DAKT US EQUITY</t>
  </si>
  <si>
    <t>Daktronics Inc</t>
  </si>
  <si>
    <t>OAC US EQUITY</t>
  </si>
  <si>
    <t>Oaktree Acquis-A</t>
  </si>
  <si>
    <t>NKSH US EQUITY</t>
  </si>
  <si>
    <t>Natl Bkshs Inc</t>
  </si>
  <si>
    <t>HOFT US EQUITY</t>
  </si>
  <si>
    <t>Hooker Furniture</t>
  </si>
  <si>
    <t>SBT US EQUITY</t>
  </si>
  <si>
    <t>CTO US EQUITY</t>
  </si>
  <si>
    <t>Cons Tomoka Land</t>
  </si>
  <si>
    <t>GLBD US EQUITY</t>
  </si>
  <si>
    <t>Global Seed Corp</t>
  </si>
  <si>
    <t>AKTS US EQUITY</t>
  </si>
  <si>
    <t>Akoustis Technol</t>
  </si>
  <si>
    <t>GLAD US EQUITY</t>
  </si>
  <si>
    <t>Gladstone Cap Co</t>
  </si>
  <si>
    <t>LXRX US EQUITY</t>
  </si>
  <si>
    <t>Lexicon Pharmace</t>
  </si>
  <si>
    <t>BLFS US EQUITY</t>
  </si>
  <si>
    <t>Biolife Solution</t>
  </si>
  <si>
    <t>RYI US EQUITY</t>
  </si>
  <si>
    <t>Ryerson Holding</t>
  </si>
  <si>
    <t>MCEM US EQUITY</t>
  </si>
  <si>
    <t>Monarch Cement</t>
  </si>
  <si>
    <t>STXS US EQUITY</t>
  </si>
  <si>
    <t>Stereotaxis Inc</t>
  </si>
  <si>
    <t>FOSI US EQUITY</t>
  </si>
  <si>
    <t>Frontier Oilfiel</t>
  </si>
  <si>
    <t>GHL US EQUITY</t>
  </si>
  <si>
    <t>Greenhill &amp; Co</t>
  </si>
  <si>
    <t>FCAP US EQUITY</t>
  </si>
  <si>
    <t>First Capital</t>
  </si>
  <si>
    <t>FCUV US EQUITY</t>
  </si>
  <si>
    <t>Focus Universal</t>
  </si>
  <si>
    <t>EVI US EQUITY</t>
  </si>
  <si>
    <t>Evi Industries I</t>
  </si>
  <si>
    <t>MNK US EQUITY</t>
  </si>
  <si>
    <t>Mallinckrodt</t>
  </si>
  <si>
    <t>ARYA US EQUITY</t>
  </si>
  <si>
    <t>Arya Sciences-A</t>
  </si>
  <si>
    <t>TRNS US EQUITY</t>
  </si>
  <si>
    <t>Transcat Inc</t>
  </si>
  <si>
    <t>ICAD US EQUITY</t>
  </si>
  <si>
    <t>Icad Inc</t>
  </si>
  <si>
    <t>NC US EQUITY</t>
  </si>
  <si>
    <t>Nacco Inds-Cl A</t>
  </si>
  <si>
    <t>PDLB US EQUITY</t>
  </si>
  <si>
    <t>Pdl Community Ba</t>
  </si>
  <si>
    <t>PNNT US EQUITY</t>
  </si>
  <si>
    <t>Pennantpark Inve</t>
  </si>
  <si>
    <t>SAQN US EQUITY</t>
  </si>
  <si>
    <t>Software Acqui-A</t>
  </si>
  <si>
    <t>OSTK US EQUITY</t>
  </si>
  <si>
    <t>Overstock.Com</t>
  </si>
  <si>
    <t>XOMA US EQUITY</t>
  </si>
  <si>
    <t>Xoma Corp</t>
  </si>
  <si>
    <t>ECOM US EQUITY</t>
  </si>
  <si>
    <t>Channeladvisor C</t>
  </si>
  <si>
    <t>GDEN US EQUITY</t>
  </si>
  <si>
    <t>Golden Entertain</t>
  </si>
  <si>
    <t>FNBT US EQUITY</t>
  </si>
  <si>
    <t>Finemark Holding</t>
  </si>
  <si>
    <t>ALTM US EQUITY</t>
  </si>
  <si>
    <t>Altus Midstrea-A</t>
  </si>
  <si>
    <t>ATLO US EQUITY</t>
  </si>
  <si>
    <t>Ames Natl Corp</t>
  </si>
  <si>
    <t>KLDO US EQUITY</t>
  </si>
  <si>
    <t>Kaleido Bioscien</t>
  </si>
  <si>
    <t>OPTN US EQUITY</t>
  </si>
  <si>
    <t>Optinose Inc</t>
  </si>
  <si>
    <t>RFL US EQUITY</t>
  </si>
  <si>
    <t>Rafael Holding-B</t>
  </si>
  <si>
    <t>SELB US EQUITY</t>
  </si>
  <si>
    <t>Selecta Bioscien</t>
  </si>
  <si>
    <t>PTVCB US EQUITY</t>
  </si>
  <si>
    <t>Protective Ins-B</t>
  </si>
  <si>
    <t>PTVCA US EQUITY</t>
  </si>
  <si>
    <t>Protective Ins-A</t>
  </si>
  <si>
    <t>HIBB US EQUITY</t>
  </si>
  <si>
    <t>Hibbett Sports I</t>
  </si>
  <si>
    <t>FDUS US EQUITY</t>
  </si>
  <si>
    <t>Fidus Investment</t>
  </si>
  <si>
    <t>FFMH US EQUITY</t>
  </si>
  <si>
    <t>First Farmers &amp;</t>
  </si>
  <si>
    <t>CUTR US EQUITY</t>
  </si>
  <si>
    <t>Cutera Inc</t>
  </si>
  <si>
    <t>GNE US EQUITY</t>
  </si>
  <si>
    <t>Genie Energy-B</t>
  </si>
  <si>
    <t>ACNB US EQUITY</t>
  </si>
  <si>
    <t>Acnb Corp</t>
  </si>
  <si>
    <t>DFIN US EQUITY</t>
  </si>
  <si>
    <t>Donnelley Financ</t>
  </si>
  <si>
    <t>OSG US EQUITY</t>
  </si>
  <si>
    <t>Overseas Ship -A</t>
  </si>
  <si>
    <t>NBR US EQUITY</t>
  </si>
  <si>
    <t>Nabors Inds Ltd</t>
  </si>
  <si>
    <t>BFST US EQUITY</t>
  </si>
  <si>
    <t>Business First B</t>
  </si>
  <si>
    <t>NWFL US EQUITY</t>
  </si>
  <si>
    <t>Norwood Finl</t>
  </si>
  <si>
    <t>EEX US EQUITY</t>
  </si>
  <si>
    <t>Emerald Holding</t>
  </si>
  <si>
    <t>CVTI US EQUITY</t>
  </si>
  <si>
    <t>Covenant Trans-A</t>
  </si>
  <si>
    <t>SCOR US EQUITY</t>
  </si>
  <si>
    <t>Comscore Inc</t>
  </si>
  <si>
    <t>BBCP US EQUITY</t>
  </si>
  <si>
    <t>Concrete Pumping</t>
  </si>
  <si>
    <t>RLGT US EQUITY</t>
  </si>
  <si>
    <t>Radiant Logistic</t>
  </si>
  <si>
    <t>NH US EQUITY</t>
  </si>
  <si>
    <t>Nanthealth Inc</t>
  </si>
  <si>
    <t>GORO US EQUITY</t>
  </si>
  <si>
    <t>Gold Resource Co</t>
  </si>
  <si>
    <t>CHUY US EQUITY</t>
  </si>
  <si>
    <t>Chuy'S Holdings</t>
  </si>
  <si>
    <t>CIX US EQUITY</t>
  </si>
  <si>
    <t>Compx Intl Inc</t>
  </si>
  <si>
    <t>NGVC US EQUITY</t>
  </si>
  <si>
    <t>Natural Grocers</t>
  </si>
  <si>
    <t>FLDM US EQUITY</t>
  </si>
  <si>
    <t>Fluidigm Corp</t>
  </si>
  <si>
    <t>LUNA US EQUITY</t>
  </si>
  <si>
    <t>Luna Innovations</t>
  </si>
  <si>
    <t>FLMN US EQUITY</t>
  </si>
  <si>
    <t>Falcon Minerals</t>
  </si>
  <si>
    <t>TCI US EQUITY</t>
  </si>
  <si>
    <t>Transcontl Realt</t>
  </si>
  <si>
    <t>GOGO US EQUITY</t>
  </si>
  <si>
    <t>Gogo Inc</t>
  </si>
  <si>
    <t>CDXC US EQUITY</t>
  </si>
  <si>
    <t>Chromadex Corp</t>
  </si>
  <si>
    <t>STXB US EQUITY</t>
  </si>
  <si>
    <t>Spirit Of Texas</t>
  </si>
  <si>
    <t>TIPT US EQUITY</t>
  </si>
  <si>
    <t>Tiptree Inc</t>
  </si>
  <si>
    <t>FDBC US EQUITY</t>
  </si>
  <si>
    <t>Fidelity D&amp;D Ban</t>
  </si>
  <si>
    <t>HURC US EQUITY</t>
  </si>
  <si>
    <t>Hurco Companies</t>
  </si>
  <si>
    <t>BRID US EQUITY</t>
  </si>
  <si>
    <t>Bridgford Foods</t>
  </si>
  <si>
    <t>COFS US EQUITY</t>
  </si>
  <si>
    <t>Schoiceone Finl</t>
  </si>
  <si>
    <t>PKBK US EQUITY</t>
  </si>
  <si>
    <t>Parke Bancorp</t>
  </si>
  <si>
    <t>ORBC US EQUITY</t>
  </si>
  <si>
    <t>Orbcomm Inc</t>
  </si>
  <si>
    <t>TISI US EQUITY</t>
  </si>
  <si>
    <t>Team Inc</t>
  </si>
  <si>
    <t>BCBP US EQUITY</t>
  </si>
  <si>
    <t>Bcb Bancorp Inc</t>
  </si>
  <si>
    <t>MNLO US EQUITY</t>
  </si>
  <si>
    <t>Menlo Therapeuti</t>
  </si>
  <si>
    <t>PTGX US EQUITY</t>
  </si>
  <si>
    <t>Protagonist Ther</t>
  </si>
  <si>
    <t>BRY US EQUITY</t>
  </si>
  <si>
    <t>Berry Corp</t>
  </si>
  <si>
    <t>KZR US EQUITY</t>
  </si>
  <si>
    <t>Kezar Life Scien</t>
  </si>
  <si>
    <t>NSCO US EQUITY</t>
  </si>
  <si>
    <t>Nesco Holdings I</t>
  </si>
  <si>
    <t>AGRX US EQUITY</t>
  </si>
  <si>
    <t>Agile Therapeuti</t>
  </si>
  <si>
    <t>MOD US EQUITY</t>
  </si>
  <si>
    <t>Modine Mfg Co</t>
  </si>
  <si>
    <t>HONT US EQUITY</t>
  </si>
  <si>
    <t>Honat Bancorp</t>
  </si>
  <si>
    <t>PTSI US EQUITY</t>
  </si>
  <si>
    <t>Pam Transport</t>
  </si>
  <si>
    <t>UTI US EQUITY</t>
  </si>
  <si>
    <t>Universal Techni</t>
  </si>
  <si>
    <t>NORSB US EQUITY</t>
  </si>
  <si>
    <t>North St Telec-B</t>
  </si>
  <si>
    <t>NORSA US EQUITY</t>
  </si>
  <si>
    <t>North St Telec-A</t>
  </si>
  <si>
    <t>ISEE US EQUITY</t>
  </si>
  <si>
    <t>Iveric Bio Inc</t>
  </si>
  <si>
    <t>ABEO US EQUITY</t>
  </si>
  <si>
    <t>Abeona Therapeut</t>
  </si>
  <si>
    <t>PHGE US EQUITY</t>
  </si>
  <si>
    <t>Biomx Inc</t>
  </si>
  <si>
    <t>GPRE US EQUITY</t>
  </si>
  <si>
    <t>Green Plains Inc</t>
  </si>
  <si>
    <t>FOSL US EQUITY</t>
  </si>
  <si>
    <t>Fossil Group Inc</t>
  </si>
  <si>
    <t>EIGR US EQUITY</t>
  </si>
  <si>
    <t>Eiger Biopharmac</t>
  </si>
  <si>
    <t>AVXL US EQUITY</t>
  </si>
  <si>
    <t>Anavex Life Scie</t>
  </si>
  <si>
    <t>RRTS US EQUITY</t>
  </si>
  <si>
    <t>Roadrunner Trans</t>
  </si>
  <si>
    <t>BKCC US EQUITY</t>
  </si>
  <si>
    <t>Blackrock Capita</t>
  </si>
  <si>
    <t>WNRP US EQUITY</t>
  </si>
  <si>
    <t>West Subn Bancrp</t>
  </si>
  <si>
    <t>EXTN US EQUITY</t>
  </si>
  <si>
    <t>Exterran Corp</t>
  </si>
  <si>
    <t>INFU US EQUITY</t>
  </si>
  <si>
    <t>Infusystem Hold</t>
  </si>
  <si>
    <t>AOSL US EQUITY</t>
  </si>
  <si>
    <t>Alpha &amp; Omega Se</t>
  </si>
  <si>
    <t>PVBC US EQUITY</t>
  </si>
  <si>
    <t>Provident Bancor</t>
  </si>
  <si>
    <t>SDI US EQUITY</t>
  </si>
  <si>
    <t>Standard Diversi</t>
  </si>
  <si>
    <t>SDOIB US EQUITY</t>
  </si>
  <si>
    <t>Standard Op-B</t>
  </si>
  <si>
    <t>QUAD US EQUITY</t>
  </si>
  <si>
    <t>Quad Graphics In</t>
  </si>
  <si>
    <t>CPS US EQUITY</t>
  </si>
  <si>
    <t>Cooper-Standard</t>
  </si>
  <si>
    <t>BH US EQUITY</t>
  </si>
  <si>
    <t>Biglari Holdin-B</t>
  </si>
  <si>
    <t>BH/A US EQUITY</t>
  </si>
  <si>
    <t>Nbhsa Inc - A</t>
  </si>
  <si>
    <t>CSTR US EQUITY</t>
  </si>
  <si>
    <t>Capstar Financia</t>
  </si>
  <si>
    <t>OILY US EQUITY</t>
  </si>
  <si>
    <t>Sino American Oi</t>
  </si>
  <si>
    <t>PTAC US EQUITY</t>
  </si>
  <si>
    <t>Proptech Acqui-A</t>
  </si>
  <si>
    <t>SMSI US EQUITY</t>
  </si>
  <si>
    <t>Smith Micro Soft</t>
  </si>
  <si>
    <t>CECE US EQUITY</t>
  </si>
  <si>
    <t>Ceco Environmntl</t>
  </si>
  <si>
    <t>SCTY US EQUITY</t>
  </si>
  <si>
    <t>Monitronics Intl</t>
  </si>
  <si>
    <t>MPB US EQUITY</t>
  </si>
  <si>
    <t>Mid Penn Bancorp</t>
  </si>
  <si>
    <t>GRWG US EQUITY</t>
  </si>
  <si>
    <t>Growgeneration C</t>
  </si>
  <si>
    <t>ASPU US EQUITY</t>
  </si>
  <si>
    <t>Aspen Group Inc</t>
  </si>
  <si>
    <t>WNEB US EQUITY</t>
  </si>
  <si>
    <t>Western New Engl</t>
  </si>
  <si>
    <t>CAMP US EQUITY</t>
  </si>
  <si>
    <t>Calamp Corp</t>
  </si>
  <si>
    <t>XGN US EQUITY</t>
  </si>
  <si>
    <t>Exagen Inc</t>
  </si>
  <si>
    <t>AYTU US EQUITY</t>
  </si>
  <si>
    <t>Aytu Bioscience</t>
  </si>
  <si>
    <t>SI US EQUITY</t>
  </si>
  <si>
    <t>Silvergate Cap-A</t>
  </si>
  <si>
    <t>EVC US EQUITY</t>
  </si>
  <si>
    <t>Entravision Co-A</t>
  </si>
  <si>
    <t>LCNB US EQUITY</t>
  </si>
  <si>
    <t>Lcnb Corporation</t>
  </si>
  <si>
    <t>FVCB US EQUITY</t>
  </si>
  <si>
    <t>Fvcbankcorp Inc</t>
  </si>
  <si>
    <t>SAMA US EQUITY</t>
  </si>
  <si>
    <t>Schultze Special</t>
  </si>
  <si>
    <t>MCF US EQUITY</t>
  </si>
  <si>
    <t>Contango Oil &amp; G</t>
  </si>
  <si>
    <t>TGRF US EQUITY</t>
  </si>
  <si>
    <t>Tgr Financial In</t>
  </si>
  <si>
    <t>GSIT US EQUITY</t>
  </si>
  <si>
    <t>Gsi Technology</t>
  </si>
  <si>
    <t>TSBK US EQUITY</t>
  </si>
  <si>
    <t>Timberland Bancp</t>
  </si>
  <si>
    <t>PFBI US EQUITY</t>
  </si>
  <si>
    <t>Premier Fin Banc</t>
  </si>
  <si>
    <t>WHF US EQUITY</t>
  </si>
  <si>
    <t>Whitehorse Finan</t>
  </si>
  <si>
    <t>CBNK US EQUITY</t>
  </si>
  <si>
    <t>Capital Bancorp</t>
  </si>
  <si>
    <t>NRIM US EQUITY</t>
  </si>
  <si>
    <t>Northrim Bancorp</t>
  </si>
  <si>
    <t>GRIF US EQUITY</t>
  </si>
  <si>
    <t>Griffin Industri</t>
  </si>
  <si>
    <t>TCRR US EQUITY</t>
  </si>
  <si>
    <t>Tcr2 Therapeutic</t>
  </si>
  <si>
    <t>CZFS US EQUITY</t>
  </si>
  <si>
    <t>Citizens Finl Sv</t>
  </si>
  <si>
    <t>DMTK US EQUITY</t>
  </si>
  <si>
    <t>Dermtech Inc</t>
  </si>
  <si>
    <t>KVHI US EQUITY</t>
  </si>
  <si>
    <t>Kvh Industries</t>
  </si>
  <si>
    <t>IMMR US EQUITY</t>
  </si>
  <si>
    <t>Immersion Corp</t>
  </si>
  <si>
    <t>USX US EQUITY</t>
  </si>
  <si>
    <t>Us Xpress Ente-A</t>
  </si>
  <si>
    <t>SGA US EQUITY</t>
  </si>
  <si>
    <t>Saga Comm-Cl A</t>
  </si>
  <si>
    <t>FCBP US EQUITY</t>
  </si>
  <si>
    <t>First Choice Ban</t>
  </si>
  <si>
    <t>MCMJ US EQUITY</t>
  </si>
  <si>
    <t>Merida Merger Co</t>
  </si>
  <si>
    <t>JNCE US EQUITY</t>
  </si>
  <si>
    <t>Jounce Therapeut</t>
  </si>
  <si>
    <t>WHG US EQUITY</t>
  </si>
  <si>
    <t>Westwood Holding</t>
  </si>
  <si>
    <t>SCPH US EQUITY</t>
  </si>
  <si>
    <t>Scpharmaceutical</t>
  </si>
  <si>
    <t>KIN US EQUITY</t>
  </si>
  <si>
    <t>Kindred Bioscien</t>
  </si>
  <si>
    <t>RM US EQUITY</t>
  </si>
  <si>
    <t>Regional Managem</t>
  </si>
  <si>
    <t>BBXTB US EQUITY</t>
  </si>
  <si>
    <t>Bfc Financial-B</t>
  </si>
  <si>
    <t>BBX US EQUITY</t>
  </si>
  <si>
    <t>Bbx Capital Corp</t>
  </si>
  <si>
    <t>MSON US EQUITY</t>
  </si>
  <si>
    <t>Misonix Inc</t>
  </si>
  <si>
    <t>DMRC US EQUITY</t>
  </si>
  <si>
    <t>Digimarc Corp</t>
  </si>
  <si>
    <t>ATLC US EQUITY</t>
  </si>
  <si>
    <t>Atlanticus Holdi</t>
  </si>
  <si>
    <t>IDEX US EQUITY</t>
  </si>
  <si>
    <t>Ideanomics Inc</t>
  </si>
  <si>
    <t>CSPR US EQUITY</t>
  </si>
  <si>
    <t>Casper Sleep Inc</t>
  </si>
  <si>
    <t>ASPN US EQUITY</t>
  </si>
  <si>
    <t>Aspen Aerogels I</t>
  </si>
  <si>
    <t>SCM US EQUITY</t>
  </si>
  <si>
    <t>Stellus Capital</t>
  </si>
  <si>
    <t>OCSI US EQUITY</t>
  </si>
  <si>
    <t>Oaktree Strategi</t>
  </si>
  <si>
    <t>OVID US EQUITY</t>
  </si>
  <si>
    <t>Ovid Therapeutic</t>
  </si>
  <si>
    <t>HRZN US EQUITY</t>
  </si>
  <si>
    <t>Horizon Technolo</t>
  </si>
  <si>
    <t>SPRO US EQUITY</t>
  </si>
  <si>
    <t>Spero Therapeuti</t>
  </si>
  <si>
    <t>SUNS US EQUITY</t>
  </si>
  <si>
    <t>Solar Senior Cap</t>
  </si>
  <si>
    <t>SRT US EQUITY</t>
  </si>
  <si>
    <t>Startek Inc</t>
  </si>
  <si>
    <t>VRTV US EQUITY</t>
  </si>
  <si>
    <t>Veritiv Corp</t>
  </si>
  <si>
    <t>TCS US EQUITY</t>
  </si>
  <si>
    <t>Container Store</t>
  </si>
  <si>
    <t>MRNS US EQUITY</t>
  </si>
  <si>
    <t>Marinus Pharmace</t>
  </si>
  <si>
    <t>GLLXD US EQUITY</t>
  </si>
  <si>
    <t>Omnia Wellness I</t>
  </si>
  <si>
    <t>AMBZ US EQUITY</t>
  </si>
  <si>
    <t>American Busines</t>
  </si>
  <si>
    <t>INBK US EQUITY</t>
  </si>
  <si>
    <t>First Internet B</t>
  </si>
  <si>
    <t>ALGR US EQUITY</t>
  </si>
  <si>
    <t>Allegro Merger C</t>
  </si>
  <si>
    <t>VBIV US EQUITY</t>
  </si>
  <si>
    <t>Vbi Vaccines Inc</t>
  </si>
  <si>
    <t>ESSA US EQUITY</t>
  </si>
  <si>
    <t>Essa Bancorp Inc</t>
  </si>
  <si>
    <t>REPH US EQUITY</t>
  </si>
  <si>
    <t>Recro Pharma Inc</t>
  </si>
  <si>
    <t>CCB US EQUITY</t>
  </si>
  <si>
    <t>Coastal Financia</t>
  </si>
  <si>
    <t>RCBC US EQUITY</t>
  </si>
  <si>
    <t>River City Bank</t>
  </si>
  <si>
    <t>CVCY US EQUITY</t>
  </si>
  <si>
    <t>Central Valley</t>
  </si>
  <si>
    <t>BCML US EQUITY</t>
  </si>
  <si>
    <t>Baycom Corp</t>
  </si>
  <si>
    <t>FSBW US EQUITY</t>
  </si>
  <si>
    <t>Fs Bancorp Inc</t>
  </si>
  <si>
    <t>NATR US EQUITY</t>
  </si>
  <si>
    <t>Nature'S Sunshne</t>
  </si>
  <si>
    <t>SBBX US EQUITY</t>
  </si>
  <si>
    <t>Sb One Bancorp</t>
  </si>
  <si>
    <t>FRMO US EQUITY</t>
  </si>
  <si>
    <t>Frmo Corp</t>
  </si>
  <si>
    <t>TMST US EQUITY</t>
  </si>
  <si>
    <t>Timkensteel</t>
  </si>
  <si>
    <t>AAOI US EQUITY</t>
  </si>
  <si>
    <t>Applied Optoelec</t>
  </si>
  <si>
    <t>RMTI US EQUITY</t>
  </si>
  <si>
    <t>Rockwell Medical</t>
  </si>
  <si>
    <t>ARAY US EQUITY</t>
  </si>
  <si>
    <t>Accuray Inc</t>
  </si>
  <si>
    <t>ARLO US EQUITY</t>
  </si>
  <si>
    <t>Arlo Technologie</t>
  </si>
  <si>
    <t>BMTM US EQUITY</t>
  </si>
  <si>
    <t>Bright Mountain</t>
  </si>
  <si>
    <t>LL US EQUITY</t>
  </si>
  <si>
    <t>Lumber Liquidato</t>
  </si>
  <si>
    <t>PICO US EQUITY</t>
  </si>
  <si>
    <t>Pico Holdings</t>
  </si>
  <si>
    <t>BPRN US EQUITY</t>
  </si>
  <si>
    <t>Bank Of Princeto</t>
  </si>
  <si>
    <t>JMSB US EQUITY</t>
  </si>
  <si>
    <t>John Marshall Ba</t>
  </si>
  <si>
    <t>LTRPB US EQUITY</t>
  </si>
  <si>
    <t>Liberty Trp-B</t>
  </si>
  <si>
    <t>LTRPA US EQUITY</t>
  </si>
  <si>
    <t>Liberty Trp-A</t>
  </si>
  <si>
    <t>SALT US EQUITY</t>
  </si>
  <si>
    <t>Scorpio Bulkers</t>
  </si>
  <si>
    <t>FNHC US EQUITY</t>
  </si>
  <si>
    <t>Fednat Holding C</t>
  </si>
  <si>
    <t>EGLE US EQUITY</t>
  </si>
  <si>
    <t>Eagle Bulk Shipp</t>
  </si>
  <si>
    <t>VEL US EQUITY</t>
  </si>
  <si>
    <t>Velocity Financi</t>
  </si>
  <si>
    <t>CHMA US EQUITY</t>
  </si>
  <si>
    <t>Chiasma Inc</t>
  </si>
  <si>
    <t>PCOA US EQUITY</t>
  </si>
  <si>
    <t>Pendrell Corp</t>
  </si>
  <si>
    <t>MVBF US EQUITY</t>
  </si>
  <si>
    <t>Mvb Financial Co</t>
  </si>
  <si>
    <t>GAIA US EQUITY</t>
  </si>
  <si>
    <t>Gaia Inc</t>
  </si>
  <si>
    <t>LFVN US EQUITY</t>
  </si>
  <si>
    <t>Lifevantage Corp</t>
  </si>
  <si>
    <t>UEEC US EQUITY</t>
  </si>
  <si>
    <t>United Health Pr</t>
  </si>
  <si>
    <t>CLCT US EQUITY</t>
  </si>
  <si>
    <t>Collectors Univ</t>
  </si>
  <si>
    <t>CHMG US EQUITY</t>
  </si>
  <si>
    <t>Chemung Finl Crp</t>
  </si>
  <si>
    <t>CONN US EQUITY</t>
  </si>
  <si>
    <t>Conn'S Inc</t>
  </si>
  <si>
    <t>VRA US EQUITY</t>
  </si>
  <si>
    <t>Vera Bradley Inc</t>
  </si>
  <si>
    <t>GLEO US EQUITY</t>
  </si>
  <si>
    <t>Galileo Acquisi</t>
  </si>
  <si>
    <t>JYNT US EQUITY</t>
  </si>
  <si>
    <t>Joint Corp/The</t>
  </si>
  <si>
    <t>AUBN US EQUITY</t>
  </si>
  <si>
    <t>Auburn Natl Banc</t>
  </si>
  <si>
    <t>PWOD US EQUITY</t>
  </si>
  <si>
    <t>Penns Woods Bncp</t>
  </si>
  <si>
    <t>ORRF US EQUITY</t>
  </si>
  <si>
    <t>Orrstown Finl Sv</t>
  </si>
  <si>
    <t>MNOV US EQUITY</t>
  </si>
  <si>
    <t>Medicinova Inc</t>
  </si>
  <si>
    <t>HGEN US EQUITY</t>
  </si>
  <si>
    <t>Humanigen Inc</t>
  </si>
  <si>
    <t>WINT US EQUITY</t>
  </si>
  <si>
    <t>Windtree Therape</t>
  </si>
  <si>
    <t>IDT US EQUITY</t>
  </si>
  <si>
    <t>Idt Corp-Class B</t>
  </si>
  <si>
    <t>LEVL US EQUITY</t>
  </si>
  <si>
    <t>Level One Bancor</t>
  </si>
  <si>
    <t>HOME US EQUITY</t>
  </si>
  <si>
    <t>At Home Group In</t>
  </si>
  <si>
    <t>RCKY US EQUITY</t>
  </si>
  <si>
    <t>Rocky Brands Inc</t>
  </si>
  <si>
    <t>GDRZF US EQUITY</t>
  </si>
  <si>
    <t>Gold Reserve Inc</t>
  </si>
  <si>
    <t>MEIP US EQUITY</t>
  </si>
  <si>
    <t>Mei Pharma Inc</t>
  </si>
  <si>
    <t>SWKH US EQUITY</t>
  </si>
  <si>
    <t>Swk Holdings</t>
  </si>
  <si>
    <t>MTNB US EQUITY</t>
  </si>
  <si>
    <t>Matinas Biopharm</t>
  </si>
  <si>
    <t>PAAC US EQUITY</t>
  </si>
  <si>
    <t>Proficient Alpha</t>
  </si>
  <si>
    <t>WKHS US EQUITY</t>
  </si>
  <si>
    <t>Workhorse Group</t>
  </si>
  <si>
    <t>NODB US EQUITY</t>
  </si>
  <si>
    <t>North Dallas Bk</t>
  </si>
  <si>
    <t>NL US EQUITY</t>
  </si>
  <si>
    <t>Nl Industries</t>
  </si>
  <si>
    <t>SOLY US EQUITY</t>
  </si>
  <si>
    <t>Soliton Inc</t>
  </si>
  <si>
    <t>TREC US EQUITY</t>
  </si>
  <si>
    <t>Trecora Resource</t>
  </si>
  <si>
    <t>APRN US EQUITY</t>
  </si>
  <si>
    <t>Blue Apron Hol-A</t>
  </si>
  <si>
    <t>PCB US EQUITY</t>
  </si>
  <si>
    <t>Pcb Bancorp</t>
  </si>
  <si>
    <t>GENC US EQUITY</t>
  </si>
  <si>
    <t>Gencor Inds Inc</t>
  </si>
  <si>
    <t>CLFD US EQUITY</t>
  </si>
  <si>
    <t>Clearfield Inc</t>
  </si>
  <si>
    <t>ISBA US EQUITY</t>
  </si>
  <si>
    <t>Isabella Bank</t>
  </si>
  <si>
    <t>KBLB US EQUITY</t>
  </si>
  <si>
    <t>Kraig Biocraft</t>
  </si>
  <si>
    <t>PLSE US EQUITY</t>
  </si>
  <si>
    <t>Pulse Bioscience</t>
  </si>
  <si>
    <t>EOLS US EQUITY</t>
  </si>
  <si>
    <t>Evolus Inc</t>
  </si>
  <si>
    <t>CFNB US EQUITY</t>
  </si>
  <si>
    <t>Cal Frst Natl Ba</t>
  </si>
  <si>
    <t>MRCC US EQUITY</t>
  </si>
  <si>
    <t>Monroe Capital C</t>
  </si>
  <si>
    <t>RTIX US EQUITY</t>
  </si>
  <si>
    <t>Rti Surgical Hds</t>
  </si>
  <si>
    <t>GANS US EQUITY</t>
  </si>
  <si>
    <t>Gainsco Inc</t>
  </si>
  <si>
    <t>TDAC US EQUITY</t>
  </si>
  <si>
    <t>Trident Acquisit</t>
  </si>
  <si>
    <t>CVLY US EQUITY</t>
  </si>
  <si>
    <t>Codorus Vly Banc</t>
  </si>
  <si>
    <t>TRCY US EQUITY</t>
  </si>
  <si>
    <t>Tri City Bnkshs</t>
  </si>
  <si>
    <t>EVLO US EQUITY</t>
  </si>
  <si>
    <t>Evelo Bioscience</t>
  </si>
  <si>
    <t>RMBI US EQUITY</t>
  </si>
  <si>
    <t>Richmond Mutual</t>
  </si>
  <si>
    <t>AGLE US EQUITY</t>
  </si>
  <si>
    <t>Aeglea Biotherap</t>
  </si>
  <si>
    <t>SAR US EQUITY</t>
  </si>
  <si>
    <t>Saratoga Investm</t>
  </si>
  <si>
    <t>MCFT US EQUITY</t>
  </si>
  <si>
    <t>Mastercraft Boat</t>
  </si>
  <si>
    <t>RVRF US EQUITY</t>
  </si>
  <si>
    <t>River Financial</t>
  </si>
  <si>
    <t>PNRG US EQUITY</t>
  </si>
  <si>
    <t>Primeenergy Reso</t>
  </si>
  <si>
    <t>SNCR US EQUITY</t>
  </si>
  <si>
    <t>Synchronoss Tech</t>
  </si>
  <si>
    <t>CERC US EQUITY</t>
  </si>
  <si>
    <t>Cerecor Inc</t>
  </si>
  <si>
    <t>GSB US EQUITY</t>
  </si>
  <si>
    <t>Globalscape Inc</t>
  </si>
  <si>
    <t>FBIZ US EQUITY</t>
  </si>
  <si>
    <t>First Business F</t>
  </si>
  <si>
    <t>SENS US EQUITY</t>
  </si>
  <si>
    <t>Senseonics Hldgs</t>
  </si>
  <si>
    <t>PRTK US EQUITY</t>
  </si>
  <si>
    <t>Paratek Pharmace</t>
  </si>
  <si>
    <t>WLFC US EQUITY</t>
  </si>
  <si>
    <t>Willis Lease</t>
  </si>
  <si>
    <t>SM US EQUITY</t>
  </si>
  <si>
    <t>Sm Energy Co</t>
  </si>
  <si>
    <t>BFIN US EQUITY</t>
  </si>
  <si>
    <t>Bankfinancial</t>
  </si>
  <si>
    <t>TACO US EQUITY</t>
  </si>
  <si>
    <t>Del Taco Restaur</t>
  </si>
  <si>
    <t>FBIO US EQUITY</t>
  </si>
  <si>
    <t>Fortress Biotech</t>
  </si>
  <si>
    <t>XFOR US EQUITY</t>
  </si>
  <si>
    <t>X4 Pharmaceutica</t>
  </si>
  <si>
    <t>BSGM US EQUITY</t>
  </si>
  <si>
    <t>Biosig Technolog</t>
  </si>
  <si>
    <t>RBNC US EQUITY</t>
  </si>
  <si>
    <t>Reliant Bancorp</t>
  </si>
  <si>
    <t>FRBA US EQUITY</t>
  </si>
  <si>
    <t>First Bank/Hamil</t>
  </si>
  <si>
    <t>HBB US EQUITY</t>
  </si>
  <si>
    <t>Hamilton -A</t>
  </si>
  <si>
    <t>SAMG US EQUITY</t>
  </si>
  <si>
    <t>Silvercrest As-A</t>
  </si>
  <si>
    <t>OXSQ US EQUITY</t>
  </si>
  <si>
    <t>Oxford Square Ca</t>
  </si>
  <si>
    <t>CGLO US EQUITY</t>
  </si>
  <si>
    <t>Coro Global Inc</t>
  </si>
  <si>
    <t>OVBC US EQUITY</t>
  </si>
  <si>
    <t>Ohio Valley Banc</t>
  </si>
  <si>
    <t>RRGB US EQUITY</t>
  </si>
  <si>
    <t>Red Robin Gourme</t>
  </si>
  <si>
    <t>PRTH US EQUITY</t>
  </si>
  <si>
    <t>Priority Technol</t>
  </si>
  <si>
    <t>SEAC US EQUITY</t>
  </si>
  <si>
    <t>Seachange Intl</t>
  </si>
  <si>
    <t>MHH US EQUITY</t>
  </si>
  <si>
    <t>Mastech Digital</t>
  </si>
  <si>
    <t>GEN US EQUITY</t>
  </si>
  <si>
    <t>Genesis Healthca</t>
  </si>
  <si>
    <t>BKUT US EQUITY</t>
  </si>
  <si>
    <t>Bank Utica/Ny</t>
  </si>
  <si>
    <t>ARL US EQUITY</t>
  </si>
  <si>
    <t>Amer Realty Inv</t>
  </si>
  <si>
    <t>LQDA US EQUITY</t>
  </si>
  <si>
    <t>Liquidia Technol</t>
  </si>
  <si>
    <t>VTVT US EQUITY</t>
  </si>
  <si>
    <t>Vtv Therapeuti-A</t>
  </si>
  <si>
    <t>FGBI US EQUITY</t>
  </si>
  <si>
    <t>First Guaranty B</t>
  </si>
  <si>
    <t>FNCB US EQUITY</t>
  </si>
  <si>
    <t>Fncb Bancorp Inc</t>
  </si>
  <si>
    <t>TYME US EQUITY</t>
  </si>
  <si>
    <t>Tyme Technologie</t>
  </si>
  <si>
    <t>FCCY US EQUITY</t>
  </si>
  <si>
    <t>1St Constit Banc</t>
  </si>
  <si>
    <t>BCLI US EQUITY</t>
  </si>
  <si>
    <t>Brainstorm Cell</t>
  </si>
  <si>
    <t>ITI US EQUITY</t>
  </si>
  <si>
    <t>Iteris Inc</t>
  </si>
  <si>
    <t>SGC US EQUITY</t>
  </si>
  <si>
    <t>Superior Group O</t>
  </si>
  <si>
    <t>DHX US EQUITY</t>
  </si>
  <si>
    <t>Dhi Group Inc</t>
  </si>
  <si>
    <t>MESA US EQUITY</t>
  </si>
  <si>
    <t>Mesa Air Group</t>
  </si>
  <si>
    <t>ESTE US EQUITY</t>
  </si>
  <si>
    <t>Earthstone Ene-A</t>
  </si>
  <si>
    <t>MNSB US EQUITY</t>
  </si>
  <si>
    <t>Mainstreet Bancs</t>
  </si>
  <si>
    <t>KALV US EQUITY</t>
  </si>
  <si>
    <t>Kalvista Pharmac</t>
  </si>
  <si>
    <t>OIS US EQUITY</t>
  </si>
  <si>
    <t>Oil States Intl</t>
  </si>
  <si>
    <t>MMAC US EQUITY</t>
  </si>
  <si>
    <t>Mma Capital Hold</t>
  </si>
  <si>
    <t>STRS US EQUITY</t>
  </si>
  <si>
    <t>Stratus Prop</t>
  </si>
  <si>
    <t>OCX US EQUITY</t>
  </si>
  <si>
    <t>Oncocyte Cor</t>
  </si>
  <si>
    <t>ATXI US EQUITY</t>
  </si>
  <si>
    <t>Avenue Therapeut</t>
  </si>
  <si>
    <t>SLCT US EQUITY</t>
  </si>
  <si>
    <t>Select Bancorp I</t>
  </si>
  <si>
    <t>TLYS US EQUITY</t>
  </si>
  <si>
    <t>Tilly'S Inc-Cl A</t>
  </si>
  <si>
    <t>CMBM US EQUITY</t>
  </si>
  <si>
    <t>Cambium Networks</t>
  </si>
  <si>
    <t>CFFI US EQUITY</t>
  </si>
  <si>
    <t>C &amp; F Financial</t>
  </si>
  <si>
    <t>TARA US EQUITY</t>
  </si>
  <si>
    <t>Artara Therapeut</t>
  </si>
  <si>
    <t>DLTH US EQUITY</t>
  </si>
  <si>
    <t>Duluth Hldgs - B</t>
  </si>
  <si>
    <t>FRBK US EQUITY</t>
  </si>
  <si>
    <t>Republic First</t>
  </si>
  <si>
    <t>ALTG US EQUITY</t>
  </si>
  <si>
    <t>Alta Equipment G</t>
  </si>
  <si>
    <t>PFHD US EQUITY</t>
  </si>
  <si>
    <t>Professional H-A</t>
  </si>
  <si>
    <t>ILCC US EQUITY</t>
  </si>
  <si>
    <t>International Le</t>
  </si>
  <si>
    <t>TCFC US EQUITY</t>
  </si>
  <si>
    <t>Community Financ</t>
  </si>
  <si>
    <t>TYFG US EQUITY</t>
  </si>
  <si>
    <t>Tri-County Finan</t>
  </si>
  <si>
    <t>PBIP US EQUITY</t>
  </si>
  <si>
    <t>Prudential Banco</t>
  </si>
  <si>
    <t>PCTI US EQUITY</t>
  </si>
  <si>
    <t>Pc-Tel Inc</t>
  </si>
  <si>
    <t>EML US EQUITY</t>
  </si>
  <si>
    <t>Eastern Co</t>
  </si>
  <si>
    <t>PEBK US EQUITY</t>
  </si>
  <si>
    <t>Peoples Banc Nc</t>
  </si>
  <si>
    <t>CWGL US EQUITY</t>
  </si>
  <si>
    <t>Crimson Wine Gro</t>
  </si>
  <si>
    <t>WRTC US EQUITY</t>
  </si>
  <si>
    <t>Wrap Technologie</t>
  </si>
  <si>
    <t>BWFG US EQUITY</t>
  </si>
  <si>
    <t>Bankwell Financi</t>
  </si>
  <si>
    <t>ESSC US EQUITY</t>
  </si>
  <si>
    <t>East Stone Acqui</t>
  </si>
  <si>
    <t>ERA US EQUITY</t>
  </si>
  <si>
    <t>Era Group</t>
  </si>
  <si>
    <t>III US EQUITY</t>
  </si>
  <si>
    <t>Information Serv</t>
  </si>
  <si>
    <t>OVLY US EQUITY</t>
  </si>
  <si>
    <t>Oak Valley Banco</t>
  </si>
  <si>
    <t>MDXL US EQUITY</t>
  </si>
  <si>
    <t>Medixall Group I</t>
  </si>
  <si>
    <t>SCPJ US EQUITY</t>
  </si>
  <si>
    <t>Scope Industries</t>
  </si>
  <si>
    <t>BOCH US EQUITY</t>
  </si>
  <si>
    <t>Bank Of Commerce</t>
  </si>
  <si>
    <t>MUDS US EQUITY</t>
  </si>
  <si>
    <t>Mudrick Capit -A</t>
  </si>
  <si>
    <t>LAKE US EQUITY</t>
  </si>
  <si>
    <t>Lakeland Inds</t>
  </si>
  <si>
    <t>CNBW US EQUITY</t>
  </si>
  <si>
    <t>Cnb Corp</t>
  </si>
  <si>
    <t>IINX US EQUITY</t>
  </si>
  <si>
    <t>Ionix Technology</t>
  </si>
  <si>
    <t>ADES US EQUITY</t>
  </si>
  <si>
    <t>Advanced Emissio</t>
  </si>
  <si>
    <t>APYX US EQUITY</t>
  </si>
  <si>
    <t>Apyx Medical Cor</t>
  </si>
  <si>
    <t>NUZE US EQUITY</t>
  </si>
  <si>
    <t>Nuzee Inc</t>
  </si>
  <si>
    <t>CLXT US EQUITY</t>
  </si>
  <si>
    <t>Calyxt Inc</t>
  </si>
  <si>
    <t>JCP US EQUITY</t>
  </si>
  <si>
    <t>J.C. Penney Co</t>
  </si>
  <si>
    <t>ENOB US EQUITY</t>
  </si>
  <si>
    <t>Enochian Bioscie</t>
  </si>
  <si>
    <t>OESX US EQUITY</t>
  </si>
  <si>
    <t>Orion Energy Sys</t>
  </si>
  <si>
    <t>VXRT US EQUITY</t>
  </si>
  <si>
    <t>Vaxart Inc</t>
  </si>
  <si>
    <t>UNTY US EQUITY</t>
  </si>
  <si>
    <t>Unity Bancorp</t>
  </si>
  <si>
    <t>EXPR US EQUITY</t>
  </si>
  <si>
    <t>Express Inc</t>
  </si>
  <si>
    <t>SHBI US EQUITY</t>
  </si>
  <si>
    <t>Shore Bancshares</t>
  </si>
  <si>
    <t>CBAN US EQUITY</t>
  </si>
  <si>
    <t>Colony Bankcorp</t>
  </si>
  <si>
    <t>DYAI US EQUITY</t>
  </si>
  <si>
    <t>Dyadic Internati</t>
  </si>
  <si>
    <t>LOGC US EQUITY</t>
  </si>
  <si>
    <t>Logicbio Therape</t>
  </si>
  <si>
    <t>MBII US EQUITY</t>
  </si>
  <si>
    <t>Marrone Bio Inno</t>
  </si>
  <si>
    <t>FARM US EQUITY</t>
  </si>
  <si>
    <t>Farmer Bros Co</t>
  </si>
  <si>
    <t>SOLI US EQUITY</t>
  </si>
  <si>
    <t>Solei Systems In</t>
  </si>
  <si>
    <t>MLGF US EQUITY</t>
  </si>
  <si>
    <t>Malaga Financial</t>
  </si>
  <si>
    <t>GHM US EQUITY</t>
  </si>
  <si>
    <t>Graham Corp</t>
  </si>
  <si>
    <t>AGS US EQUITY</t>
  </si>
  <si>
    <t>Playags Inc</t>
  </si>
  <si>
    <t>ISTR US EQUITY</t>
  </si>
  <si>
    <t>Investar Holding</t>
  </si>
  <si>
    <t>HMLN US EQUITY</t>
  </si>
  <si>
    <t>Hamlin Bk&amp;Tr/Pa</t>
  </si>
  <si>
    <t>VERY US EQUITY</t>
  </si>
  <si>
    <t>Vericity Inc</t>
  </si>
  <si>
    <t>AMHC US EQUITY</t>
  </si>
  <si>
    <t>Amplitude Heal-A</t>
  </si>
  <si>
    <t>EVBN US EQUITY</t>
  </si>
  <si>
    <t>Evans Bancorp</t>
  </si>
  <si>
    <t>NBEV US EQUITY</t>
  </si>
  <si>
    <t>New Age Beverage</t>
  </si>
  <si>
    <t>VTDRF US EQUITY</t>
  </si>
  <si>
    <t>Vantage Drilling</t>
  </si>
  <si>
    <t>LJPC US EQUITY</t>
  </si>
  <si>
    <t>La Jolla Pharm</t>
  </si>
  <si>
    <t>LDL US EQUITY</t>
  </si>
  <si>
    <t>Lydall Inc</t>
  </si>
  <si>
    <t>FRGI US EQUITY</t>
  </si>
  <si>
    <t>Fiesta Restauran</t>
  </si>
  <si>
    <t>EYPT US EQUITY</t>
  </si>
  <si>
    <t>Eyepoint Pharmac</t>
  </si>
  <si>
    <t>LCTX US EQUITY</t>
  </si>
  <si>
    <t>Lineage Cell The</t>
  </si>
  <si>
    <t>AMSC US EQUITY</t>
  </si>
  <si>
    <t>Amer Supercondtr</t>
  </si>
  <si>
    <t>ODYY US EQUITY</t>
  </si>
  <si>
    <t>Odyssey Group In</t>
  </si>
  <si>
    <t>FRAF US EQUITY</t>
  </si>
  <si>
    <t>Franklin Fin Svc</t>
  </si>
  <si>
    <t>ENZ US EQUITY</t>
  </si>
  <si>
    <t>Enzo Biochem Inc</t>
  </si>
  <si>
    <t>CYFL US EQUITY</t>
  </si>
  <si>
    <t>Century Fin Corp</t>
  </si>
  <si>
    <t>MEC US EQUITY</t>
  </si>
  <si>
    <t>Mayville Enginee</t>
  </si>
  <si>
    <t>ALID US EQUITY</t>
  </si>
  <si>
    <t>Allied Corp</t>
  </si>
  <si>
    <t>IBIO US EQUITY</t>
  </si>
  <si>
    <t>Ibio Inc</t>
  </si>
  <si>
    <t>KLIB US EQUITY</t>
  </si>
  <si>
    <t>Killbuck Bncshs</t>
  </si>
  <si>
    <t>SLCA US EQUITY</t>
  </si>
  <si>
    <t>Us Silica Holdin</t>
  </si>
  <si>
    <t>DNR US EQUITY</t>
  </si>
  <si>
    <t>Denbury Resource</t>
  </si>
  <si>
    <t>FSTR US EQUITY</t>
  </si>
  <si>
    <t>Foster (Lb) Co-A</t>
  </si>
  <si>
    <t>XCUR US EQUITY</t>
  </si>
  <si>
    <t>Exicure Inc</t>
  </si>
  <si>
    <t>RTSL US EQUITY</t>
  </si>
  <si>
    <t>Rapid Therapeuti</t>
  </si>
  <si>
    <t>QNBC US EQUITY</t>
  </si>
  <si>
    <t>Qnb Corp</t>
  </si>
  <si>
    <t>SFE US EQUITY</t>
  </si>
  <si>
    <t>Safeguard Scient</t>
  </si>
  <si>
    <t>MYFW US EQUITY</t>
  </si>
  <si>
    <t>First Western Fi</t>
  </si>
  <si>
    <t>MG US EQUITY</t>
  </si>
  <si>
    <t>Mistras Group In</t>
  </si>
  <si>
    <t>AE US EQUITY</t>
  </si>
  <si>
    <t>Adams Resources</t>
  </si>
  <si>
    <t>QMCO US EQUITY</t>
  </si>
  <si>
    <t>Quantum Corp</t>
  </si>
  <si>
    <t>AXTI US EQUITY</t>
  </si>
  <si>
    <t>Axt Inc</t>
  </si>
  <si>
    <t>NBSE US EQUITY</t>
  </si>
  <si>
    <t>Neubase Therapeu</t>
  </si>
  <si>
    <t>ACTG US EQUITY</t>
  </si>
  <si>
    <t>Acacia Research</t>
  </si>
  <si>
    <t>GPAQ US EQUITY</t>
  </si>
  <si>
    <t>Gordon Pointe Ac</t>
  </si>
  <si>
    <t>FNWB US EQUITY</t>
  </si>
  <si>
    <t>First Northwest</t>
  </si>
  <si>
    <t>HWBK US EQUITY</t>
  </si>
  <si>
    <t>Hawthorn Bancsha</t>
  </si>
  <si>
    <t>ESQ US EQUITY</t>
  </si>
  <si>
    <t>Esquire Financia</t>
  </si>
  <si>
    <t>RVSB US EQUITY</t>
  </si>
  <si>
    <t>Riverview Bancrp</t>
  </si>
  <si>
    <t>PXLW US EQUITY</t>
  </si>
  <si>
    <t>Pixelworks Inc</t>
  </si>
  <si>
    <t>PSBQ US EQUITY</t>
  </si>
  <si>
    <t>Psb Holdings Inc</t>
  </si>
  <si>
    <t>VULC US EQUITY</t>
  </si>
  <si>
    <t>Vulcan Intl Corp</t>
  </si>
  <si>
    <t>SLDB US EQUITY</t>
  </si>
  <si>
    <t>Solid Bioscience</t>
  </si>
  <si>
    <t>HSBI US EQUITY</t>
  </si>
  <si>
    <t>Heritage Southea</t>
  </si>
  <si>
    <t>TWIN US EQUITY</t>
  </si>
  <si>
    <t>Twin Disc Inc</t>
  </si>
  <si>
    <t>FCCO US EQUITY</t>
  </si>
  <si>
    <t>First Comty Corp</t>
  </si>
  <si>
    <t>MBIO US EQUITY</t>
  </si>
  <si>
    <t>Mustang Bio Inc</t>
  </si>
  <si>
    <t>LCUT US EQUITY</t>
  </si>
  <si>
    <t>Lifetime Brands</t>
  </si>
  <si>
    <t>SAFS US EQUITY</t>
  </si>
  <si>
    <t>Safer Shot Inc</t>
  </si>
  <si>
    <t>CIZN US EQUITY</t>
  </si>
  <si>
    <t>Citizens Holding</t>
  </si>
  <si>
    <t>TPRP US EQUITY</t>
  </si>
  <si>
    <t>Tower Properties</t>
  </si>
  <si>
    <t>SIEN US EQUITY</t>
  </si>
  <si>
    <t>Sientra Inc</t>
  </si>
  <si>
    <t>RCAR US EQUITY</t>
  </si>
  <si>
    <t>Renovacare Inc</t>
  </si>
  <si>
    <t>CEIX US EQUITY</t>
  </si>
  <si>
    <t>Consol Energy In</t>
  </si>
  <si>
    <t>OPRX US EQUITY</t>
  </si>
  <si>
    <t>Optimizerx Corp</t>
  </si>
  <si>
    <t>MRLN US EQUITY</t>
  </si>
  <si>
    <t>Marlin Business</t>
  </si>
  <si>
    <t>GPX US EQUITY</t>
  </si>
  <si>
    <t>Gp Strategies</t>
  </si>
  <si>
    <t>ICBK US EQUITY</t>
  </si>
  <si>
    <t>County Bancorp I</t>
  </si>
  <si>
    <t>PIRS US EQUITY</t>
  </si>
  <si>
    <t>Pieris Pharmaceu</t>
  </si>
  <si>
    <t>BELFA US EQUITY</t>
  </si>
  <si>
    <t>Bel Fuse Inc-A</t>
  </si>
  <si>
    <t>BELFB US EQUITY</t>
  </si>
  <si>
    <t>Bel Fuse Inc-B</t>
  </si>
  <si>
    <t>NBN US EQUITY</t>
  </si>
  <si>
    <t>Northeast Bank</t>
  </si>
  <si>
    <t>FLNT US EQUITY</t>
  </si>
  <si>
    <t>Fluent Inc</t>
  </si>
  <si>
    <t>SMED US EQUITY</t>
  </si>
  <si>
    <t>Sharps Complianc</t>
  </si>
  <si>
    <t>GTGT US EQUITY</t>
  </si>
  <si>
    <t>Gtg Ventures Inc</t>
  </si>
  <si>
    <t>GALT US EQUITY</t>
  </si>
  <si>
    <t>Galectin Therape</t>
  </si>
  <si>
    <t>KULR US EQUITY</t>
  </si>
  <si>
    <t>Kulr Technology</t>
  </si>
  <si>
    <t>SVRA US EQUITY</t>
  </si>
  <si>
    <t>Savara Inc</t>
  </si>
  <si>
    <t>CSLT US EQUITY</t>
  </si>
  <si>
    <t>Castlight Heal-B</t>
  </si>
  <si>
    <t>NWIN US EQUITY</t>
  </si>
  <si>
    <t>Northwest Indian</t>
  </si>
  <si>
    <t>EBMT US EQUITY</t>
  </si>
  <si>
    <t>Eagle Bancorp Mo</t>
  </si>
  <si>
    <t>RDIB US EQUITY</t>
  </si>
  <si>
    <t>Reading Intl-B</t>
  </si>
  <si>
    <t>RDI US EQUITY</t>
  </si>
  <si>
    <t>Reading Intl-A</t>
  </si>
  <si>
    <t>UBFO US EQUITY</t>
  </si>
  <si>
    <t>United Securi/Ca</t>
  </si>
  <si>
    <t>WSML US EQUITY</t>
  </si>
  <si>
    <t>Williamsville Se</t>
  </si>
  <si>
    <t>CTRN US EQUITY</t>
  </si>
  <si>
    <t>Citi Trends Inc</t>
  </si>
  <si>
    <t>AAGH US EQUITY</t>
  </si>
  <si>
    <t>America Great He</t>
  </si>
  <si>
    <t>VERO US EQUITY</t>
  </si>
  <si>
    <t>Venus Concept In</t>
  </si>
  <si>
    <t>TAST US EQUITY</t>
  </si>
  <si>
    <t>Carrols Restaura</t>
  </si>
  <si>
    <t>UTGN US EQUITY</t>
  </si>
  <si>
    <t>Utg Inc</t>
  </si>
  <si>
    <t>PBBI US EQUITY</t>
  </si>
  <si>
    <t>Pb Bancorp Inc</t>
  </si>
  <si>
    <t>MN US EQUITY</t>
  </si>
  <si>
    <t>Manning &amp; Napier</t>
  </si>
  <si>
    <t>GNSS US EQUITY</t>
  </si>
  <si>
    <t>Genasys Inc</t>
  </si>
  <si>
    <t>CYBE US EQUITY</t>
  </si>
  <si>
    <t>Cyberoptics Corp</t>
  </si>
  <si>
    <t>NECB US EQUITY</t>
  </si>
  <si>
    <t>Northeast Commun</t>
  </si>
  <si>
    <t>SCZC US EQUITY</t>
  </si>
  <si>
    <t>Santa Cruz Count</t>
  </si>
  <si>
    <t>FKYS US EQUITY</t>
  </si>
  <si>
    <t>First Keyst Corp</t>
  </si>
  <si>
    <t>CBAY US EQUITY</t>
  </si>
  <si>
    <t>Cymabay Therapeu</t>
  </si>
  <si>
    <t>TRUX US EQUITY</t>
  </si>
  <si>
    <t>Truxton Corp</t>
  </si>
  <si>
    <t>PROV US EQUITY</t>
  </si>
  <si>
    <t>Provident Fnl Hl</t>
  </si>
  <si>
    <t>PSTL US EQUITY</t>
  </si>
  <si>
    <t>Postal Realty-A</t>
  </si>
  <si>
    <t>OFED US EQUITY</t>
  </si>
  <si>
    <t>Oconee Federal F</t>
  </si>
  <si>
    <t>CBFV US EQUITY</t>
  </si>
  <si>
    <t>Cb Financial Ser</t>
  </si>
  <si>
    <t>SAVA US EQUITY</t>
  </si>
  <si>
    <t>Cassava Sciences</t>
  </si>
  <si>
    <t>TWI US EQUITY</t>
  </si>
  <si>
    <t>Titan Intl Inc</t>
  </si>
  <si>
    <t>LQDT US EQUITY</t>
  </si>
  <si>
    <t>Liquidity Servic</t>
  </si>
  <si>
    <t>OPBK US EQUITY</t>
  </si>
  <si>
    <t>Op Bancorp</t>
  </si>
  <si>
    <t>DSKE US EQUITY</t>
  </si>
  <si>
    <t>Daseke Inc</t>
  </si>
  <si>
    <t>BANX US EQUITY</t>
  </si>
  <si>
    <t>Stonecastle Fina</t>
  </si>
  <si>
    <t>DBCP US EQUITY</t>
  </si>
  <si>
    <t>Delmar Bancorp</t>
  </si>
  <si>
    <t>ENBP US EQUITY</t>
  </si>
  <si>
    <t>Enb Financial</t>
  </si>
  <si>
    <t>ESXB US EQUITY</t>
  </si>
  <si>
    <t>Community Banker</t>
  </si>
  <si>
    <t>PKDC US EQUITY</t>
  </si>
  <si>
    <t>Parker Drilling</t>
  </si>
  <si>
    <t>PSIX US EQUITY</t>
  </si>
  <si>
    <t>Power Solutions</t>
  </si>
  <si>
    <t>IPI US EQUITY</t>
  </si>
  <si>
    <t>Intrepid Potash</t>
  </si>
  <si>
    <t>XXII US EQUITY</t>
  </si>
  <si>
    <t>22Nd Century Gro</t>
  </si>
  <si>
    <t>GRNF US EQUITY</t>
  </si>
  <si>
    <t>Grn Holding Corp</t>
  </si>
  <si>
    <t>ACRX US EQUITY</t>
  </si>
  <si>
    <t>Acelrx Pharma</t>
  </si>
  <si>
    <t>ELMD US EQUITY</t>
  </si>
  <si>
    <t>Electromed Inc</t>
  </si>
  <si>
    <t>SLNO US EQUITY</t>
  </si>
  <si>
    <t>Soleno Therapeut</t>
  </si>
  <si>
    <t>FNRN US EQUITY</t>
  </si>
  <si>
    <t>First Nort Comm</t>
  </si>
  <si>
    <t>IVAC US EQUITY</t>
  </si>
  <si>
    <t>Intevac Inc</t>
  </si>
  <si>
    <t>SBBP US EQUITY</t>
  </si>
  <si>
    <t>Strongbridge Bio</t>
  </si>
  <si>
    <t>GLYC US EQUITY</t>
  </si>
  <si>
    <t>Glycomimetics In</t>
  </si>
  <si>
    <t>STON US EQUITY</t>
  </si>
  <si>
    <t>Stonemor Inc</t>
  </si>
  <si>
    <t>NWBO US EQUITY</t>
  </si>
  <si>
    <t>Northwest Bio</t>
  </si>
  <si>
    <t>CDTX US EQUITY</t>
  </si>
  <si>
    <t>Cidara Therapeut</t>
  </si>
  <si>
    <t>XONE US EQUITY</t>
  </si>
  <si>
    <t>Exone Co/The</t>
  </si>
  <si>
    <t>CDEV US EQUITY</t>
  </si>
  <si>
    <t>Centennial Res-A</t>
  </si>
  <si>
    <t>FUNC US EQUITY</t>
  </si>
  <si>
    <t>First Utd Corp</t>
  </si>
  <si>
    <t>PMBC US EQUITY</t>
  </si>
  <si>
    <t>Pacific Mercantl</t>
  </si>
  <si>
    <t>STND US EQUITY</t>
  </si>
  <si>
    <t>Standard Avb Fin</t>
  </si>
  <si>
    <t>WTRH US EQUITY</t>
  </si>
  <si>
    <t>Waitr Holdings I</t>
  </si>
  <si>
    <t>FFNW US EQUITY</t>
  </si>
  <si>
    <t>First Financial</t>
  </si>
  <si>
    <t>CEMI US EQUITY</t>
  </si>
  <si>
    <t>Chembio Diagnost</t>
  </si>
  <si>
    <t>MBCN US EQUITY</t>
  </si>
  <si>
    <t>Middlefield Banc</t>
  </si>
  <si>
    <t>CFRX US EQUITY</t>
  </si>
  <si>
    <t>Contrafect Corp</t>
  </si>
  <si>
    <t>IIN US EQUITY</t>
  </si>
  <si>
    <t>Intricon Corp</t>
  </si>
  <si>
    <t>METC US EQUITY</t>
  </si>
  <si>
    <t>Ramaco Resources</t>
  </si>
  <si>
    <t>FGFH US EQUITY</t>
  </si>
  <si>
    <t>Foresight Finl</t>
  </si>
  <si>
    <t>PLBC US EQUITY</t>
  </si>
  <si>
    <t>Plumas Bancorp</t>
  </si>
  <si>
    <t>PWFL US EQUITY</t>
  </si>
  <si>
    <t>Powerfleet Inc</t>
  </si>
  <si>
    <t>APTX US EQUITY</t>
  </si>
  <si>
    <t>Aptinyx Inc</t>
  </si>
  <si>
    <t>FVE US EQUITY</t>
  </si>
  <si>
    <t>Five Star Senior</t>
  </si>
  <si>
    <t>OCBI US EQUITY</t>
  </si>
  <si>
    <t>Orange County Ba</t>
  </si>
  <si>
    <t>FONR US EQUITY</t>
  </si>
  <si>
    <t>Fonar Corp</t>
  </si>
  <si>
    <t>SSSS US EQUITY</t>
  </si>
  <si>
    <t>Sutter Rock Capi</t>
  </si>
  <si>
    <t>RICK US EQUITY</t>
  </si>
  <si>
    <t>Rci Hospitality</t>
  </si>
  <si>
    <t>PTN US EQUITY</t>
  </si>
  <si>
    <t>Palatin Tech Inc</t>
  </si>
  <si>
    <t>MDCA US EQUITY</t>
  </si>
  <si>
    <t>Mdc Partners-A</t>
  </si>
  <si>
    <t>ONDK US EQUITY</t>
  </si>
  <si>
    <t>On Deck Capital</t>
  </si>
  <si>
    <t>EWLU US EQUITY</t>
  </si>
  <si>
    <t>Merion Inc</t>
  </si>
  <si>
    <t>LOVE US EQUITY</t>
  </si>
  <si>
    <t>Lovesac Co/The</t>
  </si>
  <si>
    <t>DS US EQUITY</t>
  </si>
  <si>
    <t>Drive Shack Inc</t>
  </si>
  <si>
    <t>OAS US EQUITY</t>
  </si>
  <si>
    <t>Oasis Petroleum</t>
  </si>
  <si>
    <t>GZCC US EQUITY</t>
  </si>
  <si>
    <t>Guozi Zhongyu Ca</t>
  </si>
  <si>
    <t>KTYB US EQUITY</t>
  </si>
  <si>
    <t>Kentucky Bancsha</t>
  </si>
  <si>
    <t>NNBR US EQUITY</t>
  </si>
  <si>
    <t>Nn Inc</t>
  </si>
  <si>
    <t>MFNC US EQUITY</t>
  </si>
  <si>
    <t>Mackinac Financi</t>
  </si>
  <si>
    <t>LYTS US EQUITY</t>
  </si>
  <si>
    <t>Lsi Industries</t>
  </si>
  <si>
    <t>PHAS US EQUITY</t>
  </si>
  <si>
    <t>Phasebio Pharmac</t>
  </si>
  <si>
    <t>SBKK US EQUITY</t>
  </si>
  <si>
    <t>Suncrest Bank</t>
  </si>
  <si>
    <t>ZEUS US EQUITY</t>
  </si>
  <si>
    <t>Olympic Steel</t>
  </si>
  <si>
    <t>KRUS US EQUITY</t>
  </si>
  <si>
    <t>Kura Sushi Usa-A</t>
  </si>
  <si>
    <t>MSBC US EQUITY</t>
  </si>
  <si>
    <t>Mission Bancorp/</t>
  </si>
  <si>
    <t>RELI US EQUITY</t>
  </si>
  <si>
    <t>Reliance Global</t>
  </si>
  <si>
    <t>HROW US EQUITY</t>
  </si>
  <si>
    <t>Harrow Health In</t>
  </si>
  <si>
    <t>ZAGG US EQUITY</t>
  </si>
  <si>
    <t>Zagg Inc</t>
  </si>
  <si>
    <t>DMKBA US EQUITY</t>
  </si>
  <si>
    <t>Denmark Banc I-A</t>
  </si>
  <si>
    <t>TSQ US EQUITY</t>
  </si>
  <si>
    <t>Townsquare Med-A</t>
  </si>
  <si>
    <t>KSHB US EQUITY</t>
  </si>
  <si>
    <t>Kushco Holdings</t>
  </si>
  <si>
    <t>MLVF US EQUITY</t>
  </si>
  <si>
    <t>Malvern Bancorp</t>
  </si>
  <si>
    <t>CRMD US EQUITY</t>
  </si>
  <si>
    <t>Cormedix Inc</t>
  </si>
  <si>
    <t>LYBC US EQUITY</t>
  </si>
  <si>
    <t>Lyons Bancorp</t>
  </si>
  <si>
    <t>ASUR US EQUITY</t>
  </si>
  <si>
    <t>Asure Software I</t>
  </si>
  <si>
    <t>SMHI US EQUITY</t>
  </si>
  <si>
    <t>Seacor Marine Ho</t>
  </si>
  <si>
    <t>TYCB US EQUITY</t>
  </si>
  <si>
    <t>Taylor (Calvin)</t>
  </si>
  <si>
    <t>LARK US EQUITY</t>
  </si>
  <si>
    <t>Landmark Bancorp</t>
  </si>
  <si>
    <t>CPTP US EQUITY</t>
  </si>
  <si>
    <t>Cap Prop Inc-A</t>
  </si>
  <si>
    <t>BVFL US EQUITY</t>
  </si>
  <si>
    <t>Bv Financial Inc</t>
  </si>
  <si>
    <t>CMRX US EQUITY</t>
  </si>
  <si>
    <t>Chimerix Inc</t>
  </si>
  <si>
    <t>UNB US EQUITY</t>
  </si>
  <si>
    <t>Union Bankshares</t>
  </si>
  <si>
    <t>ALSK US EQUITY</t>
  </si>
  <si>
    <t>Alaska Comm Sys</t>
  </si>
  <si>
    <t>TELA US EQUITY</t>
  </si>
  <si>
    <t>Tela Bio Inc</t>
  </si>
  <si>
    <t>CULP US EQUITY</t>
  </si>
  <si>
    <t>Culp Inc</t>
  </si>
  <si>
    <t>SWEE US EQUITY</t>
  </si>
  <si>
    <t>Sweegen Inc</t>
  </si>
  <si>
    <t>SFDL US EQUITY</t>
  </si>
  <si>
    <t>Security Fed</t>
  </si>
  <si>
    <t>GNLN US EQUITY</t>
  </si>
  <si>
    <t>Greenlane Hold-A</t>
  </si>
  <si>
    <t>QEP US EQUITY</t>
  </si>
  <si>
    <t>Qep Resources In</t>
  </si>
  <si>
    <t>BRBS US EQUITY</t>
  </si>
  <si>
    <t>Blue Ridge Bnksh</t>
  </si>
  <si>
    <t>SBFG US EQUITY</t>
  </si>
  <si>
    <t>Sb Financial Gro</t>
  </si>
  <si>
    <t>ZYNE US EQUITY</t>
  </si>
  <si>
    <t>Zynerba Pharmace</t>
  </si>
  <si>
    <t>ONEW US EQUITY</t>
  </si>
  <si>
    <t>Onewater Marine</t>
  </si>
  <si>
    <t>FLXS US EQUITY</t>
  </si>
  <si>
    <t>Flexsteel Inds</t>
  </si>
  <si>
    <t>BATL US EQUITY</t>
  </si>
  <si>
    <t>Battalion Oil Co</t>
  </si>
  <si>
    <t>LPI US EQUITY</t>
  </si>
  <si>
    <t>Laredo Petroleum</t>
  </si>
  <si>
    <t>CURR US EQUITY</t>
  </si>
  <si>
    <t>Cure Pharmaceuti</t>
  </si>
  <si>
    <t>FBTT US EQUITY</t>
  </si>
  <si>
    <t>First Bankers Tr</t>
  </si>
  <si>
    <t>BGSF US EQUITY</t>
  </si>
  <si>
    <t>Bg Staffing Inc</t>
  </si>
  <si>
    <t>BSBK US EQUITY</t>
  </si>
  <si>
    <t>Bogota Financial</t>
  </si>
  <si>
    <t>LIVX US EQUITY</t>
  </si>
  <si>
    <t>Livexlive Media</t>
  </si>
  <si>
    <t>HLAN US EQUITY</t>
  </si>
  <si>
    <t>Heartland Bnccrp</t>
  </si>
  <si>
    <t>CVIA US EQUITY</t>
  </si>
  <si>
    <t>Covia Holdings C</t>
  </si>
  <si>
    <t>FSFG US EQUITY</t>
  </si>
  <si>
    <t>First Savings Fi</t>
  </si>
  <si>
    <t>ARAV US EQUITY</t>
  </si>
  <si>
    <t>Aravive Inc</t>
  </si>
  <si>
    <t>SREV US EQUITY</t>
  </si>
  <si>
    <t>Servicesource In</t>
  </si>
  <si>
    <t>AVCO US EQUITY</t>
  </si>
  <si>
    <t>Avalon Globocare</t>
  </si>
  <si>
    <t>MGI US EQUITY</t>
  </si>
  <si>
    <t>Moneygram Intern</t>
  </si>
  <si>
    <t>PWON US EQUITY</t>
  </si>
  <si>
    <t>Powin Energy Cor</t>
  </si>
  <si>
    <t>MLND US EQUITY</t>
  </si>
  <si>
    <t>Millendo Therape</t>
  </si>
  <si>
    <t>VRML US EQUITY</t>
  </si>
  <si>
    <t>Vermillion Inc</t>
  </si>
  <si>
    <t>TCRD US EQUITY</t>
  </si>
  <si>
    <t>Thl Credit Inc</t>
  </si>
  <si>
    <t>CCFN US EQUITY</t>
  </si>
  <si>
    <t>Ccfnb Bancorp</t>
  </si>
  <si>
    <t>AGFS US EQUITY</t>
  </si>
  <si>
    <t>Agrofresh Soluti</t>
  </si>
  <si>
    <t>JDVB US EQUITY</t>
  </si>
  <si>
    <t>Jd Bancshares In</t>
  </si>
  <si>
    <t>ARHN US EQUITY</t>
  </si>
  <si>
    <t>Archon Corporati</t>
  </si>
  <si>
    <t>DIMC US EQUITY</t>
  </si>
  <si>
    <t>Dimeco Inc</t>
  </si>
  <si>
    <t>TZAC US EQUITY</t>
  </si>
  <si>
    <t>Tenzing Acquisit</t>
  </si>
  <si>
    <t>CKPT US EQUITY</t>
  </si>
  <si>
    <t>Checkpoint Thera</t>
  </si>
  <si>
    <t>MRBK US EQUITY</t>
  </si>
  <si>
    <t>Meridian Corp</t>
  </si>
  <si>
    <t>HBIO US EQUITY</t>
  </si>
  <si>
    <t>Harvard Bioscien</t>
  </si>
  <si>
    <t>PDER US EQUITY</t>
  </si>
  <si>
    <t>Pardee Resources</t>
  </si>
  <si>
    <t>AMRK US EQUITY</t>
  </si>
  <si>
    <t>A-Mark Precious</t>
  </si>
  <si>
    <t>TUP US EQUITY</t>
  </si>
  <si>
    <t>Tupperware Brand</t>
  </si>
  <si>
    <t>PANL US EQUITY</t>
  </si>
  <si>
    <t>Pangaea Logistic</t>
  </si>
  <si>
    <t>MRKR US EQUITY</t>
  </si>
  <si>
    <t>Marker Therapeut</t>
  </si>
  <si>
    <t>IDYA US EQUITY</t>
  </si>
  <si>
    <t>Ideaya Bioscienc</t>
  </si>
  <si>
    <t>ELOX US EQUITY</t>
  </si>
  <si>
    <t>Eloxx Pharmaceut</t>
  </si>
  <si>
    <t>ROFO US EQUITY</t>
  </si>
  <si>
    <t>Rockford Corp</t>
  </si>
  <si>
    <t>ULBI US EQUITY</t>
  </si>
  <si>
    <t>Ultralife Corp</t>
  </si>
  <si>
    <t>TA US EQUITY</t>
  </si>
  <si>
    <t>Travelcenters Of</t>
  </si>
  <si>
    <t>GPOR US EQUITY</t>
  </si>
  <si>
    <t>Gulfport Energy</t>
  </si>
  <si>
    <t>CMRB US EQUITY</t>
  </si>
  <si>
    <t>First Commerce B</t>
  </si>
  <si>
    <t>EVOA US EQUITY</t>
  </si>
  <si>
    <t>Evo Transportati</t>
  </si>
  <si>
    <t>BKUTK US EQUITY</t>
  </si>
  <si>
    <t>Bank Utica N Y</t>
  </si>
  <si>
    <t>MOST US EQUITY</t>
  </si>
  <si>
    <t>Mobilesmith Inc</t>
  </si>
  <si>
    <t>SAL US EQUITY</t>
  </si>
  <si>
    <t>Salisbury Bancor</t>
  </si>
  <si>
    <t>FPRX US EQUITY</t>
  </si>
  <si>
    <t>Five Prime Thera</t>
  </si>
  <si>
    <t>INSE US EQUITY</t>
  </si>
  <si>
    <t>Inspired Enterta</t>
  </si>
  <si>
    <t>GNPX US EQUITY</t>
  </si>
  <si>
    <t>Genprex Inc</t>
  </si>
  <si>
    <t>HIL US EQUITY</t>
  </si>
  <si>
    <t>Hill Internation</t>
  </si>
  <si>
    <t>ITRK US EQUITY</t>
  </si>
  <si>
    <t>Interlink Plus I</t>
  </si>
  <si>
    <t>CYCN US EQUITY</t>
  </si>
  <si>
    <t>Cyclerion Therap</t>
  </si>
  <si>
    <t>ARPC US EQUITY</t>
  </si>
  <si>
    <t>Arem Pacific Cor</t>
  </si>
  <si>
    <t>NLS US EQUITY</t>
  </si>
  <si>
    <t>Nautilus Inc</t>
  </si>
  <si>
    <t>HARL US EQUITY</t>
  </si>
  <si>
    <t>Harleysville Fin</t>
  </si>
  <si>
    <t>AMNF US EQUITY</t>
  </si>
  <si>
    <t>Armanino Foods</t>
  </si>
  <si>
    <t>REFR US EQUITY</t>
  </si>
  <si>
    <t>Research Front</t>
  </si>
  <si>
    <t>APHE US EQUITY</t>
  </si>
  <si>
    <t>Alpha Energy Inc</t>
  </si>
  <si>
    <t>EPM US EQUITY</t>
  </si>
  <si>
    <t>Evolution Petrol</t>
  </si>
  <si>
    <t>EFSI US EQUITY</t>
  </si>
  <si>
    <t>Eagle Financial</t>
  </si>
  <si>
    <t>HMNF US EQUITY</t>
  </si>
  <si>
    <t>Hmn Financial</t>
  </si>
  <si>
    <t>AGTC US EQUITY</t>
  </si>
  <si>
    <t>Applied Genetic</t>
  </si>
  <si>
    <t>LSYN US EQUITY</t>
  </si>
  <si>
    <t>Liberated Syndic</t>
  </si>
  <si>
    <t>FEIM US EQUITY</t>
  </si>
  <si>
    <t>Frequency Elect</t>
  </si>
  <si>
    <t>CPKF US EQUITY</t>
  </si>
  <si>
    <t>Chesapeake Finl</t>
  </si>
  <si>
    <t>NOBH US EQUITY</t>
  </si>
  <si>
    <t>Nobility Homes</t>
  </si>
  <si>
    <t>SYNL US EQUITY</t>
  </si>
  <si>
    <t>Synalloy Corp</t>
  </si>
  <si>
    <t>WMPN US EQUITY</t>
  </si>
  <si>
    <t>William Penn Ban</t>
  </si>
  <si>
    <t>FNHM US EQUITY</t>
  </si>
  <si>
    <t>Fnbh Bancorp</t>
  </si>
  <si>
    <t>CMLS US EQUITY</t>
  </si>
  <si>
    <t>Cumulus Media-A</t>
  </si>
  <si>
    <t>CBIO US EQUITY</t>
  </si>
  <si>
    <t>Catalyst Bioscie</t>
  </si>
  <si>
    <t>BIIO US EQUITY</t>
  </si>
  <si>
    <t>Bionovate Techno</t>
  </si>
  <si>
    <t>AVBH US EQUITY</t>
  </si>
  <si>
    <t>Avidbank Holding</t>
  </si>
  <si>
    <t>NTRB US EQUITY</t>
  </si>
  <si>
    <t>Nutriband Inc</t>
  </si>
  <si>
    <t>BENH US EQUITY</t>
  </si>
  <si>
    <t>Bio-En Holdings</t>
  </si>
  <si>
    <t>AKRX US EQUITY</t>
  </si>
  <si>
    <t>Akorn Inc</t>
  </si>
  <si>
    <t>NR US EQUITY</t>
  </si>
  <si>
    <t>Newpark Resource</t>
  </si>
  <si>
    <t>WBBW US EQUITY</t>
  </si>
  <si>
    <t>Westbury Bancorp</t>
  </si>
  <si>
    <t>HQI US EQUITY</t>
  </si>
  <si>
    <t>Hirequest Inc</t>
  </si>
  <si>
    <t>HALL US EQUITY</t>
  </si>
  <si>
    <t>Hallmark Finl</t>
  </si>
  <si>
    <t>BSVN US EQUITY</t>
  </si>
  <si>
    <t>Bank7 Corp</t>
  </si>
  <si>
    <t>BGG US EQUITY</t>
  </si>
  <si>
    <t>Briggs &amp; Strattn</t>
  </si>
  <si>
    <t>IWBB US EQUITY</t>
  </si>
  <si>
    <t>Iweb Inc</t>
  </si>
  <si>
    <t>BKSC US EQUITY</t>
  </si>
  <si>
    <t>Bank South Carol</t>
  </si>
  <si>
    <t>BMBN US EQUITY</t>
  </si>
  <si>
    <t>Benchmark Bnkshs</t>
  </si>
  <si>
    <t>ESCA US EQUITY</t>
  </si>
  <si>
    <t>Escalade Inc</t>
  </si>
  <si>
    <t>GEOS US EQUITY</t>
  </si>
  <si>
    <t>Geospace Technol</t>
  </si>
  <si>
    <t>IMUX US EQUITY</t>
  </si>
  <si>
    <t>Immunic Inc</t>
  </si>
  <si>
    <t>HEAR US EQUITY</t>
  </si>
  <si>
    <t>Turtle Beach Cor</t>
  </si>
  <si>
    <t>AYAG US EQUITY</t>
  </si>
  <si>
    <t>Amaya Global Hol</t>
  </si>
  <si>
    <t>PGTK US EQUITY</t>
  </si>
  <si>
    <t>Pacific Green Te</t>
  </si>
  <si>
    <t>CTRC US EQUITY</t>
  </si>
  <si>
    <t>Centric Brands I</t>
  </si>
  <si>
    <t>CSBR US EQUITY</t>
  </si>
  <si>
    <t>Champions Oncolo</t>
  </si>
  <si>
    <t>RESN US EQUITY</t>
  </si>
  <si>
    <t>Resonant Inc</t>
  </si>
  <si>
    <t>MHGU US EQUITY</t>
  </si>
  <si>
    <t>Meritage Hospit</t>
  </si>
  <si>
    <t>GWOX US EQUITY</t>
  </si>
  <si>
    <t>Goodheart-Willco</t>
  </si>
  <si>
    <t>WNDW US EQUITY</t>
  </si>
  <si>
    <t>Solarwindow Tech</t>
  </si>
  <si>
    <t>DLA US EQUITY</t>
  </si>
  <si>
    <t>Delta Apparel</t>
  </si>
  <si>
    <t>CLSD US EQUITY</t>
  </si>
  <si>
    <t>Clearside Biomed</t>
  </si>
  <si>
    <t>ETON US EQUITY</t>
  </si>
  <si>
    <t>Eton Pharmaceuti</t>
  </si>
  <si>
    <t>MCBI US EQUITY</t>
  </si>
  <si>
    <t>Mountain Commerc</t>
  </si>
  <si>
    <t>BBBK US EQUITY</t>
  </si>
  <si>
    <t>Baker Boyer Banc</t>
  </si>
  <si>
    <t>NUVR US EQUITY</t>
  </si>
  <si>
    <t>Nuvera Communica</t>
  </si>
  <si>
    <t>CSBB US EQUITY</t>
  </si>
  <si>
    <t>Csb Bancorp Inc</t>
  </si>
  <si>
    <t>MR US EQUITY</t>
  </si>
  <si>
    <t>Montage Resource</t>
  </si>
  <si>
    <t>XERS US EQUITY</t>
  </si>
  <si>
    <t>Xeris Pharmaceut</t>
  </si>
  <si>
    <t>EMYB US EQUITY</t>
  </si>
  <si>
    <t>Embassy Bancorp</t>
  </si>
  <si>
    <t>AQST US EQUITY</t>
  </si>
  <si>
    <t>Aquestive Therap</t>
  </si>
  <si>
    <t>ELAMF US EQUITY</t>
  </si>
  <si>
    <t>Elamex Sa De Cv</t>
  </si>
  <si>
    <t>SVBI US EQUITY</t>
  </si>
  <si>
    <t>Severn Bancorp I</t>
  </si>
  <si>
    <t>OCN US EQUITY</t>
  </si>
  <si>
    <t>Ocwen Finl Corp</t>
  </si>
  <si>
    <t>MVC US EQUITY</t>
  </si>
  <si>
    <t>Mvc Capital Inc</t>
  </si>
  <si>
    <t>MNPR US EQUITY</t>
  </si>
  <si>
    <t>Monopar Therapeu</t>
  </si>
  <si>
    <t>DZSI US EQUITY</t>
  </si>
  <si>
    <t>Dasan Zhone Solu</t>
  </si>
  <si>
    <t>FXNC US EQUITY</t>
  </si>
  <si>
    <t>First Nat Crp/Va</t>
  </si>
  <si>
    <t>CHBH US EQUITY</t>
  </si>
  <si>
    <t>Croghan Bncshs</t>
  </si>
  <si>
    <t>SOBS US EQUITY</t>
  </si>
  <si>
    <t>Solvay Bank/Ny</t>
  </si>
  <si>
    <t>SUND US EQUITY</t>
  </si>
  <si>
    <t>Sundance Strateg</t>
  </si>
  <si>
    <t>PCYG US EQUITY</t>
  </si>
  <si>
    <t>Park City Group</t>
  </si>
  <si>
    <t>CNTY US EQUITY</t>
  </si>
  <si>
    <t>Century Casinos</t>
  </si>
  <si>
    <t>CZWI US EQUITY</t>
  </si>
  <si>
    <t>Citizens Communi</t>
  </si>
  <si>
    <t>MCBK US EQUITY</t>
  </si>
  <si>
    <t>Madison County F</t>
  </si>
  <si>
    <t>ALDX US EQUITY</t>
  </si>
  <si>
    <t>Aldeyra Therapeu</t>
  </si>
  <si>
    <t>KEWL US EQUITY</t>
  </si>
  <si>
    <t>Keweenaw Land As</t>
  </si>
  <si>
    <t>ADMS US EQUITY</t>
  </si>
  <si>
    <t>Adamas Pharmaceu</t>
  </si>
  <si>
    <t>NWYF US EQUITY</t>
  </si>
  <si>
    <t>Northway Financi</t>
  </si>
  <si>
    <t>CALB US EQUITY</t>
  </si>
  <si>
    <t>California Banco</t>
  </si>
  <si>
    <t>RBKB US EQUITY</t>
  </si>
  <si>
    <t>Rhinebeck Bancor</t>
  </si>
  <si>
    <t>KODK US EQUITY</t>
  </si>
  <si>
    <t>Eastman Kodak Co</t>
  </si>
  <si>
    <t>MNTX US EQUITY</t>
  </si>
  <si>
    <t>Manitex Internat</t>
  </si>
  <si>
    <t>BNED US EQUITY</t>
  </si>
  <si>
    <t>Barnes &amp; Noble E</t>
  </si>
  <si>
    <t>POWW US EQUITY</t>
  </si>
  <si>
    <t>Ammo Inc</t>
  </si>
  <si>
    <t>WLL US EQUITY</t>
  </si>
  <si>
    <t>Whiting Petroleu</t>
  </si>
  <si>
    <t>MTBC US EQUITY</t>
  </si>
  <si>
    <t>Mtbc Inc</t>
  </si>
  <si>
    <t>LMST US EQUITY</t>
  </si>
  <si>
    <t>Limestone Bancor</t>
  </si>
  <si>
    <t>CNBB US EQUITY</t>
  </si>
  <si>
    <t>Cnb Community Ba</t>
  </si>
  <si>
    <t>BAYK US EQUITY</t>
  </si>
  <si>
    <t>Bay Bks Va Inc</t>
  </si>
  <si>
    <t>OBTX US EQUITY</t>
  </si>
  <si>
    <t>Obitx Inc</t>
  </si>
  <si>
    <t>BCAL US EQUITY</t>
  </si>
  <si>
    <t>Bank Of Southern</t>
  </si>
  <si>
    <t>VOXX US EQUITY</t>
  </si>
  <si>
    <t>Voxx Internation</t>
  </si>
  <si>
    <t>FABK US EQUITY</t>
  </si>
  <si>
    <t>First Advantage</t>
  </si>
  <si>
    <t>PBPB US EQUITY</t>
  </si>
  <si>
    <t>Potbelly Corp</t>
  </si>
  <si>
    <t>TLRD US EQUITY</t>
  </si>
  <si>
    <t>Tailored Brands</t>
  </si>
  <si>
    <t>LUMO US EQUITY</t>
  </si>
  <si>
    <t>Lumos Pharma Inc</t>
  </si>
  <si>
    <t>ORN US EQUITY</t>
  </si>
  <si>
    <t>Orion Group Hold</t>
  </si>
  <si>
    <t>MDWT US EQUITY</t>
  </si>
  <si>
    <t>Midwest Holding</t>
  </si>
  <si>
    <t>PFLC US EQUITY</t>
  </si>
  <si>
    <t>Pacific Fin Corp</t>
  </si>
  <si>
    <t>GV US EQUITY</t>
  </si>
  <si>
    <t>Goldfield Corp</t>
  </si>
  <si>
    <t>OPOF US EQUITY</t>
  </si>
  <si>
    <t>Old Point Finl</t>
  </si>
  <si>
    <t>IOTC US EQUITY</t>
  </si>
  <si>
    <t>Iota Communicati</t>
  </si>
  <si>
    <t>HCHC US EQUITY</t>
  </si>
  <si>
    <t>Hc2 Holdings Inc</t>
  </si>
  <si>
    <t>JUVF US EQUITY</t>
  </si>
  <si>
    <t>Juniata Valley</t>
  </si>
  <si>
    <t>CATB US EQUITY</t>
  </si>
  <si>
    <t>Catabasis Pharma</t>
  </si>
  <si>
    <t>IMH US EQUITY</t>
  </si>
  <si>
    <t>Impac Mtg Hldgs</t>
  </si>
  <si>
    <t>PRGX US EQUITY</t>
  </si>
  <si>
    <t>Prgx Global Inc</t>
  </si>
  <si>
    <t>HNFSB US EQUITY</t>
  </si>
  <si>
    <t>Hanover Foods-B</t>
  </si>
  <si>
    <t>HNFSA US EQUITY</t>
  </si>
  <si>
    <t>Hanover Foods-A</t>
  </si>
  <si>
    <t>SCYX US EQUITY</t>
  </si>
  <si>
    <t>Scynexis Inc</t>
  </si>
  <si>
    <t>EPSN US EQUITY</t>
  </si>
  <si>
    <t>Epsilon Energy</t>
  </si>
  <si>
    <t>SANW US EQUITY</t>
  </si>
  <si>
    <t>S&amp;W Seed Co</t>
  </si>
  <si>
    <t>REKR US EQUITY</t>
  </si>
  <si>
    <t>Rekor Systems In</t>
  </si>
  <si>
    <t>VABK US EQUITY</t>
  </si>
  <si>
    <t>Virginia Nationa</t>
  </si>
  <si>
    <t>NVOS US EQUITY</t>
  </si>
  <si>
    <t>Novo Integrated</t>
  </si>
  <si>
    <t>RYAM US EQUITY</t>
  </si>
  <si>
    <t>Rayonier Adv</t>
  </si>
  <si>
    <t>CVEO US EQUITY</t>
  </si>
  <si>
    <t>Civeo Corp</t>
  </si>
  <si>
    <t>AHPI US EQUITY</t>
  </si>
  <si>
    <t>Allied Healthcar</t>
  </si>
  <si>
    <t>BOTH US EQUITY</t>
  </si>
  <si>
    <t>Bioethics Ltd</t>
  </si>
  <si>
    <t>CTIC US EQUITY</t>
  </si>
  <si>
    <t>Cti Biopharma Co</t>
  </si>
  <si>
    <t>CULL US EQUITY</t>
  </si>
  <si>
    <t>Cullman Bancorp</t>
  </si>
  <si>
    <t>CLAD US EQUITY</t>
  </si>
  <si>
    <t>China Liaoning D</t>
  </si>
  <si>
    <t>CRVS US EQUITY</t>
  </si>
  <si>
    <t>Corvus Pharmaceu</t>
  </si>
  <si>
    <t>KERN US EQUITY</t>
  </si>
  <si>
    <t>Akerna Corp</t>
  </si>
  <si>
    <t>CSSE US EQUITY</t>
  </si>
  <si>
    <t>Chicken Soup For</t>
  </si>
  <si>
    <t>XOG US EQUITY</t>
  </si>
  <si>
    <t>Extraction Oil &amp;</t>
  </si>
  <si>
    <t>PESI US EQUITY</t>
  </si>
  <si>
    <t>Perma-Fix Envir</t>
  </si>
  <si>
    <t>IEC US EQUITY</t>
  </si>
  <si>
    <t>Iec Electronics</t>
  </si>
  <si>
    <t>BMRA US EQUITY</t>
  </si>
  <si>
    <t>Biomerica Inc</t>
  </si>
  <si>
    <t>AVEO US EQUITY</t>
  </si>
  <si>
    <t>Aveo Pharmaceuti</t>
  </si>
  <si>
    <t>CVSI US EQUITY</t>
  </si>
  <si>
    <t>Cv Sciences Inc</t>
  </si>
  <si>
    <t>PAVM US EQUITY</t>
  </si>
  <si>
    <t>Pavmed Inc</t>
  </si>
  <si>
    <t>AMPE US EQUITY</t>
  </si>
  <si>
    <t>Ampio Pharmaceut</t>
  </si>
  <si>
    <t>RRD US EQUITY</t>
  </si>
  <si>
    <t>Rr Donnelley &amp; S</t>
  </si>
  <si>
    <t>RKFL US EQUITY</t>
  </si>
  <si>
    <t>Rocketfuel Block</t>
  </si>
  <si>
    <t>RSSS US EQUITY</t>
  </si>
  <si>
    <t>Research Solutio</t>
  </si>
  <si>
    <t>FABP US EQUITY</t>
  </si>
  <si>
    <t>Farmers Bancorp</t>
  </si>
  <si>
    <t>GRRB US EQUITY</t>
  </si>
  <si>
    <t>Grandsouth Banco</t>
  </si>
  <si>
    <t>BHWB US EQUITY</t>
  </si>
  <si>
    <t>Blackhawk Bancrp</t>
  </si>
  <si>
    <t>AMBK US EQUITY</t>
  </si>
  <si>
    <t>American Bank In</t>
  </si>
  <si>
    <t>EMPK US EQUITY</t>
  </si>
  <si>
    <t>Empire Bancorp I</t>
  </si>
  <si>
    <t>TOMZ US EQUITY</t>
  </si>
  <si>
    <t>Tomi Environment</t>
  </si>
  <si>
    <t>APTL US EQUITY</t>
  </si>
  <si>
    <t>Alaska Pwr &amp; Tel</t>
  </si>
  <si>
    <t>TFFP US EQUITY</t>
  </si>
  <si>
    <t>Tff Pharmaceutic</t>
  </si>
  <si>
    <t>BZRD US EQUITY</t>
  </si>
  <si>
    <t>Blubuzzard Inc</t>
  </si>
  <si>
    <t>AKOM US EQUITY</t>
  </si>
  <si>
    <t>Aerkomm Inc</t>
  </si>
  <si>
    <t>PTI US EQUITY</t>
  </si>
  <si>
    <t>Proteostasis The</t>
  </si>
  <si>
    <t>PBAM US EQUITY</t>
  </si>
  <si>
    <t>Private Bancorp</t>
  </si>
  <si>
    <t>AIRG US EQUITY</t>
  </si>
  <si>
    <t>Airgain Inc</t>
  </si>
  <si>
    <t>CELC US EQUITY</t>
  </si>
  <si>
    <t>Celcuity Inc</t>
  </si>
  <si>
    <t>CMTV US EQUITY</t>
  </si>
  <si>
    <t>Communi Bncrp/Vt</t>
  </si>
  <si>
    <t>VCNX US EQUITY</t>
  </si>
  <si>
    <t>Vaccinex Inc</t>
  </si>
  <si>
    <t>LIXT US EQUITY</t>
  </si>
  <si>
    <t>Lixte Biotechnol</t>
  </si>
  <si>
    <t>INLB US EQUITY</t>
  </si>
  <si>
    <t>Item 9 Labs Corp</t>
  </si>
  <si>
    <t>PRTS US EQUITY</t>
  </si>
  <si>
    <t>Us Auto Parts Ne</t>
  </si>
  <si>
    <t>NTIC US EQUITY</t>
  </si>
  <si>
    <t>Northern Tech</t>
  </si>
  <si>
    <t>BNCC US EQUITY</t>
  </si>
  <si>
    <t>Bnccorp</t>
  </si>
  <si>
    <t>WEBK US EQUITY</t>
  </si>
  <si>
    <t>Wellesley Bank</t>
  </si>
  <si>
    <t>HCCH US EQUITY</t>
  </si>
  <si>
    <t>Hl Acquisitions</t>
  </si>
  <si>
    <t>CTGO US EQUITY</t>
  </si>
  <si>
    <t>Contango Ore Inc</t>
  </si>
  <si>
    <t>MGOM US EQUITY</t>
  </si>
  <si>
    <t>Migom Global Cor</t>
  </si>
  <si>
    <t>TYBT US EQUITY</t>
  </si>
  <si>
    <t>Trinity Bank Na</t>
  </si>
  <si>
    <t>SHSP US EQUITY</t>
  </si>
  <si>
    <t>Sharpspring Inc</t>
  </si>
  <si>
    <t>UBCP US EQUITY</t>
  </si>
  <si>
    <t>United Bancrp/Oh</t>
  </si>
  <si>
    <t>LEE US EQUITY</t>
  </si>
  <si>
    <t>Lee Enterprises</t>
  </si>
  <si>
    <t>NTGN US EQUITY</t>
  </si>
  <si>
    <t>Neon Therapeutic</t>
  </si>
  <si>
    <t>SCBH US EQUITY</t>
  </si>
  <si>
    <t>Seacoast Commerc</t>
  </si>
  <si>
    <t>TTOO US EQUITY</t>
  </si>
  <si>
    <t>T2 Biosystems</t>
  </si>
  <si>
    <t>EMCF US EQUITY</t>
  </si>
  <si>
    <t>Emclaire Finl</t>
  </si>
  <si>
    <t>LQMT US EQUITY</t>
  </si>
  <si>
    <t>Liquidmetal Tech</t>
  </si>
  <si>
    <t>CRC US EQUITY</t>
  </si>
  <si>
    <t>California Resou</t>
  </si>
  <si>
    <t>BGRP US EQUITY</t>
  </si>
  <si>
    <t>Bluestem Group I</t>
  </si>
  <si>
    <t>PFOH US EQUITY</t>
  </si>
  <si>
    <t>Perpetual Fed/Oh</t>
  </si>
  <si>
    <t>ELA US EQUITY</t>
  </si>
  <si>
    <t>Envela Corp</t>
  </si>
  <si>
    <t>CZBC US EQUITY</t>
  </si>
  <si>
    <t>Citizens Banc/Or</t>
  </si>
  <si>
    <t>INTG US EQUITY</t>
  </si>
  <si>
    <t>Intergroup Corp</t>
  </si>
  <si>
    <t>TPHS US EQUITY</t>
  </si>
  <si>
    <t>Trinity Place Ho</t>
  </si>
  <si>
    <t>BSET US EQUITY</t>
  </si>
  <si>
    <t>Bassett Furn</t>
  </si>
  <si>
    <t>USAP US EQUITY</t>
  </si>
  <si>
    <t>Universal Stainl</t>
  </si>
  <si>
    <t>GFED US EQUITY</t>
  </si>
  <si>
    <t>Guaranty Fed Bnc</t>
  </si>
  <si>
    <t>NGS US EQUITY</t>
  </si>
  <si>
    <t>Natural Gas Serv</t>
  </si>
  <si>
    <t>TLCC US EQUITY</t>
  </si>
  <si>
    <t>Twinlab Consolid</t>
  </si>
  <si>
    <t>CWBK US EQUITY</t>
  </si>
  <si>
    <t>Commercewest Bk</t>
  </si>
  <si>
    <t>FFBW US EQUITY</t>
  </si>
  <si>
    <t>Ffbw Inc</t>
  </si>
  <si>
    <t>JAX US EQUITY</t>
  </si>
  <si>
    <t>J Alexander</t>
  </si>
  <si>
    <t>MLSS US EQUITY</t>
  </si>
  <si>
    <t>Milestone Scient</t>
  </si>
  <si>
    <t>JFBC US EQUITY</t>
  </si>
  <si>
    <t>Jeffersonville B</t>
  </si>
  <si>
    <t>EMMA US EQUITY</t>
  </si>
  <si>
    <t>Emmaus Life Scie</t>
  </si>
  <si>
    <t>OTIC US EQUITY</t>
  </si>
  <si>
    <t>Otonomy Inc</t>
  </si>
  <si>
    <t>CWBR US EQUITY</t>
  </si>
  <si>
    <t>Cohbar Inc</t>
  </si>
  <si>
    <t>IDN US EQUITY</t>
  </si>
  <si>
    <t>Intellicheck Inc</t>
  </si>
  <si>
    <t>CTG US EQUITY</t>
  </si>
  <si>
    <t>Computer Task</t>
  </si>
  <si>
    <t>ACU US EQUITY</t>
  </si>
  <si>
    <t>Acme United Corp</t>
  </si>
  <si>
    <t>EACO US EQUITY</t>
  </si>
  <si>
    <t>Eaco Corp</t>
  </si>
  <si>
    <t>EMKR US EQUITY</t>
  </si>
  <si>
    <t>Emcore Corp</t>
  </si>
  <si>
    <t>SEBC US EQUITY</t>
  </si>
  <si>
    <t>Southeastern Bnk</t>
  </si>
  <si>
    <t>PDEX US EQUITY</t>
  </si>
  <si>
    <t>Pro-Dex Inc</t>
  </si>
  <si>
    <t>NEFB US EQUITY</t>
  </si>
  <si>
    <t>Neffs Bancorp/Pa</t>
  </si>
  <si>
    <t>WEBC US EQUITY</t>
  </si>
  <si>
    <t>Webco Inds Inc</t>
  </si>
  <si>
    <t>LMPX US EQUITY</t>
  </si>
  <si>
    <t>Lmp Automotive H</t>
  </si>
  <si>
    <t>PHX US EQUITY</t>
  </si>
  <si>
    <t>Panhandle Oil-A</t>
  </si>
  <si>
    <t>SESN US EQUITY</t>
  </si>
  <si>
    <t>Sesen Bio Inc</t>
  </si>
  <si>
    <t>SBBI US EQUITY</t>
  </si>
  <si>
    <t>Sbcp Bancorp Inc</t>
  </si>
  <si>
    <t>VERI US EQUITY</t>
  </si>
  <si>
    <t>Veritone Inc</t>
  </si>
  <si>
    <t>YRCW US EQUITY</t>
  </si>
  <si>
    <t>Yrc Worldwide In</t>
  </si>
  <si>
    <t>UG US EQUITY</t>
  </si>
  <si>
    <t>United Guardian</t>
  </si>
  <si>
    <t>SABK US EQUITY</t>
  </si>
  <si>
    <t>South Atlantic B</t>
  </si>
  <si>
    <t>SNWV US EQUITY</t>
  </si>
  <si>
    <t>Sanuwave Health</t>
  </si>
  <si>
    <t>SNFCA US EQUITY</t>
  </si>
  <si>
    <t>Security Natl-A</t>
  </si>
  <si>
    <t>HNNA US EQUITY</t>
  </si>
  <si>
    <t>Hennessy Advisor</t>
  </si>
  <si>
    <t>SOMC US EQUITY</t>
  </si>
  <si>
    <t>Southern Michiga</t>
  </si>
  <si>
    <t>ASYS US EQUITY</t>
  </si>
  <si>
    <t>Amtech Sys Inc</t>
  </si>
  <si>
    <t>OFS US EQUITY</t>
  </si>
  <si>
    <t>Ofs Capital Corp</t>
  </si>
  <si>
    <t>MDCL US EQUITY</t>
  </si>
  <si>
    <t>Medicine Man Tec</t>
  </si>
  <si>
    <t>LXU US EQUITY</t>
  </si>
  <si>
    <t>Lsb Indus Inc</t>
  </si>
  <si>
    <t>BW US EQUITY</t>
  </si>
  <si>
    <t>Babcock &amp; Wilcox</t>
  </si>
  <si>
    <t>ORGS US EQUITY</t>
  </si>
  <si>
    <t>Orgenesis Inc</t>
  </si>
  <si>
    <t>AXLA US EQUITY</t>
  </si>
  <si>
    <t>Axcella Health I</t>
  </si>
  <si>
    <t>ATOM US EQUITY</t>
  </si>
  <si>
    <t>Atomera Inc</t>
  </si>
  <si>
    <t>LINC US EQUITY</t>
  </si>
  <si>
    <t>Lincoln Educatio</t>
  </si>
  <si>
    <t>MSBF US EQUITY</t>
  </si>
  <si>
    <t>Msb Financial Co</t>
  </si>
  <si>
    <t>CXDO US EQUITY</t>
  </si>
  <si>
    <t>Crexendo Inc</t>
  </si>
  <si>
    <t>PED US EQUITY</t>
  </si>
  <si>
    <t>Pedevco Corp</t>
  </si>
  <si>
    <t>CFCX US EQUITY</t>
  </si>
  <si>
    <t>Centric Financia</t>
  </si>
  <si>
    <t>RNGR US EQUITY</t>
  </si>
  <si>
    <t>Ranger Energy Se</t>
  </si>
  <si>
    <t>EMGC US EQUITY</t>
  </si>
  <si>
    <t>Emergent Capital</t>
  </si>
  <si>
    <t>SYBX US EQUITY</t>
  </si>
  <si>
    <t>Synlogic Inc</t>
  </si>
  <si>
    <t>LFGP US EQUITY</t>
  </si>
  <si>
    <t>Ledyard Financia</t>
  </si>
  <si>
    <t>UNDT US EQUITY</t>
  </si>
  <si>
    <t>Universal Detect</t>
  </si>
  <si>
    <t>VKSC US EQUITY</t>
  </si>
  <si>
    <t>Viskase Cos I</t>
  </si>
  <si>
    <t>WSTG US EQUITY</t>
  </si>
  <si>
    <t>Wayside Technolo</t>
  </si>
  <si>
    <t>MCHX US EQUITY</t>
  </si>
  <si>
    <t>Marchex Inc-B</t>
  </si>
  <si>
    <t>INWK US EQUITY</t>
  </si>
  <si>
    <t>Innerworkings In</t>
  </si>
  <si>
    <t>HOV US EQUITY</t>
  </si>
  <si>
    <t>Hovnanian Ent-A</t>
  </si>
  <si>
    <t>HOVVB US EQUITY</t>
  </si>
  <si>
    <t>Hovnanian Ent-B</t>
  </si>
  <si>
    <t>RSLS US EQUITY</t>
  </si>
  <si>
    <t>Reshape Lifescie</t>
  </si>
  <si>
    <t>CLDB US EQUITY</t>
  </si>
  <si>
    <t>Cortland Bancorp</t>
  </si>
  <si>
    <t>AQB US EQUITY</t>
  </si>
  <si>
    <t>Aquabounty Te</t>
  </si>
  <si>
    <t>ABTI US EQUITY</t>
  </si>
  <si>
    <t>Alterola Biotech</t>
  </si>
  <si>
    <t>NEPH US EQUITY</t>
  </si>
  <si>
    <t>Nephros Inc</t>
  </si>
  <si>
    <t>NBRV US EQUITY</t>
  </si>
  <si>
    <t>Nabriva Therapeu</t>
  </si>
  <si>
    <t>BLPH US EQUITY</t>
  </si>
  <si>
    <t>Bellerophon Ther</t>
  </si>
  <si>
    <t>BRSF US EQUITY</t>
  </si>
  <si>
    <t>Brain Scientific</t>
  </si>
  <si>
    <t>LPTX US EQUITY</t>
  </si>
  <si>
    <t>Leap Therapeutic</t>
  </si>
  <si>
    <t>UBNC US EQUITY</t>
  </si>
  <si>
    <t>Union Bank</t>
  </si>
  <si>
    <t>ELTP US EQUITY</t>
  </si>
  <si>
    <t>Elite Pharmaceut</t>
  </si>
  <si>
    <t>FMBM US EQUITY</t>
  </si>
  <si>
    <t>F &amp; M Bank Corp</t>
  </si>
  <si>
    <t>PPIH US EQUITY</t>
  </si>
  <si>
    <t>Perma-Pipe Inter</t>
  </si>
  <si>
    <t>ORSN US EQUITY</t>
  </si>
  <si>
    <t>Orisun Acquisiti</t>
  </si>
  <si>
    <t>FFDF US EQUITY</t>
  </si>
  <si>
    <t>Ffd Financial Cr</t>
  </si>
  <si>
    <t>SFBC US EQUITY</t>
  </si>
  <si>
    <t>Sound Financial</t>
  </si>
  <si>
    <t>UBOH US EQUITY</t>
  </si>
  <si>
    <t>United Bancshare</t>
  </si>
  <si>
    <t>NACB US EQUITY</t>
  </si>
  <si>
    <t>Natl Cap Bk-D.C.</t>
  </si>
  <si>
    <t>TEUM US EQUITY</t>
  </si>
  <si>
    <t>Pareteum Corp</t>
  </si>
  <si>
    <t>INVE US EQUITY</t>
  </si>
  <si>
    <t>Identiv Inc</t>
  </si>
  <si>
    <t>ALOT US EQUITY</t>
  </si>
  <si>
    <t>Astronova Inc</t>
  </si>
  <si>
    <t>FBSS US EQUITY</t>
  </si>
  <si>
    <t>Fauquier Bkshs</t>
  </si>
  <si>
    <t>KINS US EQUITY</t>
  </si>
  <si>
    <t>Kingstone Cos In</t>
  </si>
  <si>
    <t>SIC US EQUITY</t>
  </si>
  <si>
    <t>Select Interio-A</t>
  </si>
  <si>
    <t>FETM US EQUITY</t>
  </si>
  <si>
    <t>Fentura Financia</t>
  </si>
  <si>
    <t>KTHN US EQUITY</t>
  </si>
  <si>
    <t>Katahdin Bankshs</t>
  </si>
  <si>
    <t>TRVN US EQUITY</t>
  </si>
  <si>
    <t>Trevena Inc</t>
  </si>
  <si>
    <t>REDW US EQUITY</t>
  </si>
  <si>
    <t>Redwood Finl</t>
  </si>
  <si>
    <t>TWCF US EQUITY</t>
  </si>
  <si>
    <t>Town &amp; Country F</t>
  </si>
  <si>
    <t>CLPT US EQUITY</t>
  </si>
  <si>
    <t>Clearpoint Neuro</t>
  </si>
  <si>
    <t>CFBI US EQUITY</t>
  </si>
  <si>
    <t>Community First</t>
  </si>
  <si>
    <t>REEMF US EQUITY</t>
  </si>
  <si>
    <t>Rare Element Res</t>
  </si>
  <si>
    <t>PURE US EQUITY</t>
  </si>
  <si>
    <t>Pure Bioscience</t>
  </si>
  <si>
    <t>BRPA US EQUITY</t>
  </si>
  <si>
    <t>Big Rock Partner</t>
  </si>
  <si>
    <t>STRT US EQUITY</t>
  </si>
  <si>
    <t>Strattec Sec</t>
  </si>
  <si>
    <t>KANP US EQUITY</t>
  </si>
  <si>
    <t>Kaanapali Land</t>
  </si>
  <si>
    <t>CPTA US EQUITY</t>
  </si>
  <si>
    <t>Capitala Finance</t>
  </si>
  <si>
    <t>BBGI US EQUITY</t>
  </si>
  <si>
    <t>Beasley Broad -A</t>
  </si>
  <si>
    <t>PRTY US EQUITY</t>
  </si>
  <si>
    <t>Party City Holdc</t>
  </si>
  <si>
    <t>AWRE US EQUITY</t>
  </si>
  <si>
    <t>Aware Inc</t>
  </si>
  <si>
    <t>STCN US EQUITY</t>
  </si>
  <si>
    <t>Steel Connect In</t>
  </si>
  <si>
    <t>MELR US EQUITY</t>
  </si>
  <si>
    <t>Melrose Bancorp</t>
  </si>
  <si>
    <t>BWMY US EQUITY</t>
  </si>
  <si>
    <t>Borrowmoney.Com</t>
  </si>
  <si>
    <t>MRAM US EQUITY</t>
  </si>
  <si>
    <t>Everspin Technol</t>
  </si>
  <si>
    <t>CODA US EQUITY</t>
  </si>
  <si>
    <t>Coda Octopus Gro</t>
  </si>
  <si>
    <t>AMRB US EQUITY</t>
  </si>
  <si>
    <t>Amer River Bank</t>
  </si>
  <si>
    <t>SQCF US EQUITY</t>
  </si>
  <si>
    <t>Susquehanna Comm</t>
  </si>
  <si>
    <t>CZNL US EQUITY</t>
  </si>
  <si>
    <t>Citizens Natl-Ky</t>
  </si>
  <si>
    <t>SMTI US EQUITY</t>
  </si>
  <si>
    <t>Sanara Medtech I</t>
  </si>
  <si>
    <t>LSBK US EQUITY</t>
  </si>
  <si>
    <t>Lake Shore Banco</t>
  </si>
  <si>
    <t>EGY US EQUITY</t>
  </si>
  <si>
    <t>Vaalco Energy</t>
  </si>
  <si>
    <t>CFBK US EQUITY</t>
  </si>
  <si>
    <t>Central Federal</t>
  </si>
  <si>
    <t>RNDB US EQUITY</t>
  </si>
  <si>
    <t>Randolph Bancorp</t>
  </si>
  <si>
    <t>CNRD US EQUITY</t>
  </si>
  <si>
    <t>Conrad Industrie</t>
  </si>
  <si>
    <t>ONTX US EQUITY</t>
  </si>
  <si>
    <t>Onconova Therape</t>
  </si>
  <si>
    <t>AERG US EQUITY</t>
  </si>
  <si>
    <t>Applied Energeti</t>
  </si>
  <si>
    <t>DLHC US EQUITY</t>
  </si>
  <si>
    <t>Dlh Holdings Cor</t>
  </si>
  <si>
    <t>JRSH US EQUITY</t>
  </si>
  <si>
    <t>Jerash Holdings</t>
  </si>
  <si>
    <t>PKKW US EQUITY</t>
  </si>
  <si>
    <t>Parkway Acquisit</t>
  </si>
  <si>
    <t>GLDT US EQUITY</t>
  </si>
  <si>
    <t>Gold Coast Banco</t>
  </si>
  <si>
    <t>PVAC US EQUITY</t>
  </si>
  <si>
    <t>Penn Virginia</t>
  </si>
  <si>
    <t>MAYS US EQUITY</t>
  </si>
  <si>
    <t>Mays (J.W.) Inc</t>
  </si>
  <si>
    <t>SGB US EQUITY</t>
  </si>
  <si>
    <t>Southwest Georgi</t>
  </si>
  <si>
    <t>MYBF US EQUITY</t>
  </si>
  <si>
    <t>Muncy Bank Finl</t>
  </si>
  <si>
    <t>NTIP US EQUITY</t>
  </si>
  <si>
    <t>Network-1 Techno</t>
  </si>
  <si>
    <t>ASRT US EQUITY</t>
  </si>
  <si>
    <t>Assertio Therape</t>
  </si>
  <si>
    <t>RIVE US EQUITY</t>
  </si>
  <si>
    <t>Riverview Financ</t>
  </si>
  <si>
    <t>DXR US EQUITY</t>
  </si>
  <si>
    <t>Daxor Corp</t>
  </si>
  <si>
    <t>MNBC US EQUITY</t>
  </si>
  <si>
    <t>Mnb Corp</t>
  </si>
  <si>
    <t>CRAWA US EQUITY</t>
  </si>
  <si>
    <t>Crawford United</t>
  </si>
  <si>
    <t>IOFB US EQUITY</t>
  </si>
  <si>
    <t>Iowa First Banc</t>
  </si>
  <si>
    <t>TRVR US EQUITY</t>
  </si>
  <si>
    <t>Two Rivers Finan</t>
  </si>
  <si>
    <t>INVU US EQUITY</t>
  </si>
  <si>
    <t>Investview Inc</t>
  </si>
  <si>
    <t>MGYR US EQUITY</t>
  </si>
  <si>
    <t>Magyar Bancorp</t>
  </si>
  <si>
    <t>CPIX US EQUITY</t>
  </si>
  <si>
    <t>Cumberland Pharm</t>
  </si>
  <si>
    <t>AIM US EQUITY</t>
  </si>
  <si>
    <t>Aim Immunotech I</t>
  </si>
  <si>
    <t>DRVD US EQUITY</t>
  </si>
  <si>
    <t>Driven Deliverie</t>
  </si>
  <si>
    <t>BXC US EQUITY</t>
  </si>
  <si>
    <t>Bluelinx Holding</t>
  </si>
  <si>
    <t>KLFE US EQUITY</t>
  </si>
  <si>
    <t>Kannalife Inc</t>
  </si>
  <si>
    <t>BEBE US EQUITY</t>
  </si>
  <si>
    <t>Bebe Stores Inc</t>
  </si>
  <si>
    <t>ISSC US EQUITY</t>
  </si>
  <si>
    <t>Innovative Sol</t>
  </si>
  <si>
    <t>ARDS US EQUITY</t>
  </si>
  <si>
    <t>Aridis Pharmaceu</t>
  </si>
  <si>
    <t>ARBV US EQUITY</t>
  </si>
  <si>
    <t>American Riviera</t>
  </si>
  <si>
    <t>UONEK US EQUITY</t>
  </si>
  <si>
    <t>Urban One Inc</t>
  </si>
  <si>
    <t>UONE US EQUITY</t>
  </si>
  <si>
    <t>LWLG US EQUITY</t>
  </si>
  <si>
    <t>Lightwave Logic</t>
  </si>
  <si>
    <t>IROQ US EQUITY</t>
  </si>
  <si>
    <t>If Bancorp Inc</t>
  </si>
  <si>
    <t>FTK US EQUITY</t>
  </si>
  <si>
    <t>Flotek Inds</t>
  </si>
  <si>
    <t>LTRX US EQUITY</t>
  </si>
  <si>
    <t>Lantronix Inc</t>
  </si>
  <si>
    <t>BIOQ US EQUITY</t>
  </si>
  <si>
    <t>Bioqual Inc</t>
  </si>
  <si>
    <t>MFIN US EQUITY</t>
  </si>
  <si>
    <t>Medallion Finl</t>
  </si>
  <si>
    <t>KEGXD US EQUITY</t>
  </si>
  <si>
    <t>Key Energy Serv</t>
  </si>
  <si>
    <t>SURF US EQUITY</t>
  </si>
  <si>
    <t>Surface Oncology</t>
  </si>
  <si>
    <t>CWBC US EQUITY</t>
  </si>
  <si>
    <t>Communi West Bcs</t>
  </si>
  <si>
    <t>FISB US EQUITY</t>
  </si>
  <si>
    <t>1St Capital Bank</t>
  </si>
  <si>
    <t>NICK US EQUITY</t>
  </si>
  <si>
    <t>Nicholas Finl</t>
  </si>
  <si>
    <t>INFI US EQUITY</t>
  </si>
  <si>
    <t>Infinity Pharmac</t>
  </si>
  <si>
    <t>RLBY US EQUITY</t>
  </si>
  <si>
    <t>Reliability Inc</t>
  </si>
  <si>
    <t>ASFI US EQUITY</t>
  </si>
  <si>
    <t>Asta Funding Inc</t>
  </si>
  <si>
    <t>GEC US EQUITY</t>
  </si>
  <si>
    <t>Great Elm Capita</t>
  </si>
  <si>
    <t>HZN US EQUITY</t>
  </si>
  <si>
    <t>Horizon Global</t>
  </si>
  <si>
    <t>ACOR US EQUITY</t>
  </si>
  <si>
    <t>Acorda Therapeut</t>
  </si>
  <si>
    <t>ELVT US EQUITY</t>
  </si>
  <si>
    <t>Elevate Credit I</t>
  </si>
  <si>
    <t>TETAA US EQUITY</t>
  </si>
  <si>
    <t>Teton Advisors-A</t>
  </si>
  <si>
    <t>TETAB US EQUITY</t>
  </si>
  <si>
    <t>Teton Advisors-B</t>
  </si>
  <si>
    <t>GDP US EQUITY</t>
  </si>
  <si>
    <t>Goodrich Petrole</t>
  </si>
  <si>
    <t>BLNK US EQUITY</t>
  </si>
  <si>
    <t>Blink Charging C</t>
  </si>
  <si>
    <t>UBAB US EQUITY</t>
  </si>
  <si>
    <t>United Bancorp-A</t>
  </si>
  <si>
    <t>PFBX US EQUITY</t>
  </si>
  <si>
    <t>Peoples Finl/Ms</t>
  </si>
  <si>
    <t>BRFH US EQUITY</t>
  </si>
  <si>
    <t>Barfresh Food Gr</t>
  </si>
  <si>
    <t>CVGI US EQUITY</t>
  </si>
  <si>
    <t>Commercial Vehic</t>
  </si>
  <si>
    <t>LEU US EQUITY</t>
  </si>
  <si>
    <t>Centrus Energy-A</t>
  </si>
  <si>
    <t>CCEL US EQUITY</t>
  </si>
  <si>
    <t>Cryo-Cell Intl</t>
  </si>
  <si>
    <t>ZNRG US EQUITY</t>
  </si>
  <si>
    <t>Znergy Inc</t>
  </si>
  <si>
    <t>CNAF US EQUITY</t>
  </si>
  <si>
    <t>Commercial Na/Pa</t>
  </si>
  <si>
    <t>CFMS US EQUITY</t>
  </si>
  <si>
    <t>Conformis Inc</t>
  </si>
  <si>
    <t>EYEN US EQUITY</t>
  </si>
  <si>
    <t>Eyenovia Inc</t>
  </si>
  <si>
    <t>CHRA US EQUITY</t>
  </si>
  <si>
    <t>Charah Solutions</t>
  </si>
  <si>
    <t>STKS US EQUITY</t>
  </si>
  <si>
    <t>One Group Hospit</t>
  </si>
  <si>
    <t>ASRV US EQUITY</t>
  </si>
  <si>
    <t>Ameriserv Financ</t>
  </si>
  <si>
    <t>CRWS US EQUITY</t>
  </si>
  <si>
    <t>Crown Crafts Inc</t>
  </si>
  <si>
    <t>SSBI US EQUITY</t>
  </si>
  <si>
    <t>Summit State Ban</t>
  </si>
  <si>
    <t>DVD US EQUITY</t>
  </si>
  <si>
    <t>Dover Motorsport</t>
  </si>
  <si>
    <t>BTTR US EQUITY</t>
  </si>
  <si>
    <t>Better Choice Co</t>
  </si>
  <si>
    <t>IEA US EQUITY</t>
  </si>
  <si>
    <t>Infrastructure A</t>
  </si>
  <si>
    <t>TESS US EQUITY</t>
  </si>
  <si>
    <t>Tessco Tech</t>
  </si>
  <si>
    <t>PRSI US EQUITY</t>
  </si>
  <si>
    <t>Portsmouth Squar</t>
  </si>
  <si>
    <t>SFRX US EQUITY</t>
  </si>
  <si>
    <t>Seafarer Explora</t>
  </si>
  <si>
    <t>PFSW US EQUITY</t>
  </si>
  <si>
    <t>Pfsweb Inc</t>
  </si>
  <si>
    <t>NLST US EQUITY</t>
  </si>
  <si>
    <t>Netlist Inc</t>
  </si>
  <si>
    <t>CNIG US EQUITY</t>
  </si>
  <si>
    <t>Corning Natural</t>
  </si>
  <si>
    <t>GIFI US EQUITY</t>
  </si>
  <si>
    <t>Gulf Island Fabr</t>
  </si>
  <si>
    <t>MRMD US EQUITY</t>
  </si>
  <si>
    <t>Marimed Inc</t>
  </si>
  <si>
    <t>WAYN US EQUITY</t>
  </si>
  <si>
    <t>Wayne Savings</t>
  </si>
  <si>
    <t>ARKR US EQUITY</t>
  </si>
  <si>
    <t>Ark Restaurants</t>
  </si>
  <si>
    <t>PBHC US EQUITY</t>
  </si>
  <si>
    <t>Pathfinder Bancp</t>
  </si>
  <si>
    <t>YRKB US EQUITY</t>
  </si>
  <si>
    <t>York Traditions</t>
  </si>
  <si>
    <t>VNCE US EQUITY</t>
  </si>
  <si>
    <t>Vince Holding Co</t>
  </si>
  <si>
    <t>DWNX US EQUITY</t>
  </si>
  <si>
    <t>Delhi Bank Corp</t>
  </si>
  <si>
    <t>ACRS US EQUITY</t>
  </si>
  <si>
    <t>Aclaris Therapeu</t>
  </si>
  <si>
    <t>KFS US EQUITY</t>
  </si>
  <si>
    <t>Kingsway Finl</t>
  </si>
  <si>
    <t>SNSS US EQUITY</t>
  </si>
  <si>
    <t>Sunesis Pharmac</t>
  </si>
  <si>
    <t>INTZ US EQUITY</t>
  </si>
  <si>
    <t>Intrusion Inc</t>
  </si>
  <si>
    <t>ABVC US EQUITY</t>
  </si>
  <si>
    <t>American Brivisi</t>
  </si>
  <si>
    <t>RELL US EQUITY</t>
  </si>
  <si>
    <t>Richardson Elec</t>
  </si>
  <si>
    <t>SMAL US EQUITY</t>
  </si>
  <si>
    <t>Summit Bancsh/Ca</t>
  </si>
  <si>
    <t>BWL/A US EQUITY</t>
  </si>
  <si>
    <t>Bowl America -A</t>
  </si>
  <si>
    <t>CZBT US EQUITY</t>
  </si>
  <si>
    <t>Citizens Bancorp</t>
  </si>
  <si>
    <t>ESCU US EQUITY</t>
  </si>
  <si>
    <t>Escue Energy Inc</t>
  </si>
  <si>
    <t>EQ US EQUITY</t>
  </si>
  <si>
    <t>Equillium Inc</t>
  </si>
  <si>
    <t>HFBL US EQUITY</t>
  </si>
  <si>
    <t>Home Federal/La</t>
  </si>
  <si>
    <t>ALPN US EQUITY</t>
  </si>
  <si>
    <t>Alpine Immune Sc</t>
  </si>
  <si>
    <t>PCSA US EQUITY</t>
  </si>
  <si>
    <t>Processa Pharmac</t>
  </si>
  <si>
    <t>AAME US EQUITY</t>
  </si>
  <si>
    <t>Atlantic Amer Co</t>
  </si>
  <si>
    <t>WFCF US EQUITY</t>
  </si>
  <si>
    <t>Where Food Comes</t>
  </si>
  <si>
    <t>NWHM US EQUITY</t>
  </si>
  <si>
    <t>New Home Co Inc/</t>
  </si>
  <si>
    <t>VLLX US EQUITY</t>
  </si>
  <si>
    <t>Valley Republic</t>
  </si>
  <si>
    <t>GNCA US EQUITY</t>
  </si>
  <si>
    <t>Genocea Bioscien</t>
  </si>
  <si>
    <t>PMHG US EQUITY</t>
  </si>
  <si>
    <t>Prime Meridian H</t>
  </si>
  <si>
    <t>CTRA US EQUITY</t>
  </si>
  <si>
    <t>Contura Energy I</t>
  </si>
  <si>
    <t>CBMB US EQUITY</t>
  </si>
  <si>
    <t>Cbm Bancorp Inc</t>
  </si>
  <si>
    <t>YCBD US EQUITY</t>
  </si>
  <si>
    <t>Cbdmd Inc</t>
  </si>
  <si>
    <t>HPR US EQUITY</t>
  </si>
  <si>
    <t>Highpoint Resour</t>
  </si>
  <si>
    <t>ZVO US EQUITY</t>
  </si>
  <si>
    <t>Zovio Inc</t>
  </si>
  <si>
    <t>MBOT US EQUITY</t>
  </si>
  <si>
    <t>Microbot Medical</t>
  </si>
  <si>
    <t>PTE US EQUITY</t>
  </si>
  <si>
    <t>Polarityte Inc</t>
  </si>
  <si>
    <t>KBLM US EQUITY</t>
  </si>
  <si>
    <t>Kbl Merger Corp</t>
  </si>
  <si>
    <t>FMFP US EQUITY</t>
  </si>
  <si>
    <t>First Comty Finl</t>
  </si>
  <si>
    <t>BXRX US EQUITY</t>
  </si>
  <si>
    <t>Baudax Bio Inc</t>
  </si>
  <si>
    <t>MEDS US EQUITY</t>
  </si>
  <si>
    <t>Trxade Group Inc</t>
  </si>
  <si>
    <t>BURCA US EQUITY</t>
  </si>
  <si>
    <t>Burnham Holdi-A</t>
  </si>
  <si>
    <t>BURCB US EQUITY</t>
  </si>
  <si>
    <t>Burnham Holdi-B</t>
  </si>
  <si>
    <t>AESE US EQUITY</t>
  </si>
  <si>
    <t>Allied Esports E</t>
  </si>
  <si>
    <t>OTLK US EQUITY</t>
  </si>
  <si>
    <t>Outlook Therapeu</t>
  </si>
  <si>
    <t>MCRAA US EQUITY</t>
  </si>
  <si>
    <t>Mcrae Inds -Cl A</t>
  </si>
  <si>
    <t>MCRAB US EQUITY</t>
  </si>
  <si>
    <t>Mcrae Inds -Cl B</t>
  </si>
  <si>
    <t>KFFB US EQUITY</t>
  </si>
  <si>
    <t>Kentucky First F</t>
  </si>
  <si>
    <t>TTSH US EQUITY</t>
  </si>
  <si>
    <t>Tile Shop Hldgs</t>
  </si>
  <si>
    <t>TTI US EQUITY</t>
  </si>
  <si>
    <t>Tetra Technologi</t>
  </si>
  <si>
    <t>ECRD US EQUITY</t>
  </si>
  <si>
    <t>Ecard Inc</t>
  </si>
  <si>
    <t>TTLO US EQUITY</t>
  </si>
  <si>
    <t>Torotel Inc</t>
  </si>
  <si>
    <t>LGL US EQUITY</t>
  </si>
  <si>
    <t>Lgl Group Inc</t>
  </si>
  <si>
    <t>CIBY US EQUITY</t>
  </si>
  <si>
    <t>Cibl Inc</t>
  </si>
  <si>
    <t>CPHC US EQUITY</t>
  </si>
  <si>
    <t>Canterbury Park</t>
  </si>
  <si>
    <t>ALT US EQUITY</t>
  </si>
  <si>
    <t>Altimmune Inc</t>
  </si>
  <si>
    <t>CBKM US EQUITY</t>
  </si>
  <si>
    <t>Consumers Bncrp</t>
  </si>
  <si>
    <t>FIEB US EQUITY</t>
  </si>
  <si>
    <t>First Ic Corp</t>
  </si>
  <si>
    <t>VBFC US EQUITY</t>
  </si>
  <si>
    <t>Village Bank And</t>
  </si>
  <si>
    <t>PMCB US EQUITY</t>
  </si>
  <si>
    <t>Pharmacyte Biote</t>
  </si>
  <si>
    <t>ZIVO US EQUITY</t>
  </si>
  <si>
    <t>Zivo Bioscience</t>
  </si>
  <si>
    <t>REI US EQUITY</t>
  </si>
  <si>
    <t>Ring Energy Inc</t>
  </si>
  <si>
    <t>AVNW US EQUITY</t>
  </si>
  <si>
    <t>Aviat Networks I</t>
  </si>
  <si>
    <t>BSPA US EQUITY</t>
  </si>
  <si>
    <t>Ballston Spa Ban</t>
  </si>
  <si>
    <t>APEN US EQUITY</t>
  </si>
  <si>
    <t>Apollo Endosurge</t>
  </si>
  <si>
    <t>IDRA US EQUITY</t>
  </si>
  <si>
    <t>Idera Pharmaceut</t>
  </si>
  <si>
    <t>PFMT US EQUITY</t>
  </si>
  <si>
    <t>Performant Finan</t>
  </si>
  <si>
    <t>FFWC US EQUITY</t>
  </si>
  <si>
    <t>Ffw Corp</t>
  </si>
  <si>
    <t>CBCA US EQUITY</t>
  </si>
  <si>
    <t>Crown Baus Capit</t>
  </si>
  <si>
    <t>CRSS US EQUITY</t>
  </si>
  <si>
    <t>Crossroads Syste</t>
  </si>
  <si>
    <t>RVCB US EQUITY</t>
  </si>
  <si>
    <t>River Valley Com</t>
  </si>
  <si>
    <t>ONCT US EQUITY</t>
  </si>
  <si>
    <t>Oncternal Therap</t>
  </si>
  <si>
    <t>JCS US EQUITY</t>
  </si>
  <si>
    <t>Comm Sys Inc</t>
  </si>
  <si>
    <t>FBVA US EQUITY</t>
  </si>
  <si>
    <t>Farmers Bankshar</t>
  </si>
  <si>
    <t>NAII US EQUITY</t>
  </si>
  <si>
    <t>Natural Alt Intl</t>
  </si>
  <si>
    <t>CFST US EQUITY</t>
  </si>
  <si>
    <t>Communities Firs</t>
  </si>
  <si>
    <t>QEPC US EQUITY</t>
  </si>
  <si>
    <t>Qep Company Inc</t>
  </si>
  <si>
    <t>MSVB US EQUITY</t>
  </si>
  <si>
    <t>Mid-Southern Ban</t>
  </si>
  <si>
    <t>NNVC US EQUITY</t>
  </si>
  <si>
    <t>Nanoviricides In</t>
  </si>
  <si>
    <t>RVP US EQUITY</t>
  </si>
  <si>
    <t>Retractable Tech</t>
  </si>
  <si>
    <t>RLH US EQUITY</t>
  </si>
  <si>
    <t>Red Lion Hotels</t>
  </si>
  <si>
    <t>EVSI US EQUITY</t>
  </si>
  <si>
    <t>Envision Solar I</t>
  </si>
  <si>
    <t>ESP US EQUITY</t>
  </si>
  <si>
    <t>Espey Mfg &amp; Elec</t>
  </si>
  <si>
    <t>UWHR US EQUITY</t>
  </si>
  <si>
    <t>Uwharrie Cap Cp</t>
  </si>
  <si>
    <t>NWPP US EQUITY</t>
  </si>
  <si>
    <t>New Peoples Bank</t>
  </si>
  <si>
    <t>NUBC US EQUITY</t>
  </si>
  <si>
    <t>Northumberlnd Bc</t>
  </si>
  <si>
    <t>WTWB US EQUITY</t>
  </si>
  <si>
    <t>West Town Bancor</t>
  </si>
  <si>
    <t>SCSG US EQUITY</t>
  </si>
  <si>
    <t>Southcrest Finan</t>
  </si>
  <si>
    <t>FMFG US EQUITY</t>
  </si>
  <si>
    <t>Farmers And Merc</t>
  </si>
  <si>
    <t>ITRM US EQUITY</t>
  </si>
  <si>
    <t>Iterum Therapeut</t>
  </si>
  <si>
    <t>ESBK US EQUITY</t>
  </si>
  <si>
    <t>Elmira Savings</t>
  </si>
  <si>
    <t>CFIN US EQUITY</t>
  </si>
  <si>
    <t>Citizens Finl/Ky</t>
  </si>
  <si>
    <t>RIBT US EQUITY</t>
  </si>
  <si>
    <t>Ricebran Technol</t>
  </si>
  <si>
    <t>PTMN US EQUITY</t>
  </si>
  <si>
    <t>Portman Ridge Fi</t>
  </si>
  <si>
    <t>OBCI US EQUITY</t>
  </si>
  <si>
    <t>Ocean Bio-Chem</t>
  </si>
  <si>
    <t>FZMD US EQUITY</t>
  </si>
  <si>
    <t>Fuse Medical Inc</t>
  </si>
  <si>
    <t>TRVI US EQUITY</t>
  </si>
  <si>
    <t>Trevi Therapeuti</t>
  </si>
  <si>
    <t>SFEF US EQUITY</t>
  </si>
  <si>
    <t>Santa Fe Finl</t>
  </si>
  <si>
    <t>PFIE US EQUITY</t>
  </si>
  <si>
    <t>Profire Energy I</t>
  </si>
  <si>
    <t>FKWL US EQUITY</t>
  </si>
  <si>
    <t>Franklin Wireles</t>
  </si>
  <si>
    <t>BTCY US EQUITY</t>
  </si>
  <si>
    <t>Biotricity Inc</t>
  </si>
  <si>
    <t>TZOO US EQUITY</t>
  </si>
  <si>
    <t>Travelzoo</t>
  </si>
  <si>
    <t>FLUX US EQUITY</t>
  </si>
  <si>
    <t>Flux Power Holdi</t>
  </si>
  <si>
    <t>HSTI US EQUITY</t>
  </si>
  <si>
    <t>High Sierra Tech</t>
  </si>
  <si>
    <t>WRLS US EQUITY</t>
  </si>
  <si>
    <t>Pensare Acquisit</t>
  </si>
  <si>
    <t>AXR US EQUITY</t>
  </si>
  <si>
    <t>Amrep Corp</t>
  </si>
  <si>
    <t>SBKO US EQUITY</t>
  </si>
  <si>
    <t>Summit Bank</t>
  </si>
  <si>
    <t>BOTJ US EQUITY</t>
  </si>
  <si>
    <t>Bank Of The Jame</t>
  </si>
  <si>
    <t>GNBT US EQUITY</t>
  </si>
  <si>
    <t>Generex Biotech</t>
  </si>
  <si>
    <t>COCP US EQUITY</t>
  </si>
  <si>
    <t>Cocrystal Pharma</t>
  </si>
  <si>
    <t>NEOS US EQUITY</t>
  </si>
  <si>
    <t>Neos Therapeutic</t>
  </si>
  <si>
    <t>DMAC US EQUITY</t>
  </si>
  <si>
    <t>Diamedica Therap</t>
  </si>
  <si>
    <t>ARTH US EQUITY</t>
  </si>
  <si>
    <t>Arch Therapeutic</t>
  </si>
  <si>
    <t>NCRA US EQUITY</t>
  </si>
  <si>
    <t>Nocera Inc</t>
  </si>
  <si>
    <t>AERO US EQUITY</t>
  </si>
  <si>
    <t>Aero Grow Intern</t>
  </si>
  <si>
    <t>CEFC US EQUITY</t>
  </si>
  <si>
    <t>Commercial Na/Mi</t>
  </si>
  <si>
    <t>HFBA US EQUITY</t>
  </si>
  <si>
    <t>Hfb Financial</t>
  </si>
  <si>
    <t>OPNT US EQUITY</t>
  </si>
  <si>
    <t>Opiant Pharmaceu</t>
  </si>
  <si>
    <t>FTR US EQUITY</t>
  </si>
  <si>
    <t>Frontier Communi</t>
  </si>
  <si>
    <t>SRTS US EQUITY</t>
  </si>
  <si>
    <t>Sensus Healthcar</t>
  </si>
  <si>
    <t>RFIL US EQUITY</t>
  </si>
  <si>
    <t>Rf Inds</t>
  </si>
  <si>
    <t>YDVL US EQUITY</t>
  </si>
  <si>
    <t>Yadkin Valley C0</t>
  </si>
  <si>
    <t>BYFC US EQUITY</t>
  </si>
  <si>
    <t>Broadway Finl/De</t>
  </si>
  <si>
    <t>GHSI US EQUITY</t>
  </si>
  <si>
    <t>Guardion Health</t>
  </si>
  <si>
    <t>AFI US EQUITY</t>
  </si>
  <si>
    <t>Armstrong Fl</t>
  </si>
  <si>
    <t>BCOW US EQUITY</t>
  </si>
  <si>
    <t>1895 Bancorp Ofw</t>
  </si>
  <si>
    <t>ZGSI US EQUITY</t>
  </si>
  <si>
    <t>Zero Gravity Sol</t>
  </si>
  <si>
    <t>FLFG US EQUITY</t>
  </si>
  <si>
    <t>Federal Life Gro</t>
  </si>
  <si>
    <t>ZEST US EQUITY</t>
  </si>
  <si>
    <t>Ecoark Holdings</t>
  </si>
  <si>
    <t>CHUC US EQUITY</t>
  </si>
  <si>
    <t>Charlie'S Holdin</t>
  </si>
  <si>
    <t>TORC US EQUITY</t>
  </si>
  <si>
    <t>Restorbio Inc</t>
  </si>
  <si>
    <t>MOBQ US EQUITY</t>
  </si>
  <si>
    <t>Mobiquity Techno</t>
  </si>
  <si>
    <t>FUSB US EQUITY</t>
  </si>
  <si>
    <t>First Us Bancsha</t>
  </si>
  <si>
    <t>ONVO US EQUITY</t>
  </si>
  <si>
    <t>Organovo Holding</t>
  </si>
  <si>
    <t>SNGX US EQUITY</t>
  </si>
  <si>
    <t>Soligenix Inc</t>
  </si>
  <si>
    <t>NHTC US EQUITY</t>
  </si>
  <si>
    <t>Natural Health</t>
  </si>
  <si>
    <t>NIDB US EQUITY</t>
  </si>
  <si>
    <t>Northeast Indian</t>
  </si>
  <si>
    <t>SBBG US EQUITY</t>
  </si>
  <si>
    <t>Seibels Bruce Gr</t>
  </si>
  <si>
    <t>LEAF US EQUITY</t>
  </si>
  <si>
    <t>Leaf Group Ltd</t>
  </si>
  <si>
    <t>TUSK US EQUITY</t>
  </si>
  <si>
    <t>Mammoth Energy S</t>
  </si>
  <si>
    <t>VUZI US EQUITY</t>
  </si>
  <si>
    <t>Vuzix Corp</t>
  </si>
  <si>
    <t>PACD US EQUITY</t>
  </si>
  <si>
    <t>Pacific Drilling</t>
  </si>
  <si>
    <t>ISR US EQUITY</t>
  </si>
  <si>
    <t>Isoray Inc</t>
  </si>
  <si>
    <t>RSKIA US EQUITY</t>
  </si>
  <si>
    <t>George Risk Indu</t>
  </si>
  <si>
    <t>TPCS US EQUITY</t>
  </si>
  <si>
    <t>Techprecision Co</t>
  </si>
  <si>
    <t>FOTB US EQUITY</t>
  </si>
  <si>
    <t>First Ottawa Ban</t>
  </si>
  <si>
    <t>SYNC US EQUITY</t>
  </si>
  <si>
    <t>Synacor Inc</t>
  </si>
  <si>
    <t>PPHI US EQUITY</t>
  </si>
  <si>
    <t>Positive Physici</t>
  </si>
  <si>
    <t>DIT US EQUITY</t>
  </si>
  <si>
    <t>Amcon Distribut</t>
  </si>
  <si>
    <t>EYES US EQUITY</t>
  </si>
  <si>
    <t>Second Sight Med</t>
  </si>
  <si>
    <t>ICCH US EQUITY</t>
  </si>
  <si>
    <t>Icc Holdings Inc</t>
  </si>
  <si>
    <t>ELLH US EQUITY</t>
  </si>
  <si>
    <t>Elah Hldgs Inc</t>
  </si>
  <si>
    <t>ETTX US EQUITY</t>
  </si>
  <si>
    <t>Entasis Therapeu</t>
  </si>
  <si>
    <t>GNC US EQUITY</t>
  </si>
  <si>
    <t>Gnc Holdings Inc</t>
  </si>
  <si>
    <t>SGNI US EQUITY</t>
  </si>
  <si>
    <t>Stemgen Inc</t>
  </si>
  <si>
    <t>HOTH US EQUITY</t>
  </si>
  <si>
    <t>Hoth Therapeutic</t>
  </si>
  <si>
    <t>AHC US EQUITY</t>
  </si>
  <si>
    <t>A H Belo Corp-A</t>
  </si>
  <si>
    <t>BASI US EQUITY</t>
  </si>
  <si>
    <t>Bioanalytical Sy</t>
  </si>
  <si>
    <t>FSEA US EQUITY</t>
  </si>
  <si>
    <t>First Seacoast B</t>
  </si>
  <si>
    <t>INVO US EQUITY</t>
  </si>
  <si>
    <t>Invo Bioscience</t>
  </si>
  <si>
    <t>CPSS US EQUITY</t>
  </si>
  <si>
    <t>Consumer Portfol</t>
  </si>
  <si>
    <t>TNXP US EQUITY</t>
  </si>
  <si>
    <t>Tonix Pharmaceut</t>
  </si>
  <si>
    <t>VSBN US EQUITY</t>
  </si>
  <si>
    <t>Vsb Bancorp Inc</t>
  </si>
  <si>
    <t>AEHR US EQUITY</t>
  </si>
  <si>
    <t>Aehr Test System</t>
  </si>
  <si>
    <t>MFON US EQUITY</t>
  </si>
  <si>
    <t>Mobivity Holding</t>
  </si>
  <si>
    <t>SOTK US EQUITY</t>
  </si>
  <si>
    <t>Sono-Tek Corp</t>
  </si>
  <si>
    <t>TMRC US EQUITY</t>
  </si>
  <si>
    <t>Texas Mineral Re</t>
  </si>
  <si>
    <t>HBSI US EQUITY</t>
  </si>
  <si>
    <t>Highlands Banksh</t>
  </si>
  <si>
    <t>HTBX US EQUITY</t>
  </si>
  <si>
    <t>Heat Biologics I</t>
  </si>
  <si>
    <t>AEYE US EQUITY</t>
  </si>
  <si>
    <t>Audioeye Inc</t>
  </si>
  <si>
    <t>SND US EQUITY</t>
  </si>
  <si>
    <t>Smart Sand Inc</t>
  </si>
  <si>
    <t>COMS US EQUITY</t>
  </si>
  <si>
    <t>Comsovereign Hol</t>
  </si>
  <si>
    <t>WEIN US EQUITY</t>
  </si>
  <si>
    <t>West End Indiana</t>
  </si>
  <si>
    <t>PTBS US EQUITY</t>
  </si>
  <si>
    <t>Potomac Bncshs</t>
  </si>
  <si>
    <t>EDUC US EQUITY</t>
  </si>
  <si>
    <t>Educational Dev</t>
  </si>
  <si>
    <t>OPGN US EQUITY</t>
  </si>
  <si>
    <t>Opgen Inc</t>
  </si>
  <si>
    <t>ARMP US EQUITY</t>
  </si>
  <si>
    <t>Armata Pharmaceu</t>
  </si>
  <si>
    <t>HLFN US EQUITY</t>
  </si>
  <si>
    <t>Home Loan Finl</t>
  </si>
  <si>
    <t>GNRV US EQUITY</t>
  </si>
  <si>
    <t>Grand River Comm</t>
  </si>
  <si>
    <t>CNSP US EQUITY</t>
  </si>
  <si>
    <t>Cns Pharmaceutic</t>
  </si>
  <si>
    <t>SNBP US EQUITY</t>
  </si>
  <si>
    <t>Sun Biopharma In</t>
  </si>
  <si>
    <t>BCTF US EQUITY</t>
  </si>
  <si>
    <t>Bancorp 34 Inc</t>
  </si>
  <si>
    <t>SUME US EQUITY</t>
  </si>
  <si>
    <t>Summer Energy Ho</t>
  </si>
  <si>
    <t>GCEI US EQUITY</t>
  </si>
  <si>
    <t>Global Clean Ene</t>
  </si>
  <si>
    <t>CTUY US EQUITY</t>
  </si>
  <si>
    <t>Century Next Fin</t>
  </si>
  <si>
    <t>SRYB US EQUITY</t>
  </si>
  <si>
    <t>Surrey Bancorp</t>
  </si>
  <si>
    <t>OTTW US EQUITY</t>
  </si>
  <si>
    <t>Ottawa Bancorp I</t>
  </si>
  <si>
    <t>ISDR US EQUITY</t>
  </si>
  <si>
    <t>Issuer Direct Co</t>
  </si>
  <si>
    <t>MWK US EQUITY</t>
  </si>
  <si>
    <t>Mohawk Group Hol</t>
  </si>
  <si>
    <t>WCRS US EQUITY</t>
  </si>
  <si>
    <t>Western Capital</t>
  </si>
  <si>
    <t>ACMTA US EQUITY</t>
  </si>
  <si>
    <t>Acmat Corp-A</t>
  </si>
  <si>
    <t>ACMT US EQUITY</t>
  </si>
  <si>
    <t>Acmat Corp</t>
  </si>
  <si>
    <t>NSEC US EQUITY</t>
  </si>
  <si>
    <t>Natl Sec Group</t>
  </si>
  <si>
    <t>APCX US EQUITY</t>
  </si>
  <si>
    <t>Apptech Corp</t>
  </si>
  <si>
    <t>NTWK US EQUITY</t>
  </si>
  <si>
    <t>Netsol Tech Inc</t>
  </si>
  <si>
    <t>SD US EQUITY</t>
  </si>
  <si>
    <t>Sandridge Energy</t>
  </si>
  <si>
    <t>SHDC US EQUITY</t>
  </si>
  <si>
    <t>Surety Holdings</t>
  </si>
  <si>
    <t>ADXS US EQUITY</t>
  </si>
  <si>
    <t>Advaxis Inc</t>
  </si>
  <si>
    <t>SUP US EQUITY</t>
  </si>
  <si>
    <t>Superior Inds</t>
  </si>
  <si>
    <t>BSHI US EQUITY</t>
  </si>
  <si>
    <t>Boss Holdings</t>
  </si>
  <si>
    <t>VIRC US EQUITY</t>
  </si>
  <si>
    <t>Virco Mfg</t>
  </si>
  <si>
    <t>ICMB US EQUITY</t>
  </si>
  <si>
    <t>Investcorp Credi</t>
  </si>
  <si>
    <t>OMEX US EQUITY</t>
  </si>
  <si>
    <t>Odyssey Marine</t>
  </si>
  <si>
    <t>MBRX US EQUITY</t>
  </si>
  <si>
    <t>Moleculin Biotec</t>
  </si>
  <si>
    <t>PPBN US EQUITY</t>
  </si>
  <si>
    <t>Pinnacle Bankshs</t>
  </si>
  <si>
    <t>AP US EQUITY</t>
  </si>
  <si>
    <t>Ampco-Pittsburgh</t>
  </si>
  <si>
    <t>SADL US EQUITY</t>
  </si>
  <si>
    <t>Sadlier Inc</t>
  </si>
  <si>
    <t>BSTG US EQUITY</t>
  </si>
  <si>
    <t>Biostage Inc</t>
  </si>
  <si>
    <t>SNGY US EQUITY</t>
  </si>
  <si>
    <t>Synrgy Corp</t>
  </si>
  <si>
    <t>VTNR US EQUITY</t>
  </si>
  <si>
    <t>Vertex Energy In</t>
  </si>
  <si>
    <t>TRCH US EQUITY</t>
  </si>
  <si>
    <t>Torchlight Energ</t>
  </si>
  <si>
    <t>KSBI US EQUITY</t>
  </si>
  <si>
    <t>Ks Bancorp Inc</t>
  </si>
  <si>
    <t>CLWY US EQUITY</t>
  </si>
  <si>
    <t>Calloway'S Nurse</t>
  </si>
  <si>
    <t>MMMB US EQUITY</t>
  </si>
  <si>
    <t>Mamamancini'S Ho</t>
  </si>
  <si>
    <t>TORW US EQUITY</t>
  </si>
  <si>
    <t>Torrington Water</t>
  </si>
  <si>
    <t>TLF US EQUITY</t>
  </si>
  <si>
    <t>Tandy Leather Fa</t>
  </si>
  <si>
    <t>CLDX US EQUITY</t>
  </si>
  <si>
    <t>Celldex Therapeu</t>
  </si>
  <si>
    <t>PWBO US EQUITY</t>
  </si>
  <si>
    <t>Pacific West Bk</t>
  </si>
  <si>
    <t>ATNM US EQUITY</t>
  </si>
  <si>
    <t>Actinium Pharmac</t>
  </si>
  <si>
    <t>BORT US EQUITY</t>
  </si>
  <si>
    <t>Bank Of Botetour</t>
  </si>
  <si>
    <t>ICCC US EQUITY</t>
  </si>
  <si>
    <t>Immucell Corp</t>
  </si>
  <si>
    <t>DKMR US EQUITY</t>
  </si>
  <si>
    <t>Duke Mountain</t>
  </si>
  <si>
    <t>SCNA US EQUITY</t>
  </si>
  <si>
    <t>Smart Cannabis C</t>
  </si>
  <si>
    <t>QBIO US EQUITY</t>
  </si>
  <si>
    <t>Q Biomed Inc</t>
  </si>
  <si>
    <t>HWCC US EQUITY</t>
  </si>
  <si>
    <t>Houston Wire &amp; C</t>
  </si>
  <si>
    <t>RPMT US EQUITY</t>
  </si>
  <si>
    <t>Rego Payment Arc</t>
  </si>
  <si>
    <t>TAYD US EQUITY</t>
  </si>
  <si>
    <t>Taylor Devices</t>
  </si>
  <si>
    <t>CHAP US EQUITY</t>
  </si>
  <si>
    <t>Chaparral Ener-A</t>
  </si>
  <si>
    <t>AIRT US EQUITY</t>
  </si>
  <si>
    <t>Air T Inc</t>
  </si>
  <si>
    <t>PATI US EQUITY</t>
  </si>
  <si>
    <t>Patriot Transpor</t>
  </si>
  <si>
    <t>IEHC US EQUITY</t>
  </si>
  <si>
    <t>Ieh Corp</t>
  </si>
  <si>
    <t>GECC US EQUITY</t>
  </si>
  <si>
    <t>WDFN US EQUITY</t>
  </si>
  <si>
    <t>Woodlands Finl</t>
  </si>
  <si>
    <t>HCAP US EQUITY</t>
  </si>
  <si>
    <t>Harvest Capital</t>
  </si>
  <si>
    <t>MCC US EQUITY</t>
  </si>
  <si>
    <t>Medley Capital C</t>
  </si>
  <si>
    <t>KOPN US EQUITY</t>
  </si>
  <si>
    <t>Kopin Corp</t>
  </si>
  <si>
    <t>YGYI US EQUITY</t>
  </si>
  <si>
    <t>Youngevity Inter</t>
  </si>
  <si>
    <t>PHUN US EQUITY</t>
  </si>
  <si>
    <t>Phunware Inc</t>
  </si>
  <si>
    <t>TOCA US EQUITY</t>
  </si>
  <si>
    <t>Tocagen Inc</t>
  </si>
  <si>
    <t>AIRI US EQUITY</t>
  </si>
  <si>
    <t>Air Industries G</t>
  </si>
  <si>
    <t>INMB US EQUITY</t>
  </si>
  <si>
    <t>Inmune Bio Inc</t>
  </si>
  <si>
    <t>CPMD US EQUITY</t>
  </si>
  <si>
    <t>Cannapharmarx In</t>
  </si>
  <si>
    <t>WYY US EQUITY</t>
  </si>
  <si>
    <t>Widepoint Corp</t>
  </si>
  <si>
    <t>VRUS US EQUITY</t>
  </si>
  <si>
    <t>Verus Internatio</t>
  </si>
  <si>
    <t>ARC US EQUITY</t>
  </si>
  <si>
    <t>Arc Document Sol</t>
  </si>
  <si>
    <t>FDLB US EQUITY</t>
  </si>
  <si>
    <t>Fid Fed Bancorp</t>
  </si>
  <si>
    <t>RMCF US EQUITY</t>
  </si>
  <si>
    <t>Rocky Mtn Choc</t>
  </si>
  <si>
    <t>NCSM US EQUITY</t>
  </si>
  <si>
    <t>Ncs Multistage H</t>
  </si>
  <si>
    <t>PMD US EQUITY</t>
  </si>
  <si>
    <t>Psychemedics Crp</t>
  </si>
  <si>
    <t>MPAD US EQUITY</t>
  </si>
  <si>
    <t>Micropac Indust</t>
  </si>
  <si>
    <t>RNET US EQUITY</t>
  </si>
  <si>
    <t>Rignet Inc</t>
  </si>
  <si>
    <t>ONCS US EQUITY</t>
  </si>
  <si>
    <t>Oncosec Medical</t>
  </si>
  <si>
    <t>BIOC US EQUITY</t>
  </si>
  <si>
    <t>Biocept Inc</t>
  </si>
  <si>
    <t>STBI US EQUITY</t>
  </si>
  <si>
    <t>Sturgis Bancorp</t>
  </si>
  <si>
    <t>HFBK US EQUITY</t>
  </si>
  <si>
    <t>Harford Bank</t>
  </si>
  <si>
    <t>AGE US EQUITY</t>
  </si>
  <si>
    <t>Agex Therapeutic</t>
  </si>
  <si>
    <t>ZSAN US EQUITY</t>
  </si>
  <si>
    <t>Zosano Pharma Co</t>
  </si>
  <si>
    <t>SSKN US EQUITY</t>
  </si>
  <si>
    <t>Strata Skin Scie</t>
  </si>
  <si>
    <t>PRCP US EQUITY</t>
  </si>
  <si>
    <t>Perceptron Inc</t>
  </si>
  <si>
    <t>CCUR US EQUITY</t>
  </si>
  <si>
    <t>Ccur Holdings In</t>
  </si>
  <si>
    <t>LIFE US EQUITY</t>
  </si>
  <si>
    <t>Atyr Pharma Inc</t>
  </si>
  <si>
    <t>RAND US EQUITY</t>
  </si>
  <si>
    <t>Rand Capital</t>
  </si>
  <si>
    <t>TUES US EQUITY</t>
  </si>
  <si>
    <t>Tuesday Morning</t>
  </si>
  <si>
    <t>SHLO US EQUITY</t>
  </si>
  <si>
    <t>Shiloh Inds</t>
  </si>
  <si>
    <t>NOVN US EQUITY</t>
  </si>
  <si>
    <t>Novan Inc</t>
  </si>
  <si>
    <t>FAT US EQUITY</t>
  </si>
  <si>
    <t>Fat Brands Inc</t>
  </si>
  <si>
    <t>KTCC US EQUITY</t>
  </si>
  <si>
    <t>Key Tronic Corp</t>
  </si>
  <si>
    <t>RCAT US EQUITY</t>
  </si>
  <si>
    <t>Red Cat Holdings</t>
  </si>
  <si>
    <t>HCBC US EQUITY</t>
  </si>
  <si>
    <t>High Country Bcp</t>
  </si>
  <si>
    <t>QES US EQUITY</t>
  </si>
  <si>
    <t>Quintana Energy</t>
  </si>
  <si>
    <t>ZFGN US EQUITY</t>
  </si>
  <si>
    <t>Zafgen Inc</t>
  </si>
  <si>
    <t>OSBK US EQUITY</t>
  </si>
  <si>
    <t>Oconee Financial</t>
  </si>
  <si>
    <t>STIM US EQUITY</t>
  </si>
  <si>
    <t>Neuronetics Inc</t>
  </si>
  <si>
    <t>RYFL US EQUITY</t>
  </si>
  <si>
    <t>Royal Financial</t>
  </si>
  <si>
    <t>FLL US EQUITY</t>
  </si>
  <si>
    <t>Full House Resrt</t>
  </si>
  <si>
    <t>BAFI US EQUITY</t>
  </si>
  <si>
    <t>Bancaffiliated</t>
  </si>
  <si>
    <t>BIXT US EQUITY</t>
  </si>
  <si>
    <t>Bioxytran Inc</t>
  </si>
  <si>
    <t>RNWK US EQUITY</t>
  </si>
  <si>
    <t>Realnetworks Inc</t>
  </si>
  <si>
    <t>HGLC US EQUITY</t>
  </si>
  <si>
    <t>Hunt Gold Corp</t>
  </si>
  <si>
    <t>LWAY US EQUITY</t>
  </si>
  <si>
    <t>Lifeway Foods</t>
  </si>
  <si>
    <t>PCLB US EQUITY</t>
  </si>
  <si>
    <t>Pinnacle Bancsha</t>
  </si>
  <si>
    <t>CNBX US EQUITY</t>
  </si>
  <si>
    <t>Cannabics Pharma</t>
  </si>
  <si>
    <t>AFAP US EQUITY</t>
  </si>
  <si>
    <t>Afa Protective</t>
  </si>
  <si>
    <t>PIH US EQUITY</t>
  </si>
  <si>
    <t>1347 Property In</t>
  </si>
  <si>
    <t>BUKS US EQUITY</t>
  </si>
  <si>
    <t>Butler Natl</t>
  </si>
  <si>
    <t>DLTI US EQUITY</t>
  </si>
  <si>
    <t>Dlt Resolution I</t>
  </si>
  <si>
    <t>CFOK US EQUITY</t>
  </si>
  <si>
    <t>Communi First/Sc</t>
  </si>
  <si>
    <t>PNBK US EQUITY</t>
  </si>
  <si>
    <t>Patriot Natl Bnc</t>
  </si>
  <si>
    <t>FRD US EQUITY</t>
  </si>
  <si>
    <t>Friedman Indtry</t>
  </si>
  <si>
    <t>GARS US EQUITY</t>
  </si>
  <si>
    <t>Garrison Capital</t>
  </si>
  <si>
    <t>EMMS US EQUITY</t>
  </si>
  <si>
    <t>Emmis Communic-A</t>
  </si>
  <si>
    <t>GADS US EQUITY</t>
  </si>
  <si>
    <t>Gadsden Properti</t>
  </si>
  <si>
    <t>BRBW US EQUITY</t>
  </si>
  <si>
    <t>Brunswick Bncrp</t>
  </si>
  <si>
    <t>FUV US EQUITY</t>
  </si>
  <si>
    <t>Arcimoto Inc</t>
  </si>
  <si>
    <t>CNFR US EQUITY</t>
  </si>
  <si>
    <t>Conifer Holdings</t>
  </si>
  <si>
    <t>AREC US EQUITY</t>
  </si>
  <si>
    <t>American Resourc</t>
  </si>
  <si>
    <t>WTER US EQUITY</t>
  </si>
  <si>
    <t>Alkaline Water C</t>
  </si>
  <si>
    <t>USAK US EQUITY</t>
  </si>
  <si>
    <t>Usa Truck Inc</t>
  </si>
  <si>
    <t>FBPI US EQUITY</t>
  </si>
  <si>
    <t>First Bancorp/In</t>
  </si>
  <si>
    <t>CSPI US EQUITY</t>
  </si>
  <si>
    <t>Csp Inc</t>
  </si>
  <si>
    <t>OPGX US EQUITY</t>
  </si>
  <si>
    <t>Optigenex Inc</t>
  </si>
  <si>
    <t>FPAY US EQUITY</t>
  </si>
  <si>
    <t>Flexshopper Inc</t>
  </si>
  <si>
    <t>MDIA US EQUITY</t>
  </si>
  <si>
    <t>Mediaco Hol-A-Wi</t>
  </si>
  <si>
    <t>SIMA US EQUITY</t>
  </si>
  <si>
    <t>Sonics &amp; Materia</t>
  </si>
  <si>
    <t>ANIX US EQUITY</t>
  </si>
  <si>
    <t>Anixa Bioscience</t>
  </si>
  <si>
    <t>ADVC US EQUITY</t>
  </si>
  <si>
    <t>Advant-E Corp</t>
  </si>
  <si>
    <t>EQFN US EQUITY</t>
  </si>
  <si>
    <t>Equitable Financ</t>
  </si>
  <si>
    <t>ALJJ US EQUITY</t>
  </si>
  <si>
    <t>Alj Regional Hol</t>
  </si>
  <si>
    <t>FBPA US EQUITY</t>
  </si>
  <si>
    <t>Farmers Bank App</t>
  </si>
  <si>
    <t>CNCG US EQUITY</t>
  </si>
  <si>
    <t>Concierge Techno</t>
  </si>
  <si>
    <t>CALW US EQUITY</t>
  </si>
  <si>
    <t>Calwest Bancorp</t>
  </si>
  <si>
    <t>ORNC US EQUITY</t>
  </si>
  <si>
    <t>Oranco Inc</t>
  </si>
  <si>
    <t>FDVA US EQUITY</t>
  </si>
  <si>
    <t>Freedom Bank Of</t>
  </si>
  <si>
    <t>SRAX US EQUITY</t>
  </si>
  <si>
    <t>Srax Inc</t>
  </si>
  <si>
    <t>HNRG US EQUITY</t>
  </si>
  <si>
    <t>Hallador Energy</t>
  </si>
  <si>
    <t>MACK US EQUITY</t>
  </si>
  <si>
    <t>Merrimack Pharma</t>
  </si>
  <si>
    <t>FNJN US EQUITY</t>
  </si>
  <si>
    <t>Finjan Holdings</t>
  </si>
  <si>
    <t>STRM US EQUITY</t>
  </si>
  <si>
    <t>Streamline Healt</t>
  </si>
  <si>
    <t>CNBZ US EQUITY</t>
  </si>
  <si>
    <t>Cnb Corp /Mi</t>
  </si>
  <si>
    <t>WLMS US EQUITY</t>
  </si>
  <si>
    <t>Williams Industr</t>
  </si>
  <si>
    <t>BLGO US EQUITY</t>
  </si>
  <si>
    <t>Biolargo Inc</t>
  </si>
  <si>
    <t>ALMC US EQUITY</t>
  </si>
  <si>
    <t>Alimco Financial</t>
  </si>
  <si>
    <t>TACT US EQUITY</t>
  </si>
  <si>
    <t>Transact Tech</t>
  </si>
  <si>
    <t>HDSN US EQUITY</t>
  </si>
  <si>
    <t>Hudson Tech</t>
  </si>
  <si>
    <t>RDGC US EQUITY</t>
  </si>
  <si>
    <t>Redwood Green Co</t>
  </si>
  <si>
    <t>BKOR US EQUITY</t>
  </si>
  <si>
    <t>Oak Ridge Financ</t>
  </si>
  <si>
    <t>GVYB US EQUITY</t>
  </si>
  <si>
    <t>Golden Valley Ba</t>
  </si>
  <si>
    <t>MDVT US EQUITY</t>
  </si>
  <si>
    <t>Middlebury Natl</t>
  </si>
  <si>
    <t>WATT US EQUITY</t>
  </si>
  <si>
    <t>Energous Corp</t>
  </si>
  <si>
    <t>HVBC US EQUITY</t>
  </si>
  <si>
    <t>Hv Bancorp Inc</t>
  </si>
  <si>
    <t>MGHL US EQUITY</t>
  </si>
  <si>
    <t>Morgan Group Hol</t>
  </si>
  <si>
    <t>CYAP US EQUITY</t>
  </si>
  <si>
    <t>Cyber Apps World</t>
  </si>
  <si>
    <t>LFIN US EQUITY</t>
  </si>
  <si>
    <t>Longfin Corp</t>
  </si>
  <si>
    <t>HCR US EQUITY</t>
  </si>
  <si>
    <t>Hi-Crush Inc</t>
  </si>
  <si>
    <t>CLRO US EQUITY</t>
  </si>
  <si>
    <t>Clearone Inc</t>
  </si>
  <si>
    <t>EVOK US EQUITY</t>
  </si>
  <si>
    <t>Evoke Pharma Inc</t>
  </si>
  <si>
    <t>SYCRF US EQUITY</t>
  </si>
  <si>
    <t>Syncora Holdings</t>
  </si>
  <si>
    <t>CRBO US EQUITY</t>
  </si>
  <si>
    <t>Carbon Energy Co</t>
  </si>
  <si>
    <t>SBOW US EQUITY</t>
  </si>
  <si>
    <t>Silverbow Resour</t>
  </si>
  <si>
    <t>NMTC US EQUITY</t>
  </si>
  <si>
    <t>Neuroone Medical</t>
  </si>
  <si>
    <t>FNEC US EQUITY</t>
  </si>
  <si>
    <t>First National E</t>
  </si>
  <si>
    <t>ADMP US EQUITY</t>
  </si>
  <si>
    <t>Adamis Pharmaceu</t>
  </si>
  <si>
    <t>HKBT US EQUITY</t>
  </si>
  <si>
    <t>Hk Battery Techn</t>
  </si>
  <si>
    <t>FSRL US EQUITY</t>
  </si>
  <si>
    <t>First Reliance</t>
  </si>
  <si>
    <t>INTT US EQUITY</t>
  </si>
  <si>
    <t>Intest Corp</t>
  </si>
  <si>
    <t>FACO US EQUITY</t>
  </si>
  <si>
    <t>First Acceptance</t>
  </si>
  <si>
    <t>JMDA US EQUITY</t>
  </si>
  <si>
    <t>Jerrick Media Ho</t>
  </si>
  <si>
    <t>UNIB US EQUITY</t>
  </si>
  <si>
    <t>University Bncrp</t>
  </si>
  <si>
    <t>ROKK US EQUITY</t>
  </si>
  <si>
    <t>Rokk3R Inc</t>
  </si>
  <si>
    <t>CTDH US EQUITY</t>
  </si>
  <si>
    <t>Cyclo Therapeuti</t>
  </si>
  <si>
    <t>UNAM US EQUITY</t>
  </si>
  <si>
    <t>Unico Amer Corp</t>
  </si>
  <si>
    <t>CIWV US EQUITY</t>
  </si>
  <si>
    <t>Citizens Finl/Wv</t>
  </si>
  <si>
    <t>PIAC US EQUITY</t>
  </si>
  <si>
    <t>Princeton Capita</t>
  </si>
  <si>
    <t>ENGT US EQUITY</t>
  </si>
  <si>
    <t>Energy &amp; Technol</t>
  </si>
  <si>
    <t>CVU US EQUITY</t>
  </si>
  <si>
    <t>Cpi Aerostructur</t>
  </si>
  <si>
    <t>GOVB US EQUITY</t>
  </si>
  <si>
    <t>Gouverneur Banc</t>
  </si>
  <si>
    <t>BEOB US EQUITY</t>
  </si>
  <si>
    <t>Beo Bancorp</t>
  </si>
  <si>
    <t>MGEN US EQUITY</t>
  </si>
  <si>
    <t>Miragen Therapeu</t>
  </si>
  <si>
    <t>XELA US EQUITY</t>
  </si>
  <si>
    <t>Exela Technologi</t>
  </si>
  <si>
    <t>SEGN US EQUITY</t>
  </si>
  <si>
    <t>Success Entertai</t>
  </si>
  <si>
    <t>BGFV US EQUITY</t>
  </si>
  <si>
    <t>Big 5 Sporting</t>
  </si>
  <si>
    <t>PEGX US EQUITY</t>
  </si>
  <si>
    <t>Pegasus Companie</t>
  </si>
  <si>
    <t>FSBC US EQUITY</t>
  </si>
  <si>
    <t>Fsb Bancorp Inc/</t>
  </si>
  <si>
    <t>PYX US EQUITY</t>
  </si>
  <si>
    <t>Pyxus Internatio</t>
  </si>
  <si>
    <t>VERB US EQUITY</t>
  </si>
  <si>
    <t>Verb Technology</t>
  </si>
  <si>
    <t>SAFO US EQUITY</t>
  </si>
  <si>
    <t>Save Foods Inc</t>
  </si>
  <si>
    <t>LSFG US EQUITY</t>
  </si>
  <si>
    <t>Lifestore Financ</t>
  </si>
  <si>
    <t>BUDZ US EQUITY</t>
  </si>
  <si>
    <t>Weed Inc</t>
  </si>
  <si>
    <t>LPTH US EQUITY</t>
  </si>
  <si>
    <t>Lightpath Tech-A</t>
  </si>
  <si>
    <t>STMH US EQUITY</t>
  </si>
  <si>
    <t>Stem Holdings In</t>
  </si>
  <si>
    <t>MDLY US EQUITY</t>
  </si>
  <si>
    <t>Medley Manage-A</t>
  </si>
  <si>
    <t>AEY US EQUITY</t>
  </si>
  <si>
    <t>Addvantage Tech</t>
  </si>
  <si>
    <t>OGEN US EQUITY</t>
  </si>
  <si>
    <t>Oragenics Inc</t>
  </si>
  <si>
    <t>CRIS US EQUITY</t>
  </si>
  <si>
    <t>Curis Inc</t>
  </si>
  <si>
    <t>MTEX US EQUITY</t>
  </si>
  <si>
    <t>Mannatech Inc</t>
  </si>
  <si>
    <t>AQMS US EQUITY</t>
  </si>
  <si>
    <t>Aqua Metals Inc</t>
  </si>
  <si>
    <t>SMID US EQUITY</t>
  </si>
  <si>
    <t>Smith-Midland Cp</t>
  </si>
  <si>
    <t>ONVC US EQUITY</t>
  </si>
  <si>
    <t>Online Vacation</t>
  </si>
  <si>
    <t>FIDS US EQUITY</t>
  </si>
  <si>
    <t>Fnb Inc/Ohio</t>
  </si>
  <si>
    <t>VPLM US EQUITY</t>
  </si>
  <si>
    <t>Voip-Pal.Com Inc</t>
  </si>
  <si>
    <t>COSM US EQUITY</t>
  </si>
  <si>
    <t>Cosmos Holdings</t>
  </si>
  <si>
    <t>QUIK US EQUITY</t>
  </si>
  <si>
    <t>Quicklogic Corp</t>
  </si>
  <si>
    <t>BSCA US EQUITY</t>
  </si>
  <si>
    <t>Bank Santa Clari</t>
  </si>
  <si>
    <t>MMND US EQUITY</t>
  </si>
  <si>
    <t>Mastermind Inc</t>
  </si>
  <si>
    <t>FRFC US EQUITY</t>
  </si>
  <si>
    <t>First Robinson</t>
  </si>
  <si>
    <t>IFMK US EQUITY</t>
  </si>
  <si>
    <t>Ifresh Inc</t>
  </si>
  <si>
    <t>AUMN US EQUITY</t>
  </si>
  <si>
    <t>Golden Minerals</t>
  </si>
  <si>
    <t>RKDA US EQUITY</t>
  </si>
  <si>
    <t>Arcadia Bioscien</t>
  </si>
  <si>
    <t>WVFC US EQUITY</t>
  </si>
  <si>
    <t>Wvs Finl Corp</t>
  </si>
  <si>
    <t>CNNB US EQUITY</t>
  </si>
  <si>
    <t>Cincinnati Banco</t>
  </si>
  <si>
    <t>TGEN US EQUITY</t>
  </si>
  <si>
    <t>Tecogen Inc/Walt</t>
  </si>
  <si>
    <t>VDKB US EQUITY</t>
  </si>
  <si>
    <t>Vodka Brands Cor</t>
  </si>
  <si>
    <t>WVVI US EQUITY</t>
  </si>
  <si>
    <t>Willamette Vally</t>
  </si>
  <si>
    <t>EFBI US EQUITY</t>
  </si>
  <si>
    <t>GLPT US EQUITY</t>
  </si>
  <si>
    <t>Global Profit Te</t>
  </si>
  <si>
    <t>CLSN US EQUITY</t>
  </si>
  <si>
    <t>Celsion Corp</t>
  </si>
  <si>
    <t>OSS US EQUITY</t>
  </si>
  <si>
    <t>One Stop Systems</t>
  </si>
  <si>
    <t>MRZM US EQUITY</t>
  </si>
  <si>
    <t>Marizyme Inc</t>
  </si>
  <si>
    <t>QNTO US EQUITY</t>
  </si>
  <si>
    <t>Quaint Oak Banco</t>
  </si>
  <si>
    <t>TMAK US EQUITY</t>
  </si>
  <si>
    <t>Touchmark Bancsh</t>
  </si>
  <si>
    <t>CUI US EQUITY</t>
  </si>
  <si>
    <t>Cui Global Inc</t>
  </si>
  <si>
    <t>SLRK US EQUITY</t>
  </si>
  <si>
    <t>Solera National</t>
  </si>
  <si>
    <t>QEBR US EQUITY</t>
  </si>
  <si>
    <t>Virtual Medical</t>
  </si>
  <si>
    <t>DAIO US EQUITY</t>
  </si>
  <si>
    <t>Data I/O Corp</t>
  </si>
  <si>
    <t>IRIX US EQUITY</t>
  </si>
  <si>
    <t>Iridex Corp</t>
  </si>
  <si>
    <t>ALNA US EQUITY</t>
  </si>
  <si>
    <t>Allena Pharmaceu</t>
  </si>
  <si>
    <t>RIOT US EQUITY</t>
  </si>
  <si>
    <t>Riot Blockchain</t>
  </si>
  <si>
    <t>DWSN US EQUITY</t>
  </si>
  <si>
    <t>Dawson Geophysic</t>
  </si>
  <si>
    <t>HYRE US EQUITY</t>
  </si>
  <si>
    <t>Hyrecar Inc</t>
  </si>
  <si>
    <t>UAMY US EQUITY</t>
  </si>
  <si>
    <t>Us Antimony Corp</t>
  </si>
  <si>
    <t>ASTC US EQUITY</t>
  </si>
  <si>
    <t>Astrotech Corp</t>
  </si>
  <si>
    <t>ANVS US EQUITY</t>
  </si>
  <si>
    <t>Annovis Bio</t>
  </si>
  <si>
    <t>MVLY US EQUITY</t>
  </si>
  <si>
    <t>Mission Valley B</t>
  </si>
  <si>
    <t>SALM US EQUITY</t>
  </si>
  <si>
    <t>Salem Media Grou</t>
  </si>
  <si>
    <t>FCOB US EQUITY</t>
  </si>
  <si>
    <t>1St Colonial Ban</t>
  </si>
  <si>
    <t>RGRX US EQUITY</t>
  </si>
  <si>
    <t>Regenerx Biophar</t>
  </si>
  <si>
    <t>BLCM US EQUITY</t>
  </si>
  <si>
    <t>Bellicum Pharmac</t>
  </si>
  <si>
    <t>PUBC US EQUITY</t>
  </si>
  <si>
    <t>Purebase Corp</t>
  </si>
  <si>
    <t>PNBI US EQUITY</t>
  </si>
  <si>
    <t>Pioneer Bankshar</t>
  </si>
  <si>
    <t>NES US EQUITY</t>
  </si>
  <si>
    <t>Nuverra Environm</t>
  </si>
  <si>
    <t>BYRN US EQUITY</t>
  </si>
  <si>
    <t>Byrna Technologi</t>
  </si>
  <si>
    <t>EXEO US EQUITY</t>
  </si>
  <si>
    <t>Exeo Entertainme</t>
  </si>
  <si>
    <t>BTN US EQUITY</t>
  </si>
  <si>
    <t>Ballantyne Stron</t>
  </si>
  <si>
    <t>CFDB US EQUITY</t>
  </si>
  <si>
    <t>ORBN US EQUITY</t>
  </si>
  <si>
    <t>Oregon Bancorp I</t>
  </si>
  <si>
    <t>IVST US EQUITY</t>
  </si>
  <si>
    <t>Innovest Global</t>
  </si>
  <si>
    <t>CLEV US EQUITY</t>
  </si>
  <si>
    <t>Concrete Levelin</t>
  </si>
  <si>
    <t>MVIS US EQUITY</t>
  </si>
  <si>
    <t>Microvision Inc</t>
  </si>
  <si>
    <t>GPFT US EQUITY</t>
  </si>
  <si>
    <t>Grapefruit Usa I</t>
  </si>
  <si>
    <t>FALC US EQUITY</t>
  </si>
  <si>
    <t>Falconstor Softw</t>
  </si>
  <si>
    <t>PULM US EQUITY</t>
  </si>
  <si>
    <t>Pulmatrix Inc</t>
  </si>
  <si>
    <t>SMRT US EQUITY</t>
  </si>
  <si>
    <t>Stein Mart Inc</t>
  </si>
  <si>
    <t>MNBO US EQUITY</t>
  </si>
  <si>
    <t>Mnb Holdings Cor</t>
  </si>
  <si>
    <t>DEVV US EQUITY</t>
  </si>
  <si>
    <t>Bioscience Neutr</t>
  </si>
  <si>
    <t>FTSI US EQUITY</t>
  </si>
  <si>
    <t>Fts Internationa</t>
  </si>
  <si>
    <t>IGC US EQUITY</t>
  </si>
  <si>
    <t>India Globalizat</t>
  </si>
  <si>
    <t>INIS US EQUITY</t>
  </si>
  <si>
    <t>Intl Isotopes</t>
  </si>
  <si>
    <t>SVVC US EQUITY</t>
  </si>
  <si>
    <t>Firsthand Techno</t>
  </si>
  <si>
    <t>JILL US EQUITY</t>
  </si>
  <si>
    <t>J. Jill Inc</t>
  </si>
  <si>
    <t>RZLT US EQUITY</t>
  </si>
  <si>
    <t>Rezolute Inc</t>
  </si>
  <si>
    <t>DSFN US EQUITY</t>
  </si>
  <si>
    <t>Dsa Financial Co</t>
  </si>
  <si>
    <t>GSTX US EQUITY</t>
  </si>
  <si>
    <t>Graphene &amp; Solar</t>
  </si>
  <si>
    <t>TTNP US EQUITY</t>
  </si>
  <si>
    <t>Titan Pharm</t>
  </si>
  <si>
    <t>VTGN US EQUITY</t>
  </si>
  <si>
    <t>Vistagen Therape</t>
  </si>
  <si>
    <t>UFAB US EQUITY</t>
  </si>
  <si>
    <t>Unique Fabricati</t>
  </si>
  <si>
    <t>MAAL US EQUITY</t>
  </si>
  <si>
    <t>Marketing Allian</t>
  </si>
  <si>
    <t>GRLB US EQUITY</t>
  </si>
  <si>
    <t>Gl Brands Inc</t>
  </si>
  <si>
    <t>ZMTP US EQUITY</t>
  </si>
  <si>
    <t>Zoom Telephonics</t>
  </si>
  <si>
    <t>NWYU US EQUITY</t>
  </si>
  <si>
    <t>New You Inc</t>
  </si>
  <si>
    <t>NUKK US EQUITY</t>
  </si>
  <si>
    <t>Nukkleus Inc</t>
  </si>
  <si>
    <t>MVEN US EQUITY</t>
  </si>
  <si>
    <t>Themaven Inc</t>
  </si>
  <si>
    <t>OXBC US EQUITY</t>
  </si>
  <si>
    <t>Oxford Bank Corp</t>
  </si>
  <si>
    <t>SCX US EQUITY</t>
  </si>
  <si>
    <t>Starrett (Ls)-A</t>
  </si>
  <si>
    <t>SCXLB US EQUITY</t>
  </si>
  <si>
    <t>Starrett (Ls)-B</t>
  </si>
  <si>
    <t>REED US EQUITY</t>
  </si>
  <si>
    <t>Reed'S Inc</t>
  </si>
  <si>
    <t>PBNK US EQUITY</t>
  </si>
  <si>
    <t>Pinnacle Bank/Ca</t>
  </si>
  <si>
    <t>BHTG US EQUITY</t>
  </si>
  <si>
    <t>Biohitech Global</t>
  </si>
  <si>
    <t>SLNG US EQUITY</t>
  </si>
  <si>
    <t>Stabilis Energy</t>
  </si>
  <si>
    <t>RSRV US EQUITY</t>
  </si>
  <si>
    <t>Reserve Petrol</t>
  </si>
  <si>
    <t>PLXP US EQUITY</t>
  </si>
  <si>
    <t>Plx Pharma Inc</t>
  </si>
  <si>
    <t>BLHK US EQUITY</t>
  </si>
  <si>
    <t>Blueharbor Bank</t>
  </si>
  <si>
    <t>LOGN US EQUITY</t>
  </si>
  <si>
    <t>Logansport Finl</t>
  </si>
  <si>
    <t>CBCZ US EQUITY</t>
  </si>
  <si>
    <t>Comunibanc Corp</t>
  </si>
  <si>
    <t>MUEL US EQUITY</t>
  </si>
  <si>
    <t>Mueller (Paul)</t>
  </si>
  <si>
    <t>BBW US EQUITY</t>
  </si>
  <si>
    <t>Build-A-Bear Wor</t>
  </si>
  <si>
    <t>PROM US EQUITY</t>
  </si>
  <si>
    <t>Propel Media Inc</t>
  </si>
  <si>
    <t>SNTW US EQUITY</t>
  </si>
  <si>
    <t>Summit Networks</t>
  </si>
  <si>
    <t>HRST US EQUITY</t>
  </si>
  <si>
    <t>Harvest Oil &amp; Ga</t>
  </si>
  <si>
    <t>LINK US EQUITY</t>
  </si>
  <si>
    <t>Interlink Elec</t>
  </si>
  <si>
    <t>GMO US EQUITY</t>
  </si>
  <si>
    <t>General Moly Inc</t>
  </si>
  <si>
    <t>BBQ US EQUITY</t>
  </si>
  <si>
    <t>Bbq Holdings Inc</t>
  </si>
  <si>
    <t>USWS US EQUITY</t>
  </si>
  <si>
    <t>Us Well Services</t>
  </si>
  <si>
    <t>ALDS US EQUITY</t>
  </si>
  <si>
    <t>Applife Digital</t>
  </si>
  <si>
    <t>HCBN US EQUITY</t>
  </si>
  <si>
    <t>Hcb Financial</t>
  </si>
  <si>
    <t>COFE US EQUITY</t>
  </si>
  <si>
    <t>Coffeesmiths Col</t>
  </si>
  <si>
    <t>RWCB US EQUITY</t>
  </si>
  <si>
    <t>Redwood Capital</t>
  </si>
  <si>
    <t>ULURD US EQUITY</t>
  </si>
  <si>
    <t>Uluru Inc</t>
  </si>
  <si>
    <t>SURG US EQUITY</t>
  </si>
  <si>
    <t>Surge Holdings I</t>
  </si>
  <si>
    <t>IDWM US EQUITY</t>
  </si>
  <si>
    <t>Idw Media Holdin</t>
  </si>
  <si>
    <t>MARK US EQUITY</t>
  </si>
  <si>
    <t>Remark Hold Inc</t>
  </si>
  <si>
    <t>SEEL US EQUITY</t>
  </si>
  <si>
    <t>Seelos Therapeut</t>
  </si>
  <si>
    <t>AMPY US EQUITY</t>
  </si>
  <si>
    <t>Amplify Energy C</t>
  </si>
  <si>
    <t>NHLD US EQUITY</t>
  </si>
  <si>
    <t>National Holding</t>
  </si>
  <si>
    <t>ENG US EQUITY</t>
  </si>
  <si>
    <t>Englobal Corp</t>
  </si>
  <si>
    <t>PGNN US EQUITY</t>
  </si>
  <si>
    <t>Paragon Financia</t>
  </si>
  <si>
    <t>BIVI US EQUITY</t>
  </si>
  <si>
    <t>Biovie Inc</t>
  </si>
  <si>
    <t>ALIM US EQUITY</t>
  </si>
  <si>
    <t>Alimera Sciences</t>
  </si>
  <si>
    <t>DAFL US EQUITY</t>
  </si>
  <si>
    <t>Du-Art Film Labs</t>
  </si>
  <si>
    <t>EKSO US EQUITY</t>
  </si>
  <si>
    <t>Ekso Bionics Hol</t>
  </si>
  <si>
    <t>FBSI US EQUITY</t>
  </si>
  <si>
    <t>JZZI US EQUITY</t>
  </si>
  <si>
    <t>Jzz Technologies</t>
  </si>
  <si>
    <t>ZOM US EQUITY</t>
  </si>
  <si>
    <t>Zomedica Pharmac</t>
  </si>
  <si>
    <t>BASA US EQUITY</t>
  </si>
  <si>
    <t>Basanite Inc</t>
  </si>
  <si>
    <t>BWEN US EQUITY</t>
  </si>
  <si>
    <t>Broadwind Energy</t>
  </si>
  <si>
    <t>SCYT US EQUITY</t>
  </si>
  <si>
    <t>Security Banc In</t>
  </si>
  <si>
    <t>NINE US EQUITY</t>
  </si>
  <si>
    <t>Nine Energy Serv</t>
  </si>
  <si>
    <t>DXLG US EQUITY</t>
  </si>
  <si>
    <t>Destination Xl G</t>
  </si>
  <si>
    <t>BAOB US EQUITY</t>
  </si>
  <si>
    <t>Baraboo Bancorp</t>
  </si>
  <si>
    <t>NBY US EQUITY</t>
  </si>
  <si>
    <t>Novabay Pharmace</t>
  </si>
  <si>
    <t>EVRC US EQUITY</t>
  </si>
  <si>
    <t>Evercel Inc</t>
  </si>
  <si>
    <t>RBCN US EQUITY</t>
  </si>
  <si>
    <t>Rubicon Technolo</t>
  </si>
  <si>
    <t>GLBZ US EQUITY</t>
  </si>
  <si>
    <t>Glen Burnie Bncp</t>
  </si>
  <si>
    <t>BKTI US EQUITY</t>
  </si>
  <si>
    <t>Bk Technologies</t>
  </si>
  <si>
    <t>GVP US EQUITY</t>
  </si>
  <si>
    <t>Gse Systems Inc</t>
  </si>
  <si>
    <t>IDXG US EQUITY</t>
  </si>
  <si>
    <t>Interpace Biosci</t>
  </si>
  <si>
    <t>KAVL US EQUITY</t>
  </si>
  <si>
    <t>Kaival Brands In</t>
  </si>
  <si>
    <t>ARPO US EQUITY</t>
  </si>
  <si>
    <t>Aerpio Pharmaceu</t>
  </si>
  <si>
    <t>SFEG US EQUITY</t>
  </si>
  <si>
    <t>Santa Fe Gold Co</t>
  </si>
  <si>
    <t>GYRO US EQUITY</t>
  </si>
  <si>
    <t>Gyrodyne Llc</t>
  </si>
  <si>
    <t>SOFO US EQUITY</t>
  </si>
  <si>
    <t>Sonic Foundry</t>
  </si>
  <si>
    <t>PWCO US EQUITY</t>
  </si>
  <si>
    <t>Pwrcor Inc</t>
  </si>
  <si>
    <t>BDL US EQUITY</t>
  </si>
  <si>
    <t>Flanigan'S Enter</t>
  </si>
  <si>
    <t>ELVG US EQUITY</t>
  </si>
  <si>
    <t>Elvictor Group I</t>
  </si>
  <si>
    <t>SPN US EQUITY</t>
  </si>
  <si>
    <t>Superior Energy</t>
  </si>
  <si>
    <t>BRGC US EQUITY</t>
  </si>
  <si>
    <t>Brightrock Gold</t>
  </si>
  <si>
    <t>BUUZ US EQUITY</t>
  </si>
  <si>
    <t>Calethos Inc</t>
  </si>
  <si>
    <t>EYEG US EQUITY</t>
  </si>
  <si>
    <t>Eyegate Phar-</t>
  </si>
  <si>
    <t>LUB US EQUITY</t>
  </si>
  <si>
    <t>Luby'S Inc</t>
  </si>
  <si>
    <t>KEQU US EQUITY</t>
  </si>
  <si>
    <t>Kewaunee Sci</t>
  </si>
  <si>
    <t>LMB US EQUITY</t>
  </si>
  <si>
    <t>Limbach Holdings</t>
  </si>
  <si>
    <t>SPRT US EQUITY</t>
  </si>
  <si>
    <t>Support.Com Inc</t>
  </si>
  <si>
    <t>PRPH US EQUITY</t>
  </si>
  <si>
    <t>Prophase Labs In</t>
  </si>
  <si>
    <t>LPCN US EQUITY</t>
  </si>
  <si>
    <t>Lipocine Inc</t>
  </si>
  <si>
    <t>CBYAA US EQUITY</t>
  </si>
  <si>
    <t>Community Bank-A</t>
  </si>
  <si>
    <t>MOTS US EQUITY</t>
  </si>
  <si>
    <t>Motus Gi Holding</t>
  </si>
  <si>
    <t>HSON US EQUITY</t>
  </si>
  <si>
    <t>Hudson Global In</t>
  </si>
  <si>
    <t>PVCT US EQUITY</t>
  </si>
  <si>
    <t>Provectus Biop-A</t>
  </si>
  <si>
    <t>KGKG US EQUITY</t>
  </si>
  <si>
    <t>Kona Gold Solut</t>
  </si>
  <si>
    <t>PEBC US EQUITY</t>
  </si>
  <si>
    <t>Peoples Banc/Md</t>
  </si>
  <si>
    <t>CBLI US EQUITY</t>
  </si>
  <si>
    <t>Cleveland Biolab</t>
  </si>
  <si>
    <t>CZBS US EQUITY</t>
  </si>
  <si>
    <t>Citizens Bancshr</t>
  </si>
  <si>
    <t>INOD US EQUITY</t>
  </si>
  <si>
    <t>Innodata Inc</t>
  </si>
  <si>
    <t>HTGM US EQUITY</t>
  </si>
  <si>
    <t>Htg Molecular Di</t>
  </si>
  <si>
    <t>APLO US EQUITY</t>
  </si>
  <si>
    <t>Apollo Bancp-Pa</t>
  </si>
  <si>
    <t>CTHR US EQUITY</t>
  </si>
  <si>
    <t>Charles&amp;Colvard</t>
  </si>
  <si>
    <t>CIBH US EQUITY</t>
  </si>
  <si>
    <t>Cib Marine Banc</t>
  </si>
  <si>
    <t>KLXE US EQUITY</t>
  </si>
  <si>
    <t>Klx Energy Servi</t>
  </si>
  <si>
    <t>QHC US EQUITY</t>
  </si>
  <si>
    <t>Quorum Health</t>
  </si>
  <si>
    <t>SLGG US EQUITY</t>
  </si>
  <si>
    <t>Super League Gam</t>
  </si>
  <si>
    <t>CVR US EQUITY</t>
  </si>
  <si>
    <t>Chicago Rivet</t>
  </si>
  <si>
    <t>CROL US EQUITY</t>
  </si>
  <si>
    <t>Carroll Bancorp</t>
  </si>
  <si>
    <t>FRSB US EQUITY</t>
  </si>
  <si>
    <t>First Resource B</t>
  </si>
  <si>
    <t>IPIX US EQUITY</t>
  </si>
  <si>
    <t>Innovation Pharm</t>
  </si>
  <si>
    <t>VYEY US EQUITY</t>
  </si>
  <si>
    <t>Victory Oilfield</t>
  </si>
  <si>
    <t>KNWN US EQUITY</t>
  </si>
  <si>
    <t>Know Labs Inc</t>
  </si>
  <si>
    <t>AXAS US EQUITY</t>
  </si>
  <si>
    <t>Abraxas Petro</t>
  </si>
  <si>
    <t>IDTY US EQUITY</t>
  </si>
  <si>
    <t>Ipsidy Inc</t>
  </si>
  <si>
    <t>INNT US EQUITY</t>
  </si>
  <si>
    <t>Innovate Biophar</t>
  </si>
  <si>
    <t>ICCT US EQUITY</t>
  </si>
  <si>
    <t>Icoreconnect Inc</t>
  </si>
  <si>
    <t>IMAC US EQUITY</t>
  </si>
  <si>
    <t>Imac Holdings In</t>
  </si>
  <si>
    <t>PNPL US EQUITY</t>
  </si>
  <si>
    <t>Pineapple Expres</t>
  </si>
  <si>
    <t>PEYE US EQUITY</t>
  </si>
  <si>
    <t>Precision Optics</t>
  </si>
  <si>
    <t>EDSA US EQUITY</t>
  </si>
  <si>
    <t>Edesa Biotech In</t>
  </si>
  <si>
    <t>ROYE US EQUITY</t>
  </si>
  <si>
    <t>Royal Energy Res</t>
  </si>
  <si>
    <t>SVIN US EQUITY</t>
  </si>
  <si>
    <t>Scheid Vineyar-A</t>
  </si>
  <si>
    <t>IO US EQUITY</t>
  </si>
  <si>
    <t>Ion Geophysical</t>
  </si>
  <si>
    <t>HBP US EQUITY</t>
  </si>
  <si>
    <t>Huttig Building</t>
  </si>
  <si>
    <t>KNIT US EQUITY</t>
  </si>
  <si>
    <t>Kinetic Group In</t>
  </si>
  <si>
    <t>CLBS US EQUITY</t>
  </si>
  <si>
    <t>Caladrius Biosci</t>
  </si>
  <si>
    <t>CSU US EQUITY</t>
  </si>
  <si>
    <t>Cap Senior Livin</t>
  </si>
  <si>
    <t>PBCO US EQUITY</t>
  </si>
  <si>
    <t>Peoples Bank/Or</t>
  </si>
  <si>
    <t>QUMU US EQUITY</t>
  </si>
  <si>
    <t>Qumu Corp</t>
  </si>
  <si>
    <t>BCDA US EQUITY</t>
  </si>
  <si>
    <t>Biocardia Inc</t>
  </si>
  <si>
    <t>CLIR US EQUITY</t>
  </si>
  <si>
    <t>Clearsign Techno</t>
  </si>
  <si>
    <t>OMQS US EQUITY</t>
  </si>
  <si>
    <t>Omniq Corp</t>
  </si>
  <si>
    <t>USIO US EQUITY</t>
  </si>
  <si>
    <t>Usio Inc</t>
  </si>
  <si>
    <t>CTXR US EQUITY</t>
  </si>
  <si>
    <t>Citius Pharmaceu</t>
  </si>
  <si>
    <t>BPTH US EQUITY</t>
  </si>
  <si>
    <t>Bio-Path Holding</t>
  </si>
  <si>
    <t>ACER US EQUITY</t>
  </si>
  <si>
    <t>Acer Therapeutic</t>
  </si>
  <si>
    <t>OTEL US EQUITY</t>
  </si>
  <si>
    <t>Otelco Inc-A</t>
  </si>
  <si>
    <t>ITUP US EQUITY</t>
  </si>
  <si>
    <t>Interups Inc</t>
  </si>
  <si>
    <t>CBFC US EQUITY</t>
  </si>
  <si>
    <t>Cnb Finl Svcs</t>
  </si>
  <si>
    <t>WTT US EQUITY</t>
  </si>
  <si>
    <t>Wireless Telecom</t>
  </si>
  <si>
    <t>NJMC US EQUITY</t>
  </si>
  <si>
    <t>New Jersey Mng</t>
  </si>
  <si>
    <t>QRHC US EQUITY</t>
  </si>
  <si>
    <t>Quest Resource H</t>
  </si>
  <si>
    <t>CTYP US EQUITY</t>
  </si>
  <si>
    <t>Communi Bnkrs Cp</t>
  </si>
  <si>
    <t>JCTCF US EQUITY</t>
  </si>
  <si>
    <t>Jewett-Cameron</t>
  </si>
  <si>
    <t>ISNS US EQUITY</t>
  </si>
  <si>
    <t>Image Sensing</t>
  </si>
  <si>
    <t>HLOC US EQUITY</t>
  </si>
  <si>
    <t>Helo Corp</t>
  </si>
  <si>
    <t>PZG US EQUITY</t>
  </si>
  <si>
    <t>Paramount Gold N</t>
  </si>
  <si>
    <t>SCAY US EQUITY</t>
  </si>
  <si>
    <t>Seneca-Cayuga Ba</t>
  </si>
  <si>
    <t>RGBD US EQUITY</t>
  </si>
  <si>
    <t>Regional Brands</t>
  </si>
  <si>
    <t>UNTN US EQUITY</t>
  </si>
  <si>
    <t>United Tenn Bank</t>
  </si>
  <si>
    <t>ALPE US EQUITY</t>
  </si>
  <si>
    <t>Alpha-En Corp</t>
  </si>
  <si>
    <t>TSSI US EQUITY</t>
  </si>
  <si>
    <t>Tss Inc</t>
  </si>
  <si>
    <t>VOLT US EQUITY</t>
  </si>
  <si>
    <t>Volt Info Sci</t>
  </si>
  <si>
    <t>AXRX US EQUITY</t>
  </si>
  <si>
    <t>Amexdrug Corp</t>
  </si>
  <si>
    <t>FNDM US EQUITY</t>
  </si>
  <si>
    <t>Fund.Com Inc-A</t>
  </si>
  <si>
    <t>JFWV US EQUITY</t>
  </si>
  <si>
    <t>Jefferson Securi</t>
  </si>
  <si>
    <t>FNFI US EQUITY</t>
  </si>
  <si>
    <t>First Niles Finl</t>
  </si>
  <si>
    <t>AINC US EQUITY</t>
  </si>
  <si>
    <t>Ashford Inc</t>
  </si>
  <si>
    <t>OWPC US EQUITY</t>
  </si>
  <si>
    <t>One World Pharma</t>
  </si>
  <si>
    <t>FET US EQUITY</t>
  </si>
  <si>
    <t>Forum Energy Tec</t>
  </si>
  <si>
    <t>CHCR US EQUITY</t>
  </si>
  <si>
    <t>Comprehens Care</t>
  </si>
  <si>
    <t>ORGH US EQUITY</t>
  </si>
  <si>
    <t>Orgharvest Inc</t>
  </si>
  <si>
    <t>TRXC US EQUITY</t>
  </si>
  <si>
    <t>Transenterix Inc</t>
  </si>
  <si>
    <t>ATGN US EQUITY</t>
  </si>
  <si>
    <t>Altigen Comm</t>
  </si>
  <si>
    <t>VINO US EQUITY</t>
  </si>
  <si>
    <t>Gaucho Group Hol</t>
  </si>
  <si>
    <t>QUBT US EQUITY</t>
  </si>
  <si>
    <t>Quantum Computin</t>
  </si>
  <si>
    <t>OCC US EQUITY</t>
  </si>
  <si>
    <t>Optical Cable</t>
  </si>
  <si>
    <t>BLBX US EQUITY</t>
  </si>
  <si>
    <t>Blackboxstocks I</t>
  </si>
  <si>
    <t>CRTG US EQUITY</t>
  </si>
  <si>
    <t>Coretec Group In</t>
  </si>
  <si>
    <t>SFBK US EQUITY</t>
  </si>
  <si>
    <t>Sfb Bancorp</t>
  </si>
  <si>
    <t>LLEX US EQUITY</t>
  </si>
  <si>
    <t>Lilis Energy Inc</t>
  </si>
  <si>
    <t>HWIN US EQUITY</t>
  </si>
  <si>
    <t>Hometown Interna</t>
  </si>
  <si>
    <t>VTSI US EQUITY</t>
  </si>
  <si>
    <t>Virtra Inc</t>
  </si>
  <si>
    <t>ZN US EQUITY</t>
  </si>
  <si>
    <t>Zion Oil &amp; Gas</t>
  </si>
  <si>
    <t>MRGO US EQUITY</t>
  </si>
  <si>
    <t>Margo Caribe</t>
  </si>
  <si>
    <t>SONM US EQUITY</t>
  </si>
  <si>
    <t>Sonim Technologi</t>
  </si>
  <si>
    <t>GWTI US EQUITY</t>
  </si>
  <si>
    <t>Greenway Technol</t>
  </si>
  <si>
    <t>CLUB US EQUITY</t>
  </si>
  <si>
    <t>Town Sports Inte</t>
  </si>
  <si>
    <t>USAU US EQUITY</t>
  </si>
  <si>
    <t>Us Gold Corp</t>
  </si>
  <si>
    <t>GCEH US EQUITY</t>
  </si>
  <si>
    <t>BVSN US EQUITY</t>
  </si>
  <si>
    <t>Broadvision Inc</t>
  </si>
  <si>
    <t>TDCB US EQUITY</t>
  </si>
  <si>
    <t>Third Century</t>
  </si>
  <si>
    <t>INRD US EQUITY</t>
  </si>
  <si>
    <t>Inrad Optics Inc</t>
  </si>
  <si>
    <t>CMT US EQUITY</t>
  </si>
  <si>
    <t>Core Molding Tec</t>
  </si>
  <si>
    <t>LAZY US EQUITY</t>
  </si>
  <si>
    <t>Lazydays Holding</t>
  </si>
  <si>
    <t>CVV US EQUITY</t>
  </si>
  <si>
    <t>Cvd Equipment Co</t>
  </si>
  <si>
    <t>RCMT US EQUITY</t>
  </si>
  <si>
    <t>Rcm Tech Inc</t>
  </si>
  <si>
    <t>NTRP US EQUITY</t>
  </si>
  <si>
    <t>Neurotrope Inc</t>
  </si>
  <si>
    <t>AMEN US EQUITY</t>
  </si>
  <si>
    <t>Amen Properties</t>
  </si>
  <si>
    <t>TBBA US EQUITY</t>
  </si>
  <si>
    <t>Teb Bancorp Inc</t>
  </si>
  <si>
    <t>THMO US EQUITY</t>
  </si>
  <si>
    <t>Thermogenesis Ho</t>
  </si>
  <si>
    <t>BNGO US EQUITY</t>
  </si>
  <si>
    <t>Bionano Genomics</t>
  </si>
  <si>
    <t>SPGZ US EQUITY</t>
  </si>
  <si>
    <t>Spectrum Group</t>
  </si>
  <si>
    <t>USLG US EQUITY</t>
  </si>
  <si>
    <t>Us Lighting Grou</t>
  </si>
  <si>
    <t>CSHB US EQUITY</t>
  </si>
  <si>
    <t>Communi Shores</t>
  </si>
  <si>
    <t>CRSB US EQUITY</t>
  </si>
  <si>
    <t>Cornerstone Comm</t>
  </si>
  <si>
    <t>WAKE US EQUITY</t>
  </si>
  <si>
    <t>Wake Forest Banc</t>
  </si>
  <si>
    <t>CBDS US EQUITY</t>
  </si>
  <si>
    <t>Cannabis Sativa</t>
  </si>
  <si>
    <t>DSS US EQUITY</t>
  </si>
  <si>
    <t>Document Securit</t>
  </si>
  <si>
    <t>IBWC US EQUITY</t>
  </si>
  <si>
    <t>Ibw Finl Corp</t>
  </si>
  <si>
    <t>DTST US EQUITY</t>
  </si>
  <si>
    <t>Data Storage Cor</t>
  </si>
  <si>
    <t>CNWHF US EQUITY</t>
  </si>
  <si>
    <t>China Networks</t>
  </si>
  <si>
    <t>NUMD US EQUITY</t>
  </si>
  <si>
    <t>Nu-Med Plus Inc</t>
  </si>
  <si>
    <t>ARYC US EQUITY</t>
  </si>
  <si>
    <t>Arrayit Corp</t>
  </si>
  <si>
    <t>CANN US EQUITY</t>
  </si>
  <si>
    <t>General Cannabis</t>
  </si>
  <si>
    <t>VFRM US EQUITY</t>
  </si>
  <si>
    <t>Veritas Farms In</t>
  </si>
  <si>
    <t>PVBK US EQUITY</t>
  </si>
  <si>
    <t>Pacific Valley</t>
  </si>
  <si>
    <t>SBPH US EQUITY</t>
  </si>
  <si>
    <t>Spring Bank Phar</t>
  </si>
  <si>
    <t>CKX US EQUITY</t>
  </si>
  <si>
    <t>Ckx Lands Inc</t>
  </si>
  <si>
    <t>NAVB US EQUITY</t>
  </si>
  <si>
    <t>Navidea Biopharm</t>
  </si>
  <si>
    <t>CTEK US EQUITY</t>
  </si>
  <si>
    <t>Cynergistek Inc/</t>
  </si>
  <si>
    <t>IWSY US EQUITY</t>
  </si>
  <si>
    <t>Imageware Sys</t>
  </si>
  <si>
    <t>PEBA US EQUITY</t>
  </si>
  <si>
    <t>Penn Bancshares</t>
  </si>
  <si>
    <t>TSBA US EQUITY</t>
  </si>
  <si>
    <t>Touchstone Bank</t>
  </si>
  <si>
    <t>ASNA US EQUITY</t>
  </si>
  <si>
    <t>Ascena Retail Gr</t>
  </si>
  <si>
    <t>GLXZ US EQUITY</t>
  </si>
  <si>
    <t>Galaxy Gaming In</t>
  </si>
  <si>
    <t>SLGD US EQUITY</t>
  </si>
  <si>
    <t>Scott'S Liquid G</t>
  </si>
  <si>
    <t>EDXC US EQUITY</t>
  </si>
  <si>
    <t>Endexx Corp</t>
  </si>
  <si>
    <t>FCGY US EQUITY</t>
  </si>
  <si>
    <t>Forecastagility</t>
  </si>
  <si>
    <t>PEIX US EQUITY</t>
  </si>
  <si>
    <t>Pacific Ethanol</t>
  </si>
  <si>
    <t>WCFB US EQUITY</t>
  </si>
  <si>
    <t>Wcf Bancorp Inc</t>
  </si>
  <si>
    <t>TLGT US EQUITY</t>
  </si>
  <si>
    <t>Teligent Inc</t>
  </si>
  <si>
    <t>MJHI US EQUITY</t>
  </si>
  <si>
    <t>Mj Harvest Inc</t>
  </si>
  <si>
    <t>PTSS US EQUITY</t>
  </si>
  <si>
    <t>Peartrack Securi</t>
  </si>
  <si>
    <t>ILAL US EQUITY</t>
  </si>
  <si>
    <t>International La</t>
  </si>
  <si>
    <t>INTI US EQUITY</t>
  </si>
  <si>
    <t>Inhibitor Therap</t>
  </si>
  <si>
    <t>BRMT US EQUITY</t>
  </si>
  <si>
    <t>Bare Metal Stand</t>
  </si>
  <si>
    <t>CCBC US EQUITY</t>
  </si>
  <si>
    <t>Chino Commercial</t>
  </si>
  <si>
    <t>HRGG US EQUITY</t>
  </si>
  <si>
    <t>Heritage Nola Ba</t>
  </si>
  <si>
    <t>QSEP US EQUITY</t>
  </si>
  <si>
    <t>Qs Energy Inc</t>
  </si>
  <si>
    <t>DUOT US EQUITY</t>
  </si>
  <si>
    <t>Duos Technologie</t>
  </si>
  <si>
    <t>OCGN US EQUITY</t>
  </si>
  <si>
    <t>Ocugen Inc</t>
  </si>
  <si>
    <t>RAFI US EQUITY</t>
  </si>
  <si>
    <t>Regency Affiliat</t>
  </si>
  <si>
    <t>PAOS US EQUITY</t>
  </si>
  <si>
    <t>Amerinac Holding</t>
  </si>
  <si>
    <t>PPSF US EQUITY</t>
  </si>
  <si>
    <t>Peoples-Sidney</t>
  </si>
  <si>
    <t>ELMA US EQUITY</t>
  </si>
  <si>
    <t>Elmer Bancorp</t>
  </si>
  <si>
    <t>CRMZ US EQUITY</t>
  </si>
  <si>
    <t>Creditriskmonito</t>
  </si>
  <si>
    <t>EDNT US EQUITY</t>
  </si>
  <si>
    <t>Edison Nation In</t>
  </si>
  <si>
    <t>WHLM US EQUITY</t>
  </si>
  <si>
    <t>Wilhelmina Inter</t>
  </si>
  <si>
    <t>CAWW US EQUITY</t>
  </si>
  <si>
    <t>Cca Inds Inc</t>
  </si>
  <si>
    <t>SHLDQ US EQUITY</t>
  </si>
  <si>
    <t>Sears Holdings</t>
  </si>
  <si>
    <t>AEMD US EQUITY</t>
  </si>
  <si>
    <t>Aethlon Medical</t>
  </si>
  <si>
    <t>GTPS US EQUITY</t>
  </si>
  <si>
    <t>Great Amer Bancp</t>
  </si>
  <si>
    <t>GROW US EQUITY</t>
  </si>
  <si>
    <t>Us Global Inv-A</t>
  </si>
  <si>
    <t>NWBB US EQUITY</t>
  </si>
  <si>
    <t>New Bancorp Inc</t>
  </si>
  <si>
    <t>DARE US EQUITY</t>
  </si>
  <si>
    <t>Dare Bioscience</t>
  </si>
  <si>
    <t>PENC US EQUITY</t>
  </si>
  <si>
    <t>Pen Inc - Cl A</t>
  </si>
  <si>
    <t>PLSI US EQUITY</t>
  </si>
  <si>
    <t>Phoenix Life Sci</t>
  </si>
  <si>
    <t>YRIV US EQUITY</t>
  </si>
  <si>
    <t>Yangtze River Po</t>
  </si>
  <si>
    <t>SSBP US EQUITY</t>
  </si>
  <si>
    <t>Ssb Bancorp Inc</t>
  </si>
  <si>
    <t>AZRX US EQUITY</t>
  </si>
  <si>
    <t>Azurrx Biopharma</t>
  </si>
  <si>
    <t>MCIG US EQUITY</t>
  </si>
  <si>
    <t>Mcig Inc</t>
  </si>
  <si>
    <t>GVFF US EQUITY</t>
  </si>
  <si>
    <t>Greenville Feder</t>
  </si>
  <si>
    <t>BIOL US EQUITY</t>
  </si>
  <si>
    <t>Biolase Inc</t>
  </si>
  <si>
    <t>RMED US EQUITY</t>
  </si>
  <si>
    <t>Ra Medical Syste</t>
  </si>
  <si>
    <t>BKYI US EQUITY</t>
  </si>
  <si>
    <t>Bio-Key Internat</t>
  </si>
  <si>
    <t>APDN US EQUITY</t>
  </si>
  <si>
    <t>Applied Dna Scie</t>
  </si>
  <si>
    <t>WORX US EQUITY</t>
  </si>
  <si>
    <t>Scworx Corp</t>
  </si>
  <si>
    <t>REAC US EQUITY</t>
  </si>
  <si>
    <t>Reac Group Inc</t>
  </si>
  <si>
    <t>UNT US EQUITY</t>
  </si>
  <si>
    <t>Unit Corp</t>
  </si>
  <si>
    <t>CUO US EQUITY</t>
  </si>
  <si>
    <t>Contl Materials</t>
  </si>
  <si>
    <t>DYSL US EQUITY</t>
  </si>
  <si>
    <t>Dynasil Corp</t>
  </si>
  <si>
    <t>EOPT US EQUITY</t>
  </si>
  <si>
    <t>Eos Petro Inc</t>
  </si>
  <si>
    <t>ENT US EQUITY</t>
  </si>
  <si>
    <t>Global Eagle Ent</t>
  </si>
  <si>
    <t>ZCOR US EQUITY</t>
  </si>
  <si>
    <t>Zyla Life Scienc</t>
  </si>
  <si>
    <t>SVT US EQUITY</t>
  </si>
  <si>
    <t>Servotronics Inc</t>
  </si>
  <si>
    <t>JKSM US EQUITY</t>
  </si>
  <si>
    <t>Jacksam Corp</t>
  </si>
  <si>
    <t>TRTC US EQUITY</t>
  </si>
  <si>
    <t>Terra Tech Corp</t>
  </si>
  <si>
    <t>BNET US EQUITY</t>
  </si>
  <si>
    <t>Bion Enviro Tech</t>
  </si>
  <si>
    <t>CAPP US EQUITY</t>
  </si>
  <si>
    <t>Capstone Financi</t>
  </si>
  <si>
    <t>PPSI US EQUITY</t>
  </si>
  <si>
    <t>Pioneer Power So</t>
  </si>
  <si>
    <t>PFIN US EQUITY</t>
  </si>
  <si>
    <t>P &amp; F Indust -A</t>
  </si>
  <si>
    <t>JVA US EQUITY</t>
  </si>
  <si>
    <t>Coffee Holding C</t>
  </si>
  <si>
    <t>SCFR US EQUITY</t>
  </si>
  <si>
    <t>Security First I</t>
  </si>
  <si>
    <t>MJNA US EQUITY</t>
  </si>
  <si>
    <t>Medical Marijuan</t>
  </si>
  <si>
    <t>SNDE US EQUITY</t>
  </si>
  <si>
    <t>Sundance Energy</t>
  </si>
  <si>
    <t>UMRX US EQUITY</t>
  </si>
  <si>
    <t>Unum Therapeutic</t>
  </si>
  <si>
    <t>ADIL US EQUITY</t>
  </si>
  <si>
    <t>Adial Pharmaceut</t>
  </si>
  <si>
    <t>CCFC US EQUITY</t>
  </si>
  <si>
    <t>Ccsb Financial C</t>
  </si>
  <si>
    <t>NEON US EQUITY</t>
  </si>
  <si>
    <t>Neonode Inc</t>
  </si>
  <si>
    <t>DGLY US EQUITY</t>
  </si>
  <si>
    <t>Digital Ally Inc</t>
  </si>
  <si>
    <t>UGRO US EQUITY</t>
  </si>
  <si>
    <t>Urban-Gro Inc</t>
  </si>
  <si>
    <t>ERKH US EQUITY</t>
  </si>
  <si>
    <t>Eureka Homestead</t>
  </si>
  <si>
    <t>DYNE US EQUITY</t>
  </si>
  <si>
    <t>Dyntek Inc</t>
  </si>
  <si>
    <t>JSDA US EQUITY</t>
  </si>
  <si>
    <t>Jones Soda Co</t>
  </si>
  <si>
    <t>IMBI US EQUITY</t>
  </si>
  <si>
    <t>Imedia Brands In</t>
  </si>
  <si>
    <t>POLA US EQUITY</t>
  </si>
  <si>
    <t>Polar Power Inc</t>
  </si>
  <si>
    <t>MSN US EQUITY</t>
  </si>
  <si>
    <t>Emerson Radio</t>
  </si>
  <si>
    <t>OPXS US EQUITY</t>
  </si>
  <si>
    <t>Optex Systems Ho</t>
  </si>
  <si>
    <t>ELGX US EQUITY</t>
  </si>
  <si>
    <t>Endologix Inc</t>
  </si>
  <si>
    <t>MATN US EQUITY</t>
  </si>
  <si>
    <t>Mateon Therapeut</t>
  </si>
  <si>
    <t>UCLE US EQUITY</t>
  </si>
  <si>
    <t>Us Nuclear Corp</t>
  </si>
  <si>
    <t>CETY US EQUITY</t>
  </si>
  <si>
    <t>Clean Energy Tec</t>
  </si>
  <si>
    <t>HMMR US EQUITY</t>
  </si>
  <si>
    <t>Hammer Fiber Opt</t>
  </si>
  <si>
    <t>CNNM US EQUITY</t>
  </si>
  <si>
    <t>China Network Me</t>
  </si>
  <si>
    <t>AMFC US EQUITY</t>
  </si>
  <si>
    <t>Amb Financial</t>
  </si>
  <si>
    <t>ORHK US EQUITY</t>
  </si>
  <si>
    <t>Orangehook Inc</t>
  </si>
  <si>
    <t>BPSR US EQUITY</t>
  </si>
  <si>
    <t>Biotech Products</t>
  </si>
  <si>
    <t>CIDM US EQUITY</t>
  </si>
  <si>
    <t>Cinedigm Corp -A</t>
  </si>
  <si>
    <t>HVLM US EQUITY</t>
  </si>
  <si>
    <t>Huron Valley Ban</t>
  </si>
  <si>
    <t>ESCC US EQUITY</t>
  </si>
  <si>
    <t>Evans &amp; Sutherla</t>
  </si>
  <si>
    <t>SHMP US EQUITY</t>
  </si>
  <si>
    <t>Naturalshrimp In</t>
  </si>
  <si>
    <t>FCNE US EQUITY</t>
  </si>
  <si>
    <t>Four Corners Inc</t>
  </si>
  <si>
    <t>CRZY US EQUITY</t>
  </si>
  <si>
    <t>Crazy Woman Cree</t>
  </si>
  <si>
    <t>EQS US EQUITY</t>
  </si>
  <si>
    <t>Equus Total Retu</t>
  </si>
  <si>
    <t>EAST US EQUITY</t>
  </si>
  <si>
    <t>Eastside Distill</t>
  </si>
  <si>
    <t>BBI US EQUITY</t>
  </si>
  <si>
    <t>Brickell Biotech</t>
  </si>
  <si>
    <t>PFHO US EQUITY</t>
  </si>
  <si>
    <t>Pacific Health</t>
  </si>
  <si>
    <t>AUTO US EQUITY</t>
  </si>
  <si>
    <t>Autoweb Inc</t>
  </si>
  <si>
    <t>ACAN US EQUITY</t>
  </si>
  <si>
    <t>Americann Inc</t>
  </si>
  <si>
    <t>HLIX US EQUITY</t>
  </si>
  <si>
    <t>Helix Tcs Inc</t>
  </si>
  <si>
    <t>OPST US EQUITY</t>
  </si>
  <si>
    <t>Opt-Sciences</t>
  </si>
  <si>
    <t>FFLO US EQUITY</t>
  </si>
  <si>
    <t>Freeflow Inc</t>
  </si>
  <si>
    <t>TAIT US EQUITY</t>
  </si>
  <si>
    <t>Taitron Componen</t>
  </si>
  <si>
    <t>SGRP US EQUITY</t>
  </si>
  <si>
    <t>Spar Group Inc</t>
  </si>
  <si>
    <t>CCOM US EQUITY</t>
  </si>
  <si>
    <t>Ccom Group Inc</t>
  </si>
  <si>
    <t>CYTR US EQUITY</t>
  </si>
  <si>
    <t>Cytrx Corp</t>
  </si>
  <si>
    <t>CLCS US EQUITY</t>
  </si>
  <si>
    <t>Cell Source Inc</t>
  </si>
  <si>
    <t>NGTF US EQUITY</t>
  </si>
  <si>
    <t>Nightfood Holdin</t>
  </si>
  <si>
    <t>SIF US EQUITY</t>
  </si>
  <si>
    <t>Sifco Industries</t>
  </si>
  <si>
    <t>ADMQ US EQUITY</t>
  </si>
  <si>
    <t>Adm Endeavors In</t>
  </si>
  <si>
    <t>TIKK US EQUITY</t>
  </si>
  <si>
    <t>Tel-Instrum Elec</t>
  </si>
  <si>
    <t>MIND US EQUITY</t>
  </si>
  <si>
    <t>Mitcham Inds</t>
  </si>
  <si>
    <t>KBPH US EQUITY</t>
  </si>
  <si>
    <t>Kyto Technology</t>
  </si>
  <si>
    <t>CPSH US EQUITY</t>
  </si>
  <si>
    <t>Cps Technologies</t>
  </si>
  <si>
    <t>GMGI US EQUITY</t>
  </si>
  <si>
    <t>Golden Matrix Gr</t>
  </si>
  <si>
    <t>UPLC US EQUITY</t>
  </si>
  <si>
    <t>Ultra Petroleum</t>
  </si>
  <si>
    <t>CLOK US EQUITY</t>
  </si>
  <si>
    <t>Cipherloc Corp</t>
  </si>
  <si>
    <t>ORBT US EQUITY</t>
  </si>
  <si>
    <t>Orbit Intl Corp</t>
  </si>
  <si>
    <t>EGDW US EQUITY</t>
  </si>
  <si>
    <t>Edgewater Bancor</t>
  </si>
  <si>
    <t>EMBI US EQUITY</t>
  </si>
  <si>
    <t>Emerald Bioscien</t>
  </si>
  <si>
    <t>FHLB US EQUITY</t>
  </si>
  <si>
    <t>Friendly Hills B</t>
  </si>
  <si>
    <t>HSDT US EQUITY</t>
  </si>
  <si>
    <t>Helius Medical T</t>
  </si>
  <si>
    <t>GEVO US EQUITY</t>
  </si>
  <si>
    <t>Gevo Inc</t>
  </si>
  <si>
    <t>BFGC US EQUITY</t>
  </si>
  <si>
    <t>Bullfrog Gold Co</t>
  </si>
  <si>
    <t>APVO US EQUITY</t>
  </si>
  <si>
    <t>Aptevo Therape</t>
  </si>
  <si>
    <t>ROSE US EQUITY</t>
  </si>
  <si>
    <t>Rosehill Resourc</t>
  </si>
  <si>
    <t>CMXC US EQUITY</t>
  </si>
  <si>
    <t>Cell Medx Corp</t>
  </si>
  <si>
    <t>IVDA US EQUITY</t>
  </si>
  <si>
    <t>Iveda Solutions</t>
  </si>
  <si>
    <t>NBGV US EQUITY</t>
  </si>
  <si>
    <t>Newbridge Global</t>
  </si>
  <si>
    <t>SNNF US EQUITY</t>
  </si>
  <si>
    <t>Seneca Financial</t>
  </si>
  <si>
    <t>QTMM US EQUITY</t>
  </si>
  <si>
    <t>Quantum Material</t>
  </si>
  <si>
    <t>CLCI US EQUITY</t>
  </si>
  <si>
    <t>Clic Technology</t>
  </si>
  <si>
    <t>SCND US EQUITY</t>
  </si>
  <si>
    <t>Scientific Indus</t>
  </si>
  <si>
    <t>TGLO US EQUITY</t>
  </si>
  <si>
    <t>Theglobe.Com Inc</t>
  </si>
  <si>
    <t>RAIL US EQUITY</t>
  </si>
  <si>
    <t>Freightcar Ameri</t>
  </si>
  <si>
    <t>TBTC US EQUITY</t>
  </si>
  <si>
    <t>Table Trac Inc</t>
  </si>
  <si>
    <t>CLRB US EQUITY</t>
  </si>
  <si>
    <t>Cellectar Biosci</t>
  </si>
  <si>
    <t>SYPR US EQUITY</t>
  </si>
  <si>
    <t>Sypris Solutions</t>
  </si>
  <si>
    <t>PVNC US EQUITY</t>
  </si>
  <si>
    <t>Prevention Ins.C</t>
  </si>
  <si>
    <t>CLSH US EQUITY</t>
  </si>
  <si>
    <t>Cls Holdings Usa</t>
  </si>
  <si>
    <t>SLS US EQUITY</t>
  </si>
  <si>
    <t>Sellas Life Scie</t>
  </si>
  <si>
    <t>SGMA US EQUITY</t>
  </si>
  <si>
    <t>Sigmatron Intl</t>
  </si>
  <si>
    <t>CHCI US EQUITY</t>
  </si>
  <si>
    <t>Comstock Holding</t>
  </si>
  <si>
    <t>LPBC US EQUITY</t>
  </si>
  <si>
    <t>Lincoln Park</t>
  </si>
  <si>
    <t>HOOB US EQUITY</t>
  </si>
  <si>
    <t>Holobeam Inc</t>
  </si>
  <si>
    <t>LBY US EQUITY</t>
  </si>
  <si>
    <t>Libbey Inc</t>
  </si>
  <si>
    <t>ABMT US EQUITY</t>
  </si>
  <si>
    <t>Advanced Biomedi</t>
  </si>
  <si>
    <t>DTRC US EQUITY</t>
  </si>
  <si>
    <t>Dakota Territory</t>
  </si>
  <si>
    <t>LODE US EQUITY</t>
  </si>
  <si>
    <t>Comstock Mining</t>
  </si>
  <si>
    <t>NDVN US EQUITY</t>
  </si>
  <si>
    <t>Ndivision Inc</t>
  </si>
  <si>
    <t>WDDD US EQUITY</t>
  </si>
  <si>
    <t>Worlds Inc</t>
  </si>
  <si>
    <t>FCCG US EQUITY</t>
  </si>
  <si>
    <t>Fog Cutter Cap</t>
  </si>
  <si>
    <t>PCHM US EQUITY</t>
  </si>
  <si>
    <t>Pharmchem Inc</t>
  </si>
  <si>
    <t>BSQR US EQUITY</t>
  </si>
  <si>
    <t>Bsquare Corp</t>
  </si>
  <si>
    <t>RAVE US EQUITY</t>
  </si>
  <si>
    <t>Rave Restaurant</t>
  </si>
  <si>
    <t>PASO US EQUITY</t>
  </si>
  <si>
    <t>Patient Access S</t>
  </si>
  <si>
    <t>DTRL US EQUITY</t>
  </si>
  <si>
    <t>Detroit Legal</t>
  </si>
  <si>
    <t>BFNH US EQUITY</t>
  </si>
  <si>
    <t>Bioforce Nanosci</t>
  </si>
  <si>
    <t>OPVS US EQUITY</t>
  </si>
  <si>
    <t>Nanoflex Power C</t>
  </si>
  <si>
    <t>FCCT US EQUITY</t>
  </si>
  <si>
    <t>First Community</t>
  </si>
  <si>
    <t>PRLX US EQUITY</t>
  </si>
  <si>
    <t>Parallax Health</t>
  </si>
  <si>
    <t>PGID US EQUITY</t>
  </si>
  <si>
    <t>Peregrine Inds</t>
  </si>
  <si>
    <t>RTW US EQUITY</t>
  </si>
  <si>
    <t>Rtw Retailwinds</t>
  </si>
  <si>
    <t>TBLT US EQUITY</t>
  </si>
  <si>
    <t>Toughbuilt Indus</t>
  </si>
  <si>
    <t>IGOI US EQUITY</t>
  </si>
  <si>
    <t>Igo Inc</t>
  </si>
  <si>
    <t>ECOR US EQUITY</t>
  </si>
  <si>
    <t>Electrocore Inc</t>
  </si>
  <si>
    <t>PTIX US EQUITY</t>
  </si>
  <si>
    <t>Protagenic Thera</t>
  </si>
  <si>
    <t>CYAN US EQUITY</t>
  </si>
  <si>
    <t>Cyanotech Corp</t>
  </si>
  <si>
    <t>CCTC US EQUITY</t>
  </si>
  <si>
    <t>Clean Coal Techn</t>
  </si>
  <si>
    <t>PRKR US EQUITY</t>
  </si>
  <si>
    <t>Parkervision</t>
  </si>
  <si>
    <t>FNAM US EQUITY</t>
  </si>
  <si>
    <t>Evolutionary Gen</t>
  </si>
  <si>
    <t>CHFS US EQUITY</t>
  </si>
  <si>
    <t>Chf Solutions In</t>
  </si>
  <si>
    <t>BRRE US EQUITY</t>
  </si>
  <si>
    <t>Blue Ridge Re Co</t>
  </si>
  <si>
    <t>GSPE US EQUITY</t>
  </si>
  <si>
    <t>Gulfslope Energy</t>
  </si>
  <si>
    <t>PHCG US EQUITY</t>
  </si>
  <si>
    <t>Pure Harvest Can</t>
  </si>
  <si>
    <t>RVIV US EQUITY</t>
  </si>
  <si>
    <t>Reviv3 Procare C</t>
  </si>
  <si>
    <t>SSI US EQUITY</t>
  </si>
  <si>
    <t>Stage Stores Inc</t>
  </si>
  <si>
    <t>KMPH US EQUITY</t>
  </si>
  <si>
    <t>Kempharm Inc</t>
  </si>
  <si>
    <t>MKGI US EQUITY</t>
  </si>
  <si>
    <t>Monaker Group In</t>
  </si>
  <si>
    <t>SQBG US EQUITY</t>
  </si>
  <si>
    <t>Sequential Brand</t>
  </si>
  <si>
    <t>CAPR US EQUITY</t>
  </si>
  <si>
    <t>Capricor Therape</t>
  </si>
  <si>
    <t>XPL US EQUITY</t>
  </si>
  <si>
    <t>Solitario Zinc C</t>
  </si>
  <si>
    <t>GDSI US EQUITY</t>
  </si>
  <si>
    <t>Global Digital S</t>
  </si>
  <si>
    <t>SPGX US EQUITY</t>
  </si>
  <si>
    <t>Sustainable Proj</t>
  </si>
  <si>
    <t>MDRIQ US EQUITY</t>
  </si>
  <si>
    <t>Mcdermott Intl</t>
  </si>
  <si>
    <t>RMBL US EQUITY</t>
  </si>
  <si>
    <t>Rumbleon Inc-B</t>
  </si>
  <si>
    <t>ADMT US EQUITY</t>
  </si>
  <si>
    <t>Adm Tronics Unl</t>
  </si>
  <si>
    <t>ELIO US EQUITY</t>
  </si>
  <si>
    <t>Elio Motors Inc</t>
  </si>
  <si>
    <t>GRMM US EQUITY</t>
  </si>
  <si>
    <t>Grom Social Ente</t>
  </si>
  <si>
    <t>PHBI US EQUITY</t>
  </si>
  <si>
    <t>Pharmagreen Biot</t>
  </si>
  <si>
    <t>DXYN US EQUITY</t>
  </si>
  <si>
    <t>Dixie Group Inc</t>
  </si>
  <si>
    <t>NSYC US EQUITY</t>
  </si>
  <si>
    <t>Natl Stock Yards</t>
  </si>
  <si>
    <t>VKIN US EQUITY</t>
  </si>
  <si>
    <t>Viking Energy Gr</t>
  </si>
  <si>
    <t>MEEC US EQUITY</t>
  </si>
  <si>
    <t>Midwest Energy E</t>
  </si>
  <si>
    <t>AMTX US EQUITY</t>
  </si>
  <si>
    <t>Aemetis Inc</t>
  </si>
  <si>
    <t>CSTI US EQUITY</t>
  </si>
  <si>
    <t>Costar Technolog</t>
  </si>
  <si>
    <t>NLBS US EQUITY</t>
  </si>
  <si>
    <t>Nutralife Biosci</t>
  </si>
  <si>
    <t>CMXX US EQUITY</t>
  </si>
  <si>
    <t>Cimetrix Inc</t>
  </si>
  <si>
    <t>INLXD US EQUITY</t>
  </si>
  <si>
    <t>Intellinetics In</t>
  </si>
  <si>
    <t>BWTL US EQUITY</t>
  </si>
  <si>
    <t>Bowlin Travel Ce</t>
  </si>
  <si>
    <t>LONE US EQUITY</t>
  </si>
  <si>
    <t>Lonestar Re-Cl A</t>
  </si>
  <si>
    <t>SDEC US EQUITY</t>
  </si>
  <si>
    <t>Smart Decision I</t>
  </si>
  <si>
    <t>ESOA US EQUITY</t>
  </si>
  <si>
    <t>Energy Services</t>
  </si>
  <si>
    <t>AUMC US EQUITY</t>
  </si>
  <si>
    <t>Auryn Mining Cor</t>
  </si>
  <si>
    <t>WMSI US EQUITY</t>
  </si>
  <si>
    <t>Williams Inds</t>
  </si>
  <si>
    <t>EMAN US EQUITY</t>
  </si>
  <si>
    <t>Emagin Corp</t>
  </si>
  <si>
    <t>FLXT US EQUITY</t>
  </si>
  <si>
    <t>Flexpoint Sensor</t>
  </si>
  <si>
    <t>INUV US EQUITY</t>
  </si>
  <si>
    <t>Inuvo Inc</t>
  </si>
  <si>
    <t>JAKK US EQUITY</t>
  </si>
  <si>
    <t>Jakks Pacific</t>
  </si>
  <si>
    <t>IVFH US EQUITY</t>
  </si>
  <si>
    <t>Innovative Food</t>
  </si>
  <si>
    <t>TROV US EQUITY</t>
  </si>
  <si>
    <t>Trovagene Inc</t>
  </si>
  <si>
    <t>MYO US EQUITY</t>
  </si>
  <si>
    <t>Myomo Inc</t>
  </si>
  <si>
    <t>WSTL US EQUITY</t>
  </si>
  <si>
    <t>Westell Tech-A</t>
  </si>
  <si>
    <t>MKRO US EQUITY</t>
  </si>
  <si>
    <t>Monkey Rock Grou</t>
  </si>
  <si>
    <t>NXTD US EQUITY</t>
  </si>
  <si>
    <t>Nxt-Id Inc</t>
  </si>
  <si>
    <t>DLPN US EQUITY</t>
  </si>
  <si>
    <t>Dolphin Entertai</t>
  </si>
  <si>
    <t>PDSB US EQUITY</t>
  </si>
  <si>
    <t>Pds Biotechnolog</t>
  </si>
  <si>
    <t>VERF US EQUITY</t>
  </si>
  <si>
    <t>Versailles Finan</t>
  </si>
  <si>
    <t>KIRK US EQUITY</t>
  </si>
  <si>
    <t>Kirkland'S Inc</t>
  </si>
  <si>
    <t>FTEK US EQUITY</t>
  </si>
  <si>
    <t>Fuel Tech Inc</t>
  </si>
  <si>
    <t>DFODQ US EQUITY</t>
  </si>
  <si>
    <t>Dean Foods Co</t>
  </si>
  <si>
    <t>GRWC US EQUITY</t>
  </si>
  <si>
    <t>Grow Capital Inc</t>
  </si>
  <si>
    <t>FAME US EQUITY</t>
  </si>
  <si>
    <t>Flamemaster Corp</t>
  </si>
  <si>
    <t>OHPB US EQUITY</t>
  </si>
  <si>
    <t>Ohana Pacific Ba</t>
  </si>
  <si>
    <t>FORD US EQUITY</t>
  </si>
  <si>
    <t>Forward Inds Inc</t>
  </si>
  <si>
    <t>MJNE US EQUITY</t>
  </si>
  <si>
    <t>Mj Holdings Inc</t>
  </si>
  <si>
    <t>XELB US EQUITY</t>
  </si>
  <si>
    <t>Xcel Brands Inc</t>
  </si>
  <si>
    <t>GTBP US EQUITY</t>
  </si>
  <si>
    <t>Gt Biopharma Inc</t>
  </si>
  <si>
    <t>RCRT US EQUITY</t>
  </si>
  <si>
    <t>Recruiter.Com Gr</t>
  </si>
  <si>
    <t>SUIC US EQUITY</t>
  </si>
  <si>
    <t>Sino United Worl</t>
  </si>
  <si>
    <t>DFFN US EQUITY</t>
  </si>
  <si>
    <t>Diffusion Pharma</t>
  </si>
  <si>
    <t>QNTA US EQUITY</t>
  </si>
  <si>
    <t>Quanta Inc</t>
  </si>
  <si>
    <t>LITH US EQUITY</t>
  </si>
  <si>
    <t>U.S. Lithium Cor</t>
  </si>
  <si>
    <t>MYOS US EQUITY</t>
  </si>
  <si>
    <t>Myos Rens Techno</t>
  </si>
  <si>
    <t>CNAT US EQUITY</t>
  </si>
  <si>
    <t>Conatus Pharmace</t>
  </si>
  <si>
    <t>CPST US EQUITY</t>
  </si>
  <si>
    <t>Capstone Turbine</t>
  </si>
  <si>
    <t>GLGI US EQUITY</t>
  </si>
  <si>
    <t>Greystone Logist</t>
  </si>
  <si>
    <t>DYNT US EQUITY</t>
  </si>
  <si>
    <t>Dynatronics Corp</t>
  </si>
  <si>
    <t>DVLN US EQUITY</t>
  </si>
  <si>
    <t>Dvl Inc</t>
  </si>
  <si>
    <t>SMIT US EQUITY</t>
  </si>
  <si>
    <t>Schmitt Inds</t>
  </si>
  <si>
    <t>BICX US EQUITY</t>
  </si>
  <si>
    <t>Biocorrx Inc</t>
  </si>
  <si>
    <t>TMBXF US EQUITY</t>
  </si>
  <si>
    <t>Tombstone Explor</t>
  </si>
  <si>
    <t>TTCM US EQUITY</t>
  </si>
  <si>
    <t>Tautachrome Inc</t>
  </si>
  <si>
    <t>CRYO US EQUITY</t>
  </si>
  <si>
    <t>American Cryoste</t>
  </si>
  <si>
    <t>NAOV US EQUITY</t>
  </si>
  <si>
    <t>Nanovibronix Inc</t>
  </si>
  <si>
    <t>CNMF US EQUITY</t>
  </si>
  <si>
    <t>Canfield Medical</t>
  </si>
  <si>
    <t>ALRN US EQUITY</t>
  </si>
  <si>
    <t>Aileron Therapeu</t>
  </si>
  <si>
    <t>RGLS US EQUITY</t>
  </si>
  <si>
    <t>Regulus Therapeu</t>
  </si>
  <si>
    <t>CORX US EQUITY</t>
  </si>
  <si>
    <t>Core Lithium Cor</t>
  </si>
  <si>
    <t>BWMG US EQUITY</t>
  </si>
  <si>
    <t>Brownie'S Marine</t>
  </si>
  <si>
    <t xml:space="preserve">Country </t>
  </si>
  <si>
    <t>Valuation</t>
  </si>
  <si>
    <t xml:space="preserve">country_name </t>
  </si>
  <si>
    <t>country_name_vietnamese</t>
  </si>
  <si>
    <t>valuation_method</t>
  </si>
  <si>
    <t>valuation_method_vietnamese</t>
  </si>
  <si>
    <t>Thailand</t>
  </si>
  <si>
    <t>Thái Lan</t>
  </si>
  <si>
    <t>Chỉ số PE</t>
  </si>
  <si>
    <t>Singapore</t>
  </si>
  <si>
    <t>Chỉ số PB</t>
  </si>
  <si>
    <t>Euro</t>
  </si>
  <si>
    <t xml:space="preserve">Châu Âu </t>
  </si>
  <si>
    <t>Chỉ số PS</t>
  </si>
  <si>
    <t>USA</t>
  </si>
  <si>
    <t xml:space="preserve">Mỹ </t>
  </si>
  <si>
    <t>EV/EBITDA</t>
  </si>
  <si>
    <t>Sector</t>
  </si>
  <si>
    <t>source_name</t>
  </si>
  <si>
    <t>Bloomberg</t>
  </si>
  <si>
    <t>updated</t>
  </si>
  <si>
    <t xml:space="preserve">Năng lượng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</si>
</sst>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1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16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20"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76" fontId="0" fillId="0" borderId="0" xfId="0" applyNumberFormat="1" applyFont="1"/>
    <xf numFmtId="0" fontId="0" fillId="0" borderId="0" xfId="0"/>
    <xf numFmtId="176" fontId="0" fillId="0" borderId="0" xfId="0" applyNumberFormat="1"/>
    <xf numFmtId="0" fontId="0" fillId="0" borderId="0" xfId="0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10" fontId="0" fillId="0" borderId="0" xfId="0" applyNumberFormat="1" applyFont="1"/>
    <xf numFmtId="4" fontId="0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zoomScale="85" zoomScaleNormal="85" workbookViewId="0">
      <selection activeCell="A18" sqref="A18"/>
    </sheetView>
  </sheetViews>
  <sheetFormatPr defaultColWidth="9" defaultRowHeight="12.5"/>
  <cols>
    <col min="1" max="1" width="46.5454545454545" customWidth="1"/>
    <col min="4" max="4" width="12" customWidth="1"/>
    <col min="5" max="5" width="9.42727272727273" style="18" customWidth="1"/>
    <col min="6" max="6" width="31.8545454545455" customWidth="1"/>
    <col min="7" max="7" width="23.8545454545455" customWidth="1"/>
    <col min="8" max="8" width="25.1363636363636" customWidth="1"/>
    <col min="9" max="9" width="22.5727272727273" customWidth="1"/>
    <col min="10" max="10" width="28.8545454545455" customWidth="1"/>
    <col min="11" max="11" width="40.1363636363636" customWidth="1"/>
    <col min="12" max="12" width="20.5727272727273" customWidth="1"/>
  </cols>
  <sheetData>
    <row r="1" spans="1:6">
      <c r="A1" t="s">
        <v>0</v>
      </c>
      <c r="F1" t="s">
        <v>1</v>
      </c>
    </row>
    <row r="2" spans="6:7">
      <c r="F2" t="s">
        <v>2</v>
      </c>
      <c r="G2" t="s">
        <v>3</v>
      </c>
    </row>
    <row r="3" spans="6:7">
      <c r="F3" t="s">
        <v>4</v>
      </c>
      <c r="G3" t="s">
        <v>5</v>
      </c>
    </row>
    <row r="5" ht="75" spans="1:6">
      <c r="A5" s="19" t="str">
        <f>CONCATENATE(VLOOKUP($G$2,CONN!$A$3:$B$6,2,0)," ","has total"," ",TEXT(SUM($G$8:$G$20),"#")," ","stocks"," ","accounted for"," ",TEXT(ROUND(SUM(SUMA!$W$7:$W$18),0),"#")," ","million USD",".",CHAR(10),"Market valuation",":",CHAR(10),"PE",":",TEXT(INDEX(SUMA!$O$63:$P$67,MATCH($G$2,SUMA!$O$63:$O$67,0),2),"#"),CHAR(10),"GISC Sector breakdown",":",CHAR(10),"By PE",":","Lowest by",":",INDEX($L$8:$L$20,MATCH(SMALL($L$8:$L$20,1),$L$8:$L$20,0),1)," ","(",TEXT(ROUND(INDEX($F$8:$L$20,MATCH(SMALL($L$8:$L$20,1),$L$8:$L$20,0),5),2),"#.00"),")"," ","|","Highest by",":",INDEX($F$8:$L$20,MATCH(MAX($L$8:$L$20),$L$8:$L$20,0),1)," ")</f>
        <v>Singapore has total 548 stocks accounted for 736234 million USD.
Market valuation:
PE:17
GISC Sector breakdown:
By PE:Lowest by:1 (7.53) |Highest by:Tiêu dùng thiết yếu </v>
      </c>
      <c r="F5" s="1" t="s">
        <v>6</v>
      </c>
    </row>
    <row r="7" ht="13" hidden="1" spans="6:12">
      <c r="F7" t="s">
        <v>7</v>
      </c>
      <c r="G7" t="s">
        <v>8</v>
      </c>
      <c r="H7" t="s">
        <v>9</v>
      </c>
      <c r="I7" t="s">
        <v>10</v>
      </c>
      <c r="J7" t="s">
        <v>11</v>
      </c>
      <c r="K7" s="1"/>
      <c r="L7" s="1"/>
    </row>
    <row r="8" ht="13" spans="6:12">
      <c r="F8" t="s">
        <v>12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13</v>
      </c>
      <c r="L8" s="1" t="s">
        <v>14</v>
      </c>
    </row>
    <row r="9" ht="13" spans="5:12">
      <c r="E9" s="18">
        <v>12</v>
      </c>
      <c r="F9" t="str">
        <f>INDEX(SUMA!$T$6:$AA$18,MATCH($E9,SUMA!$AA$6:$AA$18,0),MATCH(F$7,SUMA!$T$6:$AA$6,0))</f>
        <v>Tài chính</v>
      </c>
      <c r="G9">
        <f>INDEX(SUMA!$T$6:$AA$18,MATCH($E9,SUMA!$AA$6:$AA$18,0),MATCH(G$7,SUMA!$T$6:$AA$6,0))</f>
        <v>21</v>
      </c>
      <c r="H9">
        <f>INDEX(SUMA!$T$6:$AA$18,MATCH($E9,SUMA!$AA$6:$AA$18,0),MATCH(H$7,SUMA!$T$6:$AA$6,0))</f>
        <v>151296.774677</v>
      </c>
      <c r="I9">
        <f>INDEX(SUMA!$T$6:$AA$18,MATCH($E9,SUMA!$AA$6:$AA$18,0),MATCH(I$7,SUMA!$T$6:$AA$6,0))</f>
        <v>0.205500844246616</v>
      </c>
      <c r="J9">
        <f>INDEX(SUMA!$T$6:$AA$18,MATCH($E9,SUMA!$AA$6:$AA$18,0),6)</f>
        <v>10.5815023873982</v>
      </c>
      <c r="K9">
        <f>INDEX(SUMA!$T$6:$AA$18,MATCH($F9,SUMA!$U$6:$U$18,0),7)</f>
        <v>-0.362384299508751</v>
      </c>
      <c r="L9" s="1">
        <f>IFERROR(INDEX(SUMA!$T$6:$AB$18,MATCH($F9,SUMA!$U$6:$U$18,0),9),0)</f>
        <v>2</v>
      </c>
    </row>
    <row r="10" ht="13" spans="5:12">
      <c r="E10" s="18">
        <v>11</v>
      </c>
      <c r="F10" t="str">
        <f>INDEX(SUMA!$T$6:$AA$18,MATCH($E10,SUMA!$AA$6:$AA$18,0),MATCH(F$7,SUMA!$T$6:$AA$6,0))</f>
        <v>Năng lượng</v>
      </c>
      <c r="G10">
        <f>INDEX(SUMA!$T$6:$AA$18,MATCH($E10,SUMA!$AA$6:$AA$18,0),MATCH(G$7,SUMA!$T$6:$AA$6,0))</f>
        <v>24</v>
      </c>
      <c r="H10">
        <f>INDEX(SUMA!$T$6:$AA$18,MATCH($E10,SUMA!$AA$6:$AA$18,0),MATCH(H$7,SUMA!$T$6:$AA$6,0))</f>
        <v>122108.197753</v>
      </c>
      <c r="I10">
        <f>INDEX(SUMA!$T$6:$AA$18,MATCH($E10,SUMA!$AA$6:$AA$18,0),MATCH(I$7,SUMA!$T$6:$AA$6,0))</f>
        <v>0.165855073786242</v>
      </c>
      <c r="J10">
        <f>INDEX(SUMA!$T$6:$AA$18,MATCH($E10,SUMA!$AA$6:$AA$18,0),6)</f>
        <v>7.52514107525349</v>
      </c>
      <c r="K10">
        <f>INDEX(SUMA!$T$6:$AA$18,MATCH($F10,SUMA!$U$6:$U$18,0),7)</f>
        <v>-0.546553228234633</v>
      </c>
      <c r="L10" s="1">
        <f>IFERROR(INDEX(SUMA!$T$6:$AB$18,MATCH($F10,SUMA!$U$6:$U$18,0),9),0)</f>
        <v>1</v>
      </c>
    </row>
    <row r="11" ht="13" spans="5:12">
      <c r="E11" s="18">
        <v>10</v>
      </c>
      <c r="F11" t="str">
        <f>INDEX(SUMA!$T$6:$AA$18,MATCH($E11,SUMA!$AA$6:$AA$18,0),MATCH(F$7,SUMA!$T$6:$AA$6,0))</f>
        <v>Công nghiệp</v>
      </c>
      <c r="G11">
        <f>INDEX(SUMA!$T$6:$AA$18,MATCH($E11,SUMA!$AA$6:$AA$18,0),MATCH(G$7,SUMA!$T$6:$AA$6,0))</f>
        <v>129</v>
      </c>
      <c r="H11">
        <f>INDEX(SUMA!$T$6:$AA$18,MATCH($E11,SUMA!$AA$6:$AA$18,0),MATCH(H$7,SUMA!$T$6:$AA$6,0))</f>
        <v>119698.057633</v>
      </c>
      <c r="I11">
        <f>INDEX(SUMA!$T$6:$AA$18,MATCH($E11,SUMA!$AA$6:$AA$18,0),MATCH(I$7,SUMA!$T$6:$AA$6,0))</f>
        <v>0.162581469107821</v>
      </c>
      <c r="J11">
        <f>INDEX(SUMA!$T$6:$AA$18,MATCH($E11,SUMA!$AA$6:$AA$18,0),6)</f>
        <v>15.1131699938666</v>
      </c>
      <c r="K11">
        <f>INDEX(SUMA!$T$6:$AA$18,MATCH($F11,SUMA!$U$6:$U$18,0),7)</f>
        <v>-0.0893169873723382</v>
      </c>
      <c r="L11" s="1">
        <f>IFERROR(INDEX(SUMA!$T$6:$AB$18,MATCH($F11,SUMA!$U$6:$U$18,0),9),0)</f>
        <v>6</v>
      </c>
    </row>
    <row r="12" ht="13" spans="5:12">
      <c r="E12" s="18">
        <v>9</v>
      </c>
      <c r="F12" t="str">
        <f>INDEX(SUMA!$T$6:$AA$18,MATCH($E12,SUMA!$AA$6:$AA$18,0),MATCH(F$7,SUMA!$T$6:$AA$6,0))</f>
        <v>Bất động sản</v>
      </c>
      <c r="G12">
        <f>INDEX(SUMA!$T$6:$AA$18,MATCH($E12,SUMA!$AA$6:$AA$18,0),MATCH(G$7,SUMA!$T$6:$AA$6,0))</f>
        <v>104</v>
      </c>
      <c r="H12">
        <f>INDEX(SUMA!$T$6:$AA$18,MATCH($E12,SUMA!$AA$6:$AA$18,0),MATCH(H$7,SUMA!$T$6:$AA$6,0))</f>
        <v>109456.738405</v>
      </c>
      <c r="I12">
        <f>INDEX(SUMA!$T$6:$AA$18,MATCH($E12,SUMA!$AA$6:$AA$18,0),MATCH(I$7,SUMA!$T$6:$AA$6,0))</f>
        <v>0.148671061883039</v>
      </c>
      <c r="J12">
        <f>INDEX(SUMA!$T$6:$AA$18,MATCH($E12,SUMA!$AA$6:$AA$18,0),6)</f>
        <v>16.3742250736271</v>
      </c>
      <c r="K12">
        <f>INDEX(SUMA!$T$6:$AA$18,MATCH($F12,SUMA!$U$6:$U$18,0),7)</f>
        <v>-0.0133288631342225</v>
      </c>
      <c r="L12" s="1">
        <f>IFERROR(INDEX(SUMA!$T$6:$AB$18,MATCH($F12,SUMA!$U$6:$U$18,0),9),0)</f>
        <v>8</v>
      </c>
    </row>
    <row r="13" ht="13" spans="5:12">
      <c r="E13" s="18">
        <v>8</v>
      </c>
      <c r="F13" t="str">
        <f>INDEX(SUMA!$T$6:$AA$18,MATCH($E13,SUMA!$AA$6:$AA$18,0),MATCH(F$7,SUMA!$T$6:$AA$6,0))</f>
        <v>Dịch vụ truyền thông</v>
      </c>
      <c r="G13">
        <f>INDEX(SUMA!$T$6:$AA$18,MATCH($E13,SUMA!$AA$6:$AA$18,0),MATCH(G$7,SUMA!$T$6:$AA$6,0))</f>
        <v>13</v>
      </c>
      <c r="H13">
        <f>INDEX(SUMA!$T$6:$AA$18,MATCH($E13,SUMA!$AA$6:$AA$18,0),MATCH(H$7,SUMA!$T$6:$AA$6,0))</f>
        <v>93616.34845</v>
      </c>
      <c r="I13">
        <f>INDEX(SUMA!$T$6:$AA$18,MATCH($E13,SUMA!$AA$6:$AA$18,0),MATCH(I$7,SUMA!$T$6:$AA$6,0))</f>
        <v>0.127155642827361</v>
      </c>
      <c r="J13">
        <f>INDEX(SUMA!$T$6:$AA$18,MATCH($E13,SUMA!$AA$6:$AA$18,0),6)</f>
        <v>17.5213959000327</v>
      </c>
      <c r="K13">
        <f>INDEX(SUMA!$T$6:$AA$18,MATCH($F13,SUMA!$U$6:$U$18,0),7)</f>
        <v>0.0557968718779331</v>
      </c>
      <c r="L13" s="1">
        <f>IFERROR(INDEX(SUMA!$T$6:$AB$18,MATCH($F13,SUMA!$U$6:$U$18,0),9),0)</f>
        <v>9</v>
      </c>
    </row>
    <row r="14" ht="13" spans="5:12">
      <c r="E14" s="18">
        <v>7</v>
      </c>
      <c r="F14" t="str">
        <f>INDEX(SUMA!$T$6:$AA$18,MATCH($E14,SUMA!$AA$6:$AA$18,0),MATCH(F$7,SUMA!$T$6:$AA$6,0))</f>
        <v>Tiêu dùng không thiết yếu</v>
      </c>
      <c r="G14">
        <f>INDEX(SUMA!$T$6:$AA$18,MATCH($E14,SUMA!$AA$6:$AA$18,0),MATCH(G$7,SUMA!$T$6:$AA$6,0))</f>
        <v>31</v>
      </c>
      <c r="H14">
        <f>INDEX(SUMA!$T$6:$AA$18,MATCH($E14,SUMA!$AA$6:$AA$18,0),MATCH(H$7,SUMA!$T$6:$AA$6,0))</f>
        <v>42879.072867</v>
      </c>
      <c r="I14">
        <f>INDEX(SUMA!$T$6:$AA$18,MATCH($E14,SUMA!$AA$6:$AA$18,0),MATCH(I$7,SUMA!$T$6:$AA$6,0))</f>
        <v>0.0582410675541003</v>
      </c>
      <c r="J14">
        <f>INDEX(SUMA!$T$6:$AA$18,MATCH($E14,SUMA!$AA$6:$AA$18,0),6)</f>
        <v>13.7604071961509</v>
      </c>
      <c r="K14">
        <f>INDEX(SUMA!$T$6:$AA$18,MATCH($F14,SUMA!$U$6:$U$18,0),7)</f>
        <v>-0.170831196535228</v>
      </c>
      <c r="L14" s="1">
        <f>IFERROR(INDEX(SUMA!$T$6:$AB$18,MATCH($F14,SUMA!$U$6:$U$18,0),9),0)</f>
        <v>5</v>
      </c>
    </row>
    <row r="15" ht="13" spans="5:12">
      <c r="E15" s="18">
        <v>6</v>
      </c>
      <c r="F15" t="str">
        <f>INDEX(SUMA!$T$6:$AA$18,MATCH($E15,SUMA!$AA$6:$AA$18,0),MATCH(F$7,SUMA!$T$6:$AA$6,0))</f>
        <v>Tiêu dùng thiết yếu</v>
      </c>
      <c r="G15">
        <f>INDEX(SUMA!$T$6:$AA$18,MATCH($E15,SUMA!$AA$6:$AA$18,0),MATCH(G$7,SUMA!$T$6:$AA$6,0))</f>
        <v>65</v>
      </c>
      <c r="H15">
        <f>INDEX(SUMA!$T$6:$AA$18,MATCH($E15,SUMA!$AA$6:$AA$18,0),MATCH(H$7,SUMA!$T$6:$AA$6,0))</f>
        <v>23591.53743</v>
      </c>
      <c r="I15">
        <f>INDEX(SUMA!$T$6:$AA$18,MATCH($E15,SUMA!$AA$6:$AA$18,0),MATCH(I$7,SUMA!$T$6:$AA$6,0))</f>
        <v>0.0320435175785518</v>
      </c>
      <c r="J15">
        <f>INDEX(SUMA!$T$6:$AA$18,MATCH($E15,SUMA!$AA$6:$AA$18,0),6)</f>
        <v>30.9504066272215</v>
      </c>
      <c r="K15">
        <f>INDEX(SUMA!$T$6:$AA$18,MATCH($F15,SUMA!$U$6:$U$18,0),7)</f>
        <v>0.864996526921095</v>
      </c>
      <c r="L15" s="1">
        <f>IFERROR(INDEX(SUMA!$T$6:$AB$18,MATCH($F15,SUMA!$U$6:$U$18,0),9),0)</f>
        <v>12</v>
      </c>
    </row>
    <row r="16" ht="13" spans="5:12">
      <c r="E16" s="18">
        <v>5</v>
      </c>
      <c r="F16" t="str">
        <f>INDEX(SUMA!$T$6:$AA$18,MATCH($E16,SUMA!$AA$6:$AA$18,0),MATCH(F$7,SUMA!$T$6:$AA$6,0))</f>
        <v>Không phân ngành</v>
      </c>
      <c r="G16">
        <f>INDEX(SUMA!$T$6:$AA$18,MATCH($E16,SUMA!$AA$6:$AA$18,0),MATCH(G$7,SUMA!$T$6:$AA$6,0))</f>
        <v>53</v>
      </c>
      <c r="H16">
        <f>INDEX(SUMA!$T$6:$AA$18,MATCH($E16,SUMA!$AA$6:$AA$18,0),MATCH(H$7,SUMA!$T$6:$AA$6,0))</f>
        <v>21651.767251</v>
      </c>
      <c r="I16">
        <f>INDEX(SUMA!$T$6:$AA$18,MATCH($E16,SUMA!$AA$6:$AA$18,0),MATCH(I$7,SUMA!$T$6:$AA$6,0))</f>
        <v>0.0294087990904682</v>
      </c>
      <c r="J16">
        <f>INDEX(SUMA!$T$6:$AA$18,MATCH($E16,SUMA!$AA$6:$AA$18,0),6)</f>
        <v>21</v>
      </c>
      <c r="K16">
        <f>INDEX(SUMA!$T$6:$AA$18,MATCH($F16,SUMA!$U$6:$U$18,0),7)</f>
        <v>0.265409128127467</v>
      </c>
      <c r="L16" s="1">
        <f>IFERROR(INDEX(SUMA!$T$6:$AB$18,MATCH($F16,SUMA!$U$6:$U$18,0),9),0)</f>
        <v>10</v>
      </c>
    </row>
    <row r="17" ht="13" spans="5:12">
      <c r="E17" s="18">
        <v>4</v>
      </c>
      <c r="F17" t="str">
        <f>INDEX(SUMA!$T$6:$AA$18,MATCH($E17,SUMA!$AA$6:$AA$18,0),MATCH(F$7,SUMA!$T$6:$AA$6,0))</f>
        <v>Y tế</v>
      </c>
      <c r="G17">
        <f>INDEX(SUMA!$T$6:$AA$18,MATCH($E17,SUMA!$AA$6:$AA$18,0),MATCH(G$7,SUMA!$T$6:$AA$6,0))</f>
        <v>28</v>
      </c>
      <c r="H17">
        <f>INDEX(SUMA!$T$6:$AA$18,MATCH($E17,SUMA!$AA$6:$AA$18,0),MATCH(H$7,SUMA!$T$6:$AA$6,0))</f>
        <v>21196.078469</v>
      </c>
      <c r="I17">
        <f>INDEX(SUMA!$T$6:$AA$18,MATCH($E17,SUMA!$AA$6:$AA$18,0),MATCH(I$7,SUMA!$T$6:$AA$6,0))</f>
        <v>0.0287898537784175</v>
      </c>
      <c r="J17">
        <f>INDEX(SUMA!$T$6:$AA$18,MATCH($E17,SUMA!$AA$6:$AA$18,0),6)</f>
        <v>26.509412514536</v>
      </c>
      <c r="K17">
        <f>INDEX(SUMA!$T$6:$AA$18,MATCH($F17,SUMA!$U$6:$U$18,0),7)</f>
        <v>0.597392979866207</v>
      </c>
      <c r="L17" s="1">
        <f>IFERROR(INDEX(SUMA!$T$6:$AB$18,MATCH($F17,SUMA!$U$6:$U$18,0),9),0)</f>
        <v>11</v>
      </c>
    </row>
    <row r="18" ht="13" spans="5:12">
      <c r="E18" s="18">
        <v>3</v>
      </c>
      <c r="F18" t="str">
        <f>INDEX(SUMA!$T$6:$AA$18,MATCH($E18,SUMA!$AA$6:$AA$18,0),MATCH(F$7,SUMA!$T$6:$AA$6,0))</f>
        <v>Nguyên vật liệu</v>
      </c>
      <c r="G18">
        <f>INDEX(SUMA!$T$6:$AA$18,MATCH($E18,SUMA!$AA$6:$AA$18,0),MATCH(G$7,SUMA!$T$6:$AA$6,0))</f>
        <v>31</v>
      </c>
      <c r="H18">
        <f>INDEX(SUMA!$T$6:$AA$18,MATCH($E18,SUMA!$AA$6:$AA$18,0),MATCH(H$7,SUMA!$T$6:$AA$6,0))</f>
        <v>13265.96892</v>
      </c>
      <c r="I18">
        <f>INDEX(SUMA!$T$6:$AA$18,MATCH($E18,SUMA!$AA$6:$AA$18,0),MATCH(I$7,SUMA!$T$6:$AA$6,0))</f>
        <v>0.0180186776527748</v>
      </c>
      <c r="J18">
        <f>INDEX(SUMA!$T$6:$AA$18,MATCH($E18,SUMA!$AA$6:$AA$18,0),6)</f>
        <v>11.7814913608811</v>
      </c>
      <c r="K18">
        <f>INDEX(SUMA!$T$6:$AA$18,MATCH($F18,SUMA!$U$6:$U$18,0),7)</f>
        <v>-0.290075870904102</v>
      </c>
      <c r="L18" s="1">
        <f>IFERROR(INDEX(SUMA!$T$6:$AB$18,MATCH($F18,SUMA!$U$6:$U$18,0),9),0)</f>
        <v>3</v>
      </c>
    </row>
    <row r="19" ht="13" spans="5:12">
      <c r="E19" s="18">
        <v>2</v>
      </c>
      <c r="F19" t="str">
        <f>INDEX(SUMA!$T$6:$AA$18,MATCH($E19,SUMA!$AA$6:$AA$18,0),MATCH(F$7,SUMA!$T$6:$AA$6,0))</f>
        <v>Tiện ích</v>
      </c>
      <c r="G19">
        <f>INDEX(SUMA!$T$6:$AA$18,MATCH($E19,SUMA!$AA$6:$AA$18,0),MATCH(G$7,SUMA!$T$6:$AA$6,0))</f>
        <v>6</v>
      </c>
      <c r="H19">
        <f>INDEX(SUMA!$T$6:$AA$18,MATCH($E19,SUMA!$AA$6:$AA$18,0),MATCH(H$7,SUMA!$T$6:$AA$6,0))</f>
        <v>11395.718744</v>
      </c>
      <c r="I19">
        <f>INDEX(SUMA!$T$6:$AA$18,MATCH($E19,SUMA!$AA$6:$AA$18,0),MATCH(I$7,SUMA!$T$6:$AA$6,0))</f>
        <v>0.0154783856277736</v>
      </c>
      <c r="J19" s="16">
        <f>INDEX(SUMA!$T$6:$AA$18,MATCH($E19,SUMA!$AA$6:$AA$18,0),6)</f>
        <v>15.3077850341797</v>
      </c>
      <c r="K19" s="16">
        <f>INDEX(SUMA!$T$6:$AA$18,MATCH($F19,SUMA!$U$6:$U$18,0),7)</f>
        <v>-0.0775899564921896</v>
      </c>
      <c r="L19" s="1">
        <f>IFERROR(INDEX(SUMA!$T$6:$AB$18,MATCH($F19,SUMA!$U$6:$U$18,0),9),0)</f>
        <v>7</v>
      </c>
    </row>
    <row r="20" ht="13" spans="5:12">
      <c r="E20" s="18">
        <v>1</v>
      </c>
      <c r="F20" t="str">
        <f>INDEX(SUMA!$T$6:$AA$18,MATCH($E20,SUMA!$AA$6:$AA$18,0),MATCH(F$7,SUMA!$T$6:$AA$6,0))</f>
        <v>Công nghệ thông tin</v>
      </c>
      <c r="G20">
        <f>INDEX(SUMA!$T$6:$AA$18,MATCH($E20,SUMA!$AA$6:$AA$18,0),MATCH(G$7,SUMA!$T$6:$AA$6,0))</f>
        <v>43</v>
      </c>
      <c r="H20">
        <f>INDEX(SUMA!$T$6:$AA$18,MATCH($E20,SUMA!$AA$6:$AA$18,0),MATCH(H$7,SUMA!$T$6:$AA$6,0))</f>
        <v>6078.061122</v>
      </c>
      <c r="I20">
        <f>INDEX(SUMA!$T$6:$AA$18,MATCH($E20,SUMA!$AA$6:$AA$18,0),MATCH(I$7,SUMA!$T$6:$AA$6,0))</f>
        <v>0.00825560686683568</v>
      </c>
      <c r="J20">
        <f>INDEX(SUMA!$T$6:$AA$18,MATCH($E20,SUMA!$AA$6:$AA$18,0),6)</f>
        <v>12.7201412139194</v>
      </c>
      <c r="K20">
        <f>INDEX(SUMA!$T$6:$AA$18,MATCH($F20,SUMA!$U$6:$U$18,0),7)</f>
        <v>-0.233515104611235</v>
      </c>
      <c r="L20" s="1">
        <f>IFERROR(INDEX(SUMA!$T$6:$AB$18,MATCH($F20,SUMA!$U$6:$U$18,0),9),0)</f>
        <v>4</v>
      </c>
    </row>
    <row r="22" ht="13" spans="6:6">
      <c r="F22" s="1"/>
    </row>
  </sheetData>
  <dataValidations count="3">
    <dataValidation type="list" allowBlank="1" showInputMessage="1" showErrorMessage="1" sqref="A2">
      <formula1>CONN!$B$3:$B$6</formula1>
    </dataValidation>
    <dataValidation type="list" allowBlank="1" showInputMessage="1" showErrorMessage="1" sqref="G2">
      <formula1>CONN!$A$3:$A$6</formula1>
    </dataValidation>
    <dataValidation type="list" allowBlank="1" showInputMessage="1" showErrorMessage="1" sqref="G3">
      <formula1>CONN!$E$3:$E$6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67"/>
  <sheetViews>
    <sheetView zoomScale="60" zoomScaleNormal="60" topLeftCell="H44" workbookViewId="0">
      <selection activeCell="O63" sqref="O63"/>
    </sheetView>
  </sheetViews>
  <sheetFormatPr defaultColWidth="9" defaultRowHeight="12.5"/>
  <cols>
    <col min="2" max="2" width="13.1363636363636" customWidth="1"/>
    <col min="3" max="3" width="16" customWidth="1"/>
    <col min="4" max="4" width="12.8545454545455" customWidth="1"/>
    <col min="5" max="5" width="25.5727272727273" customWidth="1"/>
    <col min="6" max="6" width="15.5727272727273" customWidth="1"/>
    <col min="7" max="7" width="12.8545454545455"/>
    <col min="8" max="8" width="10.4272727272727" customWidth="1"/>
    <col min="9" max="9" width="19.1363636363636" customWidth="1"/>
    <col min="10" max="10" width="13.1363636363636" customWidth="1"/>
    <col min="14" max="14" width="29.1363636363636" style="6" customWidth="1"/>
    <col min="15" max="15" width="22.4272727272727" customWidth="1"/>
    <col min="16" max="16" width="31.8181818181818" style="7" customWidth="1"/>
    <col min="17" max="17" width="22.4272727272727" style="8" customWidth="1"/>
    <col min="18" max="18" width="29.1363636363636" customWidth="1"/>
    <col min="19" max="21" width="24.5727272727273" customWidth="1"/>
    <col min="22" max="22" width="24" customWidth="1"/>
    <col min="23" max="23" width="36.4272727272727" customWidth="1"/>
    <col min="24" max="25" width="24.8545454545455" customWidth="1"/>
    <col min="26" max="26" width="29.5727272727273" customWidth="1"/>
    <col min="27" max="27" width="16" customWidth="1"/>
    <col min="28" max="28" width="24.6909090909091" customWidth="1"/>
    <col min="30" max="30" width="12.8181818181818"/>
  </cols>
  <sheetData>
    <row r="2" ht="13" spans="2:15">
      <c r="B2" s="1" t="s">
        <v>15</v>
      </c>
      <c r="N2" t="s">
        <v>2</v>
      </c>
      <c r="O2" t="str">
        <f>selected_country_code</f>
        <v>SP</v>
      </c>
    </row>
    <row r="3" spans="14:15">
      <c r="N3" t="s">
        <v>4</v>
      </c>
      <c r="O3" t="str">
        <f>selected_valuation_method</f>
        <v>pe</v>
      </c>
    </row>
    <row r="4" spans="14:15">
      <c r="N4" s="6" t="s">
        <v>16</v>
      </c>
      <c r="O4">
        <f>AVERAGE($Q$6:$Q$17)</f>
        <v>16.5954231980889</v>
      </c>
    </row>
    <row r="5" ht="13" spans="2:17">
      <c r="B5" s="1" t="s">
        <v>17</v>
      </c>
      <c r="C5" s="1" t="s">
        <v>18</v>
      </c>
      <c r="D5" s="1" t="s">
        <v>8</v>
      </c>
      <c r="E5" s="1" t="s">
        <v>19</v>
      </c>
      <c r="F5" s="1" t="s">
        <v>5</v>
      </c>
      <c r="G5" s="1" t="s">
        <v>20</v>
      </c>
      <c r="H5" s="1" t="s">
        <v>21</v>
      </c>
      <c r="I5" s="1" t="s">
        <v>22</v>
      </c>
      <c r="J5" s="1" t="s">
        <v>23</v>
      </c>
      <c r="N5" s="9" t="s">
        <v>24</v>
      </c>
      <c r="O5" s="1" t="s">
        <v>25</v>
      </c>
      <c r="P5" s="10" t="s">
        <v>9</v>
      </c>
      <c r="Q5" s="11" t="str">
        <f>INDEX(valuation_method,MATCH($O$3,CONN!$E$2:$E$6,0),2)</f>
        <v>Chỉ số PE</v>
      </c>
    </row>
    <row r="6" spans="2:28">
      <c r="B6" t="s">
        <v>26</v>
      </c>
      <c r="C6" t="s">
        <v>27</v>
      </c>
      <c r="D6">
        <f>COUNTIFS(DATA!$I:$I,SUMA!$B6,DATA!$C:$C,SUMA!$C6)</f>
        <v>18</v>
      </c>
      <c r="E6">
        <f>SUMIFS(DATA!$D:$D,DATA!$I:$I,SUMA!$B6,DATA!$C:$C,SUMA!$C6)</f>
        <v>40774.683216</v>
      </c>
      <c r="F6">
        <f>IFERROR(AVERAGEIFS(DATA!$E:$E,DATA!$C:$C,SUMA!$C6,DATA!$I:$I,SUMA!$B6),"NA")</f>
        <v>8.15943305832999</v>
      </c>
      <c r="G6">
        <f>IFERROR(AVERAGEIFS(DATA!$F:$F,DATA!$C:$C,SUMA!$C6,DATA!$I:$I,SUMA!$B6),"NA")</f>
        <v>0.745160034961171</v>
      </c>
      <c r="H6">
        <f>IFERROR(AVERAGEIFS(DATA!$G:$G,DATA!$C:$C,SUMA!$C6,DATA!$I:$I,SUMA!$B6),"NA")</f>
        <v>19.2774741914537</v>
      </c>
      <c r="I6">
        <f>IFERROR(AVERAGEIFS(DATA!$H:$H,DATA!$C:$C,SUMA!$C6,DATA!$I:$I,SUMA!$B6),"NA")</f>
        <v>6.57170515457789</v>
      </c>
      <c r="J6" t="str">
        <f>B6&amp;C6</f>
        <v>THEnergy</v>
      </c>
      <c r="N6" s="6" t="s">
        <v>27</v>
      </c>
      <c r="O6" t="str">
        <f>INDEX(gisc_sector,MATCH(SUMA!$N6,CONN!$A$14:$A$26,0),2)</f>
        <v>Năng lượng </v>
      </c>
      <c r="P6" s="7">
        <f>INDEX($B$5:$J$53,MATCH(CONCATENATE($O$2,$N6),$J$5:$J$53,0),4)</f>
        <v>122108.197753</v>
      </c>
      <c r="Q6" s="8">
        <f>INDEX($B$5:$J$53,MATCH(CONCATENATE($O$2,$N6),$J$5:$J$53,0),MATCH($O$3,$B$5:$J$5,0))</f>
        <v>7.52514107525349</v>
      </c>
      <c r="T6" s="12" t="s">
        <v>24</v>
      </c>
      <c r="U6" s="12" t="s">
        <v>7</v>
      </c>
      <c r="V6" s="12" t="s">
        <v>8</v>
      </c>
      <c r="W6" s="12" t="s">
        <v>9</v>
      </c>
      <c r="X6" s="12" t="s">
        <v>10</v>
      </c>
      <c r="Y6" s="12" t="s">
        <v>11</v>
      </c>
      <c r="Z6" s="12" t="s">
        <v>28</v>
      </c>
      <c r="AA6" s="12" t="s">
        <v>29</v>
      </c>
      <c r="AB6" t="s">
        <v>30</v>
      </c>
    </row>
    <row r="7" spans="2:28">
      <c r="B7" t="s">
        <v>26</v>
      </c>
      <c r="C7" t="s">
        <v>31</v>
      </c>
      <c r="D7">
        <f>COUNTIFS(DATA!$I:$I,SUMA!$B7,DATA!$C:$C,SUMA!$C7)</f>
        <v>79</v>
      </c>
      <c r="E7">
        <f>SUMIFS(DATA!$D:$D,DATA!$I:$I,SUMA!$B7,DATA!$C:$C,SUMA!$C7)</f>
        <v>36237.564403</v>
      </c>
      <c r="F7">
        <f>IFERROR(AVERAGEIFS(DATA!$E:$E,DATA!$C:$C,SUMA!$C7,DATA!$I:$I,SUMA!$B7),"NA")</f>
        <v>13.9454769239587</v>
      </c>
      <c r="G7">
        <f>IFERROR(AVERAGEIFS(DATA!$F:$F,DATA!$C:$C,SUMA!$C7,DATA!$I:$I,SUMA!$B7),"NA")</f>
        <v>0.957941052241203</v>
      </c>
      <c r="H7">
        <f>IFERROR(AVERAGEIFS(DATA!$G:$G,DATA!$C:$C,SUMA!$C7,DATA!$I:$I,SUMA!$B7),"NA")</f>
        <v>0.983046111340324</v>
      </c>
      <c r="I7">
        <f>IFERROR(AVERAGEIFS(DATA!$H:$H,DATA!$C:$C,SUMA!$C7,DATA!$I:$I,SUMA!$B7),"NA")</f>
        <v>10.0180991796347</v>
      </c>
      <c r="J7" t="str">
        <f t="shared" ref="J7:J53" si="0">B7&amp;C7</f>
        <v>THIndustrials</v>
      </c>
      <c r="N7" s="6" t="s">
        <v>31</v>
      </c>
      <c r="O7" t="str">
        <f>INDEX(gisc_sector,MATCH(SUMA!$N7,CONN!$A$14:$A$26,0),2)</f>
        <v>Công nghiệp</v>
      </c>
      <c r="P7" s="7">
        <f t="shared" ref="P7:P17" si="1">INDEX($B$5:$J$53,MATCH(CONCATENATE($O$2,$N7),$J$5:$J$53,0),4)</f>
        <v>119698.057633</v>
      </c>
      <c r="Q7" s="8">
        <f t="shared" ref="Q7:Q17" si="2">INDEX($B$5:$J$53,MATCH(CONCATENATE($O$2,$N7),$J$5:$J$53,0),MATCH($O$3,$B$5:$J$5,0))</f>
        <v>15.1131699938666</v>
      </c>
      <c r="T7" t="s">
        <v>27</v>
      </c>
      <c r="U7" t="s">
        <v>32</v>
      </c>
      <c r="V7">
        <f>INDEX(SUMA!$B$5:$J$53,MATCH(CONCATENATE(DASH!$G$2,$T7),SUMA!$J$5:$J$53,0),3)</f>
        <v>24</v>
      </c>
      <c r="W7">
        <f>INDEX(SUMA!$B$5:$J$53,MATCH(CONCATENATE(DASH!$G$2,$T7),SUMA!$J$5:$J$53,0),4)</f>
        <v>122108.197753</v>
      </c>
      <c r="X7" s="13">
        <f t="shared" ref="X7:X18" si="3">W7/SUM($W$7:$W$18)</f>
        <v>0.165855073786242</v>
      </c>
      <c r="Y7">
        <f>INDEX(SUMA!$N$5:$Q$17,MATCH($T7,SUMA!$N$5:$N$17,0),4)</f>
        <v>7.52514107525349</v>
      </c>
      <c r="Z7" s="15">
        <f>IFERROR((Y7/(AVERAGE($Y$7:$Y$18)))-1,"NA")</f>
        <v>-0.546553228234633</v>
      </c>
      <c r="AA7">
        <f>RANK(W7,$W$7:$W$18,1)</f>
        <v>11</v>
      </c>
      <c r="AB7">
        <f>IFERROR(RANK($Y7,$Y$7:$Y$18,1),0)</f>
        <v>1</v>
      </c>
    </row>
    <row r="8" spans="2:28">
      <c r="B8" t="s">
        <v>26</v>
      </c>
      <c r="C8" t="s">
        <v>33</v>
      </c>
      <c r="D8">
        <f>COUNTIFS(DATA!$I:$I,SUMA!$B8,DATA!$C:$C,SUMA!$C8)</f>
        <v>31</v>
      </c>
      <c r="E8">
        <f>SUMIFS(DATA!$D:$D,DATA!$I:$I,SUMA!$B8,DATA!$C:$C,SUMA!$C8)</f>
        <v>34900.249092</v>
      </c>
      <c r="F8">
        <f>IFERROR(AVERAGEIFS(DATA!$E:$E,DATA!$C:$C,SUMA!$C8,DATA!$I:$I,SUMA!$B8),"NA")</f>
        <v>20.4492484006015</v>
      </c>
      <c r="G8">
        <f>IFERROR(AVERAGEIFS(DATA!$F:$F,DATA!$C:$C,SUMA!$C8,DATA!$I:$I,SUMA!$B8),"NA")</f>
        <v>3.60797418221351</v>
      </c>
      <c r="H8">
        <f>IFERROR(AVERAGEIFS(DATA!$G:$G,DATA!$C:$C,SUMA!$C8,DATA!$I:$I,SUMA!$B8),"NA")</f>
        <v>2.7525931964318</v>
      </c>
      <c r="I8">
        <f>IFERROR(AVERAGEIFS(DATA!$H:$H,DATA!$C:$C,SUMA!$C8,DATA!$I:$I,SUMA!$B8),"NA")</f>
        <v>34.3046000951103</v>
      </c>
      <c r="J8" t="str">
        <f t="shared" si="0"/>
        <v>THCommunication Services</v>
      </c>
      <c r="N8" s="6" t="s">
        <v>33</v>
      </c>
      <c r="O8" t="str">
        <f>INDEX(gisc_sector,MATCH(SUMA!$N8,CONN!$A$14:$A$26,0),2)</f>
        <v>Dịch vụ truyền thông</v>
      </c>
      <c r="P8" s="7">
        <f t="shared" si="1"/>
        <v>93616.34845</v>
      </c>
      <c r="Q8" s="8">
        <f t="shared" si="2"/>
        <v>17.5213959000327</v>
      </c>
      <c r="T8" t="s">
        <v>31</v>
      </c>
      <c r="U8" t="s">
        <v>34</v>
      </c>
      <c r="V8">
        <f>INDEX(SUMA!$B$5:$J$53,MATCH(CONCATENATE(DASH!$G$2,$T8),SUMA!$J$5:$J$53,0),3)</f>
        <v>129</v>
      </c>
      <c r="W8">
        <f>INDEX(SUMA!$B$5:$J$53,MATCH(CONCATENATE(DASH!$G$2,$T8),SUMA!$J$5:$J$53,0),4)</f>
        <v>119698.057633</v>
      </c>
      <c r="X8" s="13">
        <f t="shared" si="3"/>
        <v>0.162581469107821</v>
      </c>
      <c r="Y8">
        <f>INDEX(SUMA!$N$5:$Q$17,MATCH($T8,SUMA!$N$5:$N$17,0),4)</f>
        <v>15.1131699938666</v>
      </c>
      <c r="Z8" s="15">
        <f t="shared" ref="Z8:Z18" si="4">IFERROR((Y8/(AVERAGE($Y$7:$Y$18)))-1,"NA")</f>
        <v>-0.0893169873723382</v>
      </c>
      <c r="AA8">
        <f t="shared" ref="AA7:AA18" si="5">RANK(W8,$W$7:$W$18,1)</f>
        <v>10</v>
      </c>
      <c r="AB8">
        <f t="shared" ref="AB8:AB18" si="6">IFERROR(RANK($Y8,$Y$7:$Y$18,1),0)</f>
        <v>6</v>
      </c>
    </row>
    <row r="9" spans="2:28">
      <c r="B9" t="s">
        <v>26</v>
      </c>
      <c r="C9" t="s">
        <v>35</v>
      </c>
      <c r="D9">
        <f>COUNTIFS(DATA!$I:$I,SUMA!$B9,DATA!$C:$C,SUMA!$C9)</f>
        <v>51</v>
      </c>
      <c r="E9">
        <f>SUMIFS(DATA!$D:$D,DATA!$I:$I,SUMA!$B9,DATA!$C:$C,SUMA!$C9)</f>
        <v>47762.216642</v>
      </c>
      <c r="F9">
        <f>IFERROR(AVERAGEIFS(DATA!$E:$E,DATA!$C:$C,SUMA!$C9,DATA!$I:$I,SUMA!$B9),"NA")</f>
        <v>20.4861558051336</v>
      </c>
      <c r="G9">
        <f>IFERROR(AVERAGEIFS(DATA!$F:$F,DATA!$C:$C,SUMA!$C9,DATA!$I:$I,SUMA!$B9),"NA")</f>
        <v>1.61255551144189</v>
      </c>
      <c r="H9">
        <f>IFERROR(AVERAGEIFS(DATA!$G:$G,DATA!$C:$C,SUMA!$C9,DATA!$I:$I,SUMA!$B9),"NA")</f>
        <v>1.19540418041687</v>
      </c>
      <c r="I9">
        <f>IFERROR(AVERAGEIFS(DATA!$H:$H,DATA!$C:$C,SUMA!$C9,DATA!$I:$I,SUMA!$B9),"NA")</f>
        <v>16.9167697074566</v>
      </c>
      <c r="J9" t="str">
        <f t="shared" si="0"/>
        <v>THConsumer Staples</v>
      </c>
      <c r="N9" s="6" t="s">
        <v>35</v>
      </c>
      <c r="O9" t="str">
        <f>INDEX(gisc_sector,MATCH(SUMA!$N9,CONN!$A$14:$A$26,0),2)</f>
        <v>Tiêu dùng thiết yếu</v>
      </c>
      <c r="P9" s="7">
        <f t="shared" si="1"/>
        <v>42879.072867</v>
      </c>
      <c r="Q9" s="8">
        <f t="shared" si="2"/>
        <v>13.7604071961509</v>
      </c>
      <c r="T9" t="s">
        <v>33</v>
      </c>
      <c r="U9" t="s">
        <v>36</v>
      </c>
      <c r="V9">
        <f>INDEX(SUMA!$B$5:$J$53,MATCH(CONCATENATE(DASH!$G$2,$T9),SUMA!$J$5:$J$53,0),3)</f>
        <v>13</v>
      </c>
      <c r="W9">
        <f>INDEX(SUMA!$B$5:$J$53,MATCH(CONCATENATE(DASH!$G$2,$T9),SUMA!$J$5:$J$53,0),4)</f>
        <v>93616.34845</v>
      </c>
      <c r="X9" s="13">
        <f t="shared" si="3"/>
        <v>0.127155642827361</v>
      </c>
      <c r="Y9">
        <f>INDEX(SUMA!$N$5:$Q$17,MATCH($T9,SUMA!$N$5:$N$17,0),4)</f>
        <v>17.5213959000327</v>
      </c>
      <c r="Z9" s="15">
        <f t="shared" si="4"/>
        <v>0.0557968718779331</v>
      </c>
      <c r="AA9">
        <f t="shared" si="5"/>
        <v>8</v>
      </c>
      <c r="AB9">
        <f t="shared" si="6"/>
        <v>9</v>
      </c>
    </row>
    <row r="10" spans="2:28">
      <c r="B10" t="s">
        <v>26</v>
      </c>
      <c r="C10" t="s">
        <v>37</v>
      </c>
      <c r="D10">
        <f>COUNTIFS(DATA!$I:$I,SUMA!$B10,DATA!$C:$C,SUMA!$C10)</f>
        <v>63</v>
      </c>
      <c r="E10">
        <f>SUMIFS(DATA!$D:$D,DATA!$I:$I,SUMA!$B10,DATA!$C:$C,SUMA!$C10)</f>
        <v>28212.986243</v>
      </c>
      <c r="F10">
        <f>IFERROR(AVERAGEIFS(DATA!$E:$E,DATA!$C:$C,SUMA!$C10,DATA!$I:$I,SUMA!$B10),"NA")</f>
        <v>20.5792328552766</v>
      </c>
      <c r="G10">
        <f>IFERROR(AVERAGEIFS(DATA!$F:$F,DATA!$C:$C,SUMA!$C10,DATA!$I:$I,SUMA!$B10),"NA")</f>
        <v>0.811714156620925</v>
      </c>
      <c r="H10">
        <f>IFERROR(AVERAGEIFS(DATA!$G:$G,DATA!$C:$C,SUMA!$C10,DATA!$I:$I,SUMA!$B10),"NA")</f>
        <v>0.716073884718841</v>
      </c>
      <c r="I10">
        <f>IFERROR(AVERAGEIFS(DATA!$H:$H,DATA!$C:$C,SUMA!$C10,DATA!$I:$I,SUMA!$B10),"NA")</f>
        <v>6.6686406509549</v>
      </c>
      <c r="J10" t="str">
        <f t="shared" si="0"/>
        <v>THMaterials</v>
      </c>
      <c r="N10" s="6" t="s">
        <v>37</v>
      </c>
      <c r="O10" t="str">
        <f>INDEX(gisc_sector,MATCH(SUMA!$N10,CONN!$A$14:$A$26,0),2)</f>
        <v>Nguyên vật liệu</v>
      </c>
      <c r="P10" s="7">
        <f t="shared" si="1"/>
        <v>13265.96892</v>
      </c>
      <c r="Q10" s="8">
        <f t="shared" si="2"/>
        <v>11.7814913608811</v>
      </c>
      <c r="T10" t="s">
        <v>35</v>
      </c>
      <c r="U10" t="s">
        <v>38</v>
      </c>
      <c r="V10">
        <f>INDEX(SUMA!$B$5:$J$53,MATCH(CONCATENATE(DASH!$G$2,$T10),SUMA!$J$5:$J$53,0),3)</f>
        <v>31</v>
      </c>
      <c r="W10">
        <f>INDEX(SUMA!$B$5:$J$53,MATCH(CONCATENATE(DASH!$G$2,$T10),SUMA!$J$5:$J$53,0),4)</f>
        <v>42879.072867</v>
      </c>
      <c r="X10" s="13">
        <f t="shared" si="3"/>
        <v>0.0582410675541003</v>
      </c>
      <c r="Y10">
        <f>INDEX(SUMA!$N$5:$Q$17,MATCH($T10,SUMA!$N$5:$N$17,0),4)</f>
        <v>13.7604071961509</v>
      </c>
      <c r="Z10" s="15">
        <f t="shared" si="4"/>
        <v>-0.170831196535228</v>
      </c>
      <c r="AA10">
        <f t="shared" si="5"/>
        <v>7</v>
      </c>
      <c r="AB10">
        <f t="shared" si="6"/>
        <v>5</v>
      </c>
    </row>
    <row r="11" spans="2:28">
      <c r="B11" t="s">
        <v>26</v>
      </c>
      <c r="C11" t="s">
        <v>39</v>
      </c>
      <c r="D11">
        <f>COUNTIFS(DATA!$I:$I,SUMA!$B11,DATA!$C:$C,SUMA!$C11)</f>
        <v>23</v>
      </c>
      <c r="E11">
        <f>SUMIFS(DATA!$D:$D,DATA!$I:$I,SUMA!$B11,DATA!$C:$C,SUMA!$C11)</f>
        <v>35764.481582</v>
      </c>
      <c r="F11">
        <f>IFERROR(AVERAGEIFS(DATA!$E:$E,DATA!$C:$C,SUMA!$C11,DATA!$I:$I,SUMA!$B11),"NA")</f>
        <v>17.2001701701771</v>
      </c>
      <c r="G11">
        <f>IFERROR(AVERAGEIFS(DATA!$F:$F,DATA!$C:$C,SUMA!$C11,DATA!$I:$I,SUMA!$B11),"NA")</f>
        <v>1.95871452851729</v>
      </c>
      <c r="H11">
        <f>IFERROR(AVERAGEIFS(DATA!$G:$G,DATA!$C:$C,SUMA!$C11,DATA!$I:$I,SUMA!$B11),"NA")</f>
        <v>4.13224452474843</v>
      </c>
      <c r="I11">
        <f>IFERROR(AVERAGEIFS(DATA!$H:$H,DATA!$C:$C,SUMA!$C11,DATA!$I:$I,SUMA!$B11),"NA")</f>
        <v>33.1179984049364</v>
      </c>
      <c r="J11" t="str">
        <f t="shared" si="0"/>
        <v>THUtilities</v>
      </c>
      <c r="N11" s="6" t="s">
        <v>39</v>
      </c>
      <c r="O11" t="str">
        <f>INDEX(gisc_sector,MATCH(SUMA!$N11,CONN!$A$14:$A$26,0),2)</f>
        <v>Tiện ích</v>
      </c>
      <c r="P11" s="7">
        <f t="shared" si="1"/>
        <v>11395.718744</v>
      </c>
      <c r="Q11" s="8">
        <f t="shared" si="2"/>
        <v>15.3077850341797</v>
      </c>
      <c r="T11" t="s">
        <v>37</v>
      </c>
      <c r="U11" t="s">
        <v>40</v>
      </c>
      <c r="V11">
        <f>INDEX(SUMA!$B$5:$J$53,MATCH(CONCATENATE(DASH!$G$2,$T11),SUMA!$J$5:$J$53,0),3)</f>
        <v>31</v>
      </c>
      <c r="W11">
        <f>INDEX(SUMA!$B$5:$J$53,MATCH(CONCATENATE(DASH!$G$2,$T11),SUMA!$J$5:$J$53,0),4)</f>
        <v>13265.96892</v>
      </c>
      <c r="X11" s="13">
        <f t="shared" si="3"/>
        <v>0.0180186776527748</v>
      </c>
      <c r="Y11">
        <f>INDEX(SUMA!$N$5:$Q$17,MATCH($T11,SUMA!$N$5:$N$17,0),4)</f>
        <v>11.7814913608811</v>
      </c>
      <c r="Z11" s="15">
        <f t="shared" si="4"/>
        <v>-0.290075870904102</v>
      </c>
      <c r="AA11">
        <f t="shared" si="5"/>
        <v>3</v>
      </c>
      <c r="AB11">
        <f t="shared" si="6"/>
        <v>3</v>
      </c>
    </row>
    <row r="12" spans="2:28">
      <c r="B12" t="s">
        <v>26</v>
      </c>
      <c r="C12" t="s">
        <v>41</v>
      </c>
      <c r="D12">
        <f>COUNTIFS(DATA!$I:$I,SUMA!$B12,DATA!$C:$C,SUMA!$C12)</f>
        <v>25</v>
      </c>
      <c r="E12">
        <f>SUMIFS(DATA!$D:$D,DATA!$I:$I,SUMA!$B12,DATA!$C:$C,SUMA!$C12)</f>
        <v>19245.234407</v>
      </c>
      <c r="F12">
        <f>IFERROR(AVERAGEIFS(DATA!$E:$E,DATA!$C:$C,SUMA!$C12,DATA!$I:$I,SUMA!$B12),"NA")</f>
        <v>22.1946380864019</v>
      </c>
      <c r="G12">
        <f>IFERROR(AVERAGEIFS(DATA!$F:$F,DATA!$C:$C,SUMA!$C12,DATA!$I:$I,SUMA!$B12),"NA")</f>
        <v>2.47061287164688</v>
      </c>
      <c r="H12">
        <f>IFERROR(AVERAGEIFS(DATA!$G:$G,DATA!$C:$C,SUMA!$C12,DATA!$I:$I,SUMA!$B12),"NA")</f>
        <v>2.45298914909363</v>
      </c>
      <c r="I12">
        <f>IFERROR(AVERAGEIFS(DATA!$H:$H,DATA!$C:$C,SUMA!$C12,DATA!$I:$I,SUMA!$B12),"NA")</f>
        <v>14.3974399169286</v>
      </c>
      <c r="J12" t="str">
        <f t="shared" si="0"/>
        <v>THHealth Care</v>
      </c>
      <c r="N12" s="6" t="s">
        <v>41</v>
      </c>
      <c r="O12" t="str">
        <f>INDEX(gisc_sector,MATCH(SUMA!$N12,CONN!$A$14:$A$26,0),2)</f>
        <v>Y tế</v>
      </c>
      <c r="P12" s="7">
        <f t="shared" si="1"/>
        <v>21196.078469</v>
      </c>
      <c r="Q12" s="8">
        <f t="shared" si="2"/>
        <v>26.509412514536</v>
      </c>
      <c r="T12" t="s">
        <v>39</v>
      </c>
      <c r="U12" t="s">
        <v>42</v>
      </c>
      <c r="V12">
        <f>INDEX(SUMA!$B$5:$J$53,MATCH(CONCATENATE(DASH!$G$2,$T12),SUMA!$J$5:$J$53,0),3)</f>
        <v>6</v>
      </c>
      <c r="W12">
        <f>INDEX(SUMA!$B$5:$J$53,MATCH(CONCATENATE(DASH!$G$2,$T12),SUMA!$J$5:$J$53,0),4)</f>
        <v>11395.718744</v>
      </c>
      <c r="X12" s="13">
        <f t="shared" si="3"/>
        <v>0.0154783856277736</v>
      </c>
      <c r="Y12">
        <f>INDEX(SUMA!$N$5:$Q$17,MATCH($T12,SUMA!$N$5:$N$17,0),4)</f>
        <v>15.3077850341797</v>
      </c>
      <c r="Z12" s="15">
        <f t="shared" si="4"/>
        <v>-0.0775899564921896</v>
      </c>
      <c r="AA12">
        <f t="shared" si="5"/>
        <v>2</v>
      </c>
      <c r="AB12">
        <f t="shared" si="6"/>
        <v>7</v>
      </c>
    </row>
    <row r="13" spans="2:28">
      <c r="B13" t="s">
        <v>26</v>
      </c>
      <c r="C13" t="s">
        <v>43</v>
      </c>
      <c r="D13">
        <f>COUNTIFS(DATA!$I:$I,SUMA!$B13,DATA!$C:$C,SUMA!$C13)</f>
        <v>54</v>
      </c>
      <c r="E13">
        <f>SUMIFS(DATA!$D:$D,DATA!$I:$I,SUMA!$B13,DATA!$C:$C,SUMA!$C13)</f>
        <v>50122.274278</v>
      </c>
      <c r="F13">
        <f>IFERROR(AVERAGEIFS(DATA!$E:$E,DATA!$C:$C,SUMA!$C13,DATA!$I:$I,SUMA!$B13),"NA")</f>
        <v>15.0950781852007</v>
      </c>
      <c r="G13">
        <f>IFERROR(AVERAGEIFS(DATA!$F:$F,DATA!$C:$C,SUMA!$C13,DATA!$I:$I,SUMA!$B13),"NA")</f>
        <v>1.72226642210174</v>
      </c>
      <c r="H13">
        <f>IFERROR(AVERAGEIFS(DATA!$G:$G,DATA!$C:$C,SUMA!$C13,DATA!$I:$I,SUMA!$B13),"NA")</f>
        <v>1.6518044861754</v>
      </c>
      <c r="I13">
        <f>IFERROR(AVERAGEIFS(DATA!$H:$H,DATA!$C:$C,SUMA!$C13,DATA!$I:$I,SUMA!$B13),"NA")</f>
        <v>11.9444121872937</v>
      </c>
      <c r="J13" t="str">
        <f t="shared" si="0"/>
        <v>THFinancials</v>
      </c>
      <c r="N13" s="6" t="s">
        <v>43</v>
      </c>
      <c r="O13" t="str">
        <f>INDEX(gisc_sector,MATCH(SUMA!$N13,CONN!$A$14:$A$26,0),2)</f>
        <v>Tài chính</v>
      </c>
      <c r="P13" s="7">
        <f t="shared" si="1"/>
        <v>151296.774677</v>
      </c>
      <c r="Q13" s="8">
        <f t="shared" si="2"/>
        <v>10.5815023873982</v>
      </c>
      <c r="T13" t="s">
        <v>41</v>
      </c>
      <c r="U13" t="s">
        <v>44</v>
      </c>
      <c r="V13">
        <f>INDEX(SUMA!$B$5:$J$53,MATCH(CONCATENATE(DASH!$G$2,$T13),SUMA!$J$5:$J$53,0),3)</f>
        <v>28</v>
      </c>
      <c r="W13">
        <f>INDEX(SUMA!$B$5:$J$53,MATCH(CONCATENATE(DASH!$G$2,$T13),SUMA!$J$5:$J$53,0),4)</f>
        <v>21196.078469</v>
      </c>
      <c r="X13" s="13">
        <f t="shared" si="3"/>
        <v>0.0287898537784175</v>
      </c>
      <c r="Y13">
        <f>INDEX(SUMA!$N$5:$Q$17,MATCH($T13,SUMA!$N$5:$N$17,0),4)</f>
        <v>26.509412514536</v>
      </c>
      <c r="Z13" s="15">
        <f t="shared" si="4"/>
        <v>0.597392979866207</v>
      </c>
      <c r="AA13">
        <f t="shared" si="5"/>
        <v>4</v>
      </c>
      <c r="AB13">
        <f t="shared" si="6"/>
        <v>11</v>
      </c>
    </row>
    <row r="14" spans="2:28">
      <c r="B14" t="s">
        <v>26</v>
      </c>
      <c r="C14" t="s">
        <v>45</v>
      </c>
      <c r="D14">
        <f>COUNTIFS(DATA!$I:$I,SUMA!$B14,DATA!$C:$C,SUMA!$C14)</f>
        <v>95</v>
      </c>
      <c r="E14">
        <f>SUMIFS(DATA!$D:$D,DATA!$I:$I,SUMA!$B14,DATA!$C:$C,SUMA!$C14)</f>
        <v>28715.185769</v>
      </c>
      <c r="F14">
        <f>IFERROR(AVERAGEIFS(DATA!$E:$E,DATA!$C:$C,SUMA!$C14,DATA!$I:$I,SUMA!$B14),"NA")</f>
        <v>36.5176488587885</v>
      </c>
      <c r="G14">
        <f>IFERROR(AVERAGEIFS(DATA!$F:$F,DATA!$C:$C,SUMA!$C14,DATA!$I:$I,SUMA!$B14),"NA")</f>
        <v>0.784560981456951</v>
      </c>
      <c r="H14">
        <f>IFERROR(AVERAGEIFS(DATA!$G:$G,DATA!$C:$C,SUMA!$C14,DATA!$I:$I,SUMA!$B14),"NA")</f>
        <v>5.12035231000703</v>
      </c>
      <c r="I14">
        <f>IFERROR(AVERAGEIFS(DATA!$H:$H,DATA!$C:$C,SUMA!$C14,DATA!$I:$I,SUMA!$B14),"NA")</f>
        <v>41.4134794250131</v>
      </c>
      <c r="J14" t="str">
        <f t="shared" si="0"/>
        <v>THReal Estate</v>
      </c>
      <c r="N14" s="6" t="s">
        <v>45</v>
      </c>
      <c r="O14" t="str">
        <f>INDEX(gisc_sector,MATCH(SUMA!$N14,CONN!$A$14:$A$26,0),2)</f>
        <v>Bất động sản</v>
      </c>
      <c r="P14" s="7">
        <f t="shared" si="1"/>
        <v>109456.738405</v>
      </c>
      <c r="Q14" s="8">
        <f t="shared" si="2"/>
        <v>16.3742250736271</v>
      </c>
      <c r="T14" t="s">
        <v>43</v>
      </c>
      <c r="U14" t="s">
        <v>46</v>
      </c>
      <c r="V14">
        <f>INDEX(SUMA!$B$5:$J$53,MATCH(CONCATENATE(DASH!$G$2,$T14),SUMA!$J$5:$J$53,0),3)</f>
        <v>21</v>
      </c>
      <c r="W14">
        <f>INDEX(SUMA!$B$5:$J$53,MATCH(CONCATENATE(DASH!$G$2,$T14),SUMA!$J$5:$J$53,0),4)</f>
        <v>151296.774677</v>
      </c>
      <c r="X14" s="13">
        <f t="shared" si="3"/>
        <v>0.205500844246616</v>
      </c>
      <c r="Y14">
        <f>INDEX(SUMA!$N$5:$Q$17,MATCH($T14,SUMA!$N$5:$N$17,0),4)</f>
        <v>10.5815023873982</v>
      </c>
      <c r="Z14" s="15">
        <f t="shared" si="4"/>
        <v>-0.362384299508751</v>
      </c>
      <c r="AA14">
        <f t="shared" si="5"/>
        <v>12</v>
      </c>
      <c r="AB14">
        <f t="shared" si="6"/>
        <v>2</v>
      </c>
    </row>
    <row r="15" spans="2:28">
      <c r="B15" t="s">
        <v>26</v>
      </c>
      <c r="C15" t="s">
        <v>47</v>
      </c>
      <c r="D15">
        <f>COUNTIFS(DATA!$I:$I,SUMA!$B15,DATA!$C:$C,SUMA!$C15)</f>
        <v>72</v>
      </c>
      <c r="E15">
        <f>SUMIFS(DATA!$D:$D,DATA!$I:$I,SUMA!$B15,DATA!$C:$C,SUMA!$C15)</f>
        <v>25303.352244</v>
      </c>
      <c r="F15">
        <f>IFERROR(AVERAGEIFS(DATA!$E:$E,DATA!$C:$C,SUMA!$C15,DATA!$I:$I,SUMA!$B15),"NA")</f>
        <v>20.5032852825366</v>
      </c>
      <c r="G15">
        <f>IFERROR(AVERAGEIFS(DATA!$F:$F,DATA!$C:$C,SUMA!$C15,DATA!$I:$I,SUMA!$B15),"NA")</f>
        <v>1.50480807508741</v>
      </c>
      <c r="H15">
        <f>IFERROR(AVERAGEIFS(DATA!$G:$G,DATA!$C:$C,SUMA!$C15,DATA!$I:$I,SUMA!$B15),"NA")</f>
        <v>1.1772870382537</v>
      </c>
      <c r="I15">
        <f>IFERROR(AVERAGEIFS(DATA!$H:$H,DATA!$C:$C,SUMA!$C15,DATA!$I:$I,SUMA!$B15),"NA")</f>
        <v>25.7519862344489</v>
      </c>
      <c r="J15" t="str">
        <f t="shared" si="0"/>
        <v>THConsumer Discretionary</v>
      </c>
      <c r="N15" s="6" t="s">
        <v>47</v>
      </c>
      <c r="O15" t="str">
        <f>INDEX(gisc_sector,MATCH(SUMA!$N15,CONN!$A$14:$A$26,0),2)</f>
        <v>Tiêu dùng không thiết yếu</v>
      </c>
      <c r="P15" s="7">
        <f t="shared" si="1"/>
        <v>23591.53743</v>
      </c>
      <c r="Q15" s="8">
        <f t="shared" si="2"/>
        <v>30.9504066272215</v>
      </c>
      <c r="T15" t="s">
        <v>45</v>
      </c>
      <c r="U15" t="s">
        <v>48</v>
      </c>
      <c r="V15">
        <f>INDEX(SUMA!$B$5:$J$53,MATCH(CONCATENATE(DASH!$G$2,$T15),SUMA!$J$5:$J$53,0),3)</f>
        <v>104</v>
      </c>
      <c r="W15">
        <f>INDEX(SUMA!$B$5:$J$53,MATCH(CONCATENATE(DASH!$G$2,$T15),SUMA!$J$5:$J$53,0),4)</f>
        <v>109456.738405</v>
      </c>
      <c r="X15" s="13">
        <f t="shared" si="3"/>
        <v>0.148671061883039</v>
      </c>
      <c r="Y15">
        <f>INDEX(SUMA!$N$5:$Q$17,MATCH($T15,SUMA!$N$5:$N$17,0),4)</f>
        <v>16.3742250736271</v>
      </c>
      <c r="Z15" s="15">
        <f t="shared" si="4"/>
        <v>-0.0133288631342225</v>
      </c>
      <c r="AA15">
        <f t="shared" si="5"/>
        <v>9</v>
      </c>
      <c r="AB15">
        <f t="shared" si="6"/>
        <v>8</v>
      </c>
    </row>
    <row r="16" spans="2:28">
      <c r="B16" t="s">
        <v>26</v>
      </c>
      <c r="C16" t="s">
        <v>49</v>
      </c>
      <c r="D16">
        <f>COUNTIFS(DATA!$I:$I,SUMA!$B16,DATA!$C:$C,SUMA!$C16)</f>
        <v>16</v>
      </c>
      <c r="E16">
        <f>SUMIFS(DATA!$D:$D,DATA!$I:$I,SUMA!$B16,DATA!$C:$C,SUMA!$C16)</f>
        <v>10176.127695</v>
      </c>
      <c r="F16">
        <f>IFERROR(AVERAGEIFS(DATA!$E:$E,DATA!$C:$C,SUMA!$C16,DATA!$I:$I,SUMA!$B16),"NA")</f>
        <v>14.1091076043936</v>
      </c>
      <c r="G16">
        <f>IFERROR(AVERAGEIFS(DATA!$F:$F,DATA!$C:$C,SUMA!$C16,DATA!$I:$I,SUMA!$B16),"NA")</f>
        <v>0.831186896562576</v>
      </c>
      <c r="H16">
        <f>IFERROR(AVERAGEIFS(DATA!$G:$G,DATA!$C:$C,SUMA!$C16,DATA!$I:$I,SUMA!$B16),"NA")</f>
        <v>9.17389862353985</v>
      </c>
      <c r="I16">
        <f>IFERROR(AVERAGEIFS(DATA!$H:$H,DATA!$C:$C,SUMA!$C16,DATA!$I:$I,SUMA!$B16),"NA")</f>
        <v>8.33115777969359</v>
      </c>
      <c r="J16" t="str">
        <f t="shared" si="0"/>
        <v>THNot Classified</v>
      </c>
      <c r="N16" s="6" t="s">
        <v>49</v>
      </c>
      <c r="O16" t="str">
        <f>INDEX(gisc_sector,MATCH(SUMA!$N16,CONN!$A$14:$A$26,0),2)</f>
        <v>Không phân ngành</v>
      </c>
      <c r="P16" s="7">
        <f>INDEX($B$5:$J$53,MATCH(CONCATENATE($O$2,$N16),$J$5:$J$53,0),4)</f>
        <v>21651.767251</v>
      </c>
      <c r="Q16" s="14">
        <f t="shared" si="2"/>
        <v>21</v>
      </c>
      <c r="T16" t="s">
        <v>47</v>
      </c>
      <c r="U16" t="s">
        <v>50</v>
      </c>
      <c r="V16">
        <f>INDEX(SUMA!$B$5:$J$53,MATCH(CONCATENATE(DASH!$G$2,$T16),SUMA!$J$5:$J$53,0),3)</f>
        <v>65</v>
      </c>
      <c r="W16">
        <f>INDEX(SUMA!$B$5:$J$53,MATCH(CONCATENATE(DASH!$G$2,$T16),SUMA!$J$5:$J$53,0),4)</f>
        <v>23591.53743</v>
      </c>
      <c r="X16" s="13">
        <f t="shared" si="3"/>
        <v>0.0320435175785518</v>
      </c>
      <c r="Y16">
        <f>INDEX(SUMA!$N$5:$Q$17,MATCH($T16,SUMA!$N$5:$N$17,0),4)</f>
        <v>30.9504066272215</v>
      </c>
      <c r="Z16" s="15">
        <f t="shared" si="4"/>
        <v>0.864996526921095</v>
      </c>
      <c r="AA16">
        <f t="shared" si="5"/>
        <v>6</v>
      </c>
      <c r="AB16">
        <f t="shared" si="6"/>
        <v>12</v>
      </c>
    </row>
    <row r="17" spans="2:28">
      <c r="B17" t="s">
        <v>26</v>
      </c>
      <c r="C17" t="s">
        <v>51</v>
      </c>
      <c r="D17">
        <f>COUNTIFS(DATA!$I:$I,SUMA!$B17,DATA!$C:$C,SUMA!$C17)</f>
        <v>26</v>
      </c>
      <c r="E17">
        <f>SUMIFS(DATA!$D:$D,DATA!$I:$I,SUMA!$B17,DATA!$C:$C,SUMA!$C17)</f>
        <v>3988.107873</v>
      </c>
      <c r="F17">
        <f>IFERROR(AVERAGEIFS(DATA!$E:$E,DATA!$C:$C,SUMA!$C17,DATA!$I:$I,SUMA!$B17),"NA")</f>
        <v>14.0182958402132</v>
      </c>
      <c r="G17">
        <f>IFERROR(AVERAGEIFS(DATA!$F:$F,DATA!$C:$C,SUMA!$C17,DATA!$I:$I,SUMA!$B17),"NA")</f>
        <v>1.08978044807911</v>
      </c>
      <c r="H17">
        <f>IFERROR(AVERAGEIFS(DATA!$G:$G,DATA!$C:$C,SUMA!$C17,DATA!$I:$I,SUMA!$B17),"NA")</f>
        <v>0.895897385776043</v>
      </c>
      <c r="I17">
        <f>IFERROR(AVERAGEIFS(DATA!$H:$H,DATA!$C:$C,SUMA!$C17,DATA!$I:$I,SUMA!$B17),"NA")</f>
        <v>10.8830298639479</v>
      </c>
      <c r="J17" t="str">
        <f t="shared" si="0"/>
        <v>THInformation Technology</v>
      </c>
      <c r="N17" s="6" t="s">
        <v>51</v>
      </c>
      <c r="O17" t="str">
        <f>INDEX(gisc_sector,MATCH(SUMA!$N17,CONN!$A$14:$A$26,0),2)</f>
        <v>Công nghệ thông tin</v>
      </c>
      <c r="P17" s="7">
        <f t="shared" si="1"/>
        <v>6078.061122</v>
      </c>
      <c r="Q17" s="8">
        <f t="shared" si="2"/>
        <v>12.7201412139194</v>
      </c>
      <c r="T17" t="s">
        <v>49</v>
      </c>
      <c r="U17" t="s">
        <v>52</v>
      </c>
      <c r="V17">
        <f>INDEX(SUMA!$B$5:$J$53,MATCH(CONCATENATE(DASH!$G$2,$T17),SUMA!$J$5:$J$53,0),3)</f>
        <v>53</v>
      </c>
      <c r="W17">
        <f>INDEX(SUMA!$B$5:$J$53,MATCH(CONCATENATE(DASH!$G$2,$T17),SUMA!$J$5:$J$53,0),4)</f>
        <v>21651.767251</v>
      </c>
      <c r="X17" s="13">
        <f t="shared" si="3"/>
        <v>0.0294087990904682</v>
      </c>
      <c r="Y17" s="16">
        <f>INDEX(SUMA!$N$5:$Q$17,MATCH($T17,SUMA!$N$5:$N$17,0),4)</f>
        <v>21</v>
      </c>
      <c r="Z17" s="17">
        <f t="shared" si="4"/>
        <v>0.265409128127467</v>
      </c>
      <c r="AA17">
        <f t="shared" si="5"/>
        <v>5</v>
      </c>
      <c r="AB17">
        <f t="shared" si="6"/>
        <v>10</v>
      </c>
    </row>
    <row r="18" spans="2:28">
      <c r="B18" t="s">
        <v>3</v>
      </c>
      <c r="C18" t="s">
        <v>27</v>
      </c>
      <c r="D18">
        <f>COUNTIFS(DATA!$I:$I,SUMA!$B18,DATA!$C:$C,SUMA!$C18)</f>
        <v>24</v>
      </c>
      <c r="E18">
        <f>SUMIFS(DATA!$D:$D,DATA!$I:$I,SUMA!$B18,DATA!$C:$C,SUMA!$C18)</f>
        <v>122108.197753</v>
      </c>
      <c r="F18">
        <f>IFERROR(AVERAGEIFS(DATA!$E:$E,DATA!$C:$C,SUMA!$C18,DATA!$I:$I,SUMA!$B18),"NA")</f>
        <v>7.52514107525349</v>
      </c>
      <c r="G18">
        <f>IFERROR(AVERAGEIFS(DATA!$F:$F,DATA!$C:$C,SUMA!$C18,DATA!$I:$I,SUMA!$B18),"NA")</f>
        <v>0.611580287529664</v>
      </c>
      <c r="H18">
        <f>IFERROR(AVERAGEIFS(DATA!$G:$G,DATA!$C:$C,SUMA!$C18,DATA!$I:$I,SUMA!$B18),"NA")</f>
        <v>0.545761748030782</v>
      </c>
      <c r="I18">
        <f>IFERROR(AVERAGEIFS(DATA!$H:$H,DATA!$C:$C,SUMA!$C18,DATA!$I:$I,SUMA!$B18),"NA")</f>
        <v>6.99848928451538</v>
      </c>
      <c r="J18" t="str">
        <f t="shared" si="0"/>
        <v>SPEnergy</v>
      </c>
      <c r="T18" t="s">
        <v>51</v>
      </c>
      <c r="U18" t="s">
        <v>53</v>
      </c>
      <c r="V18">
        <f>INDEX(SUMA!$B$5:$J$53,MATCH(CONCATENATE(DASH!$G$2,$T18),SUMA!$J$5:$J$53,0),3)</f>
        <v>43</v>
      </c>
      <c r="W18">
        <f>INDEX(SUMA!$B$5:$J$53,MATCH(CONCATENATE(DASH!$G$2,$T18),SUMA!$J$5:$J$53,0),4)</f>
        <v>6078.061122</v>
      </c>
      <c r="X18" s="13">
        <f t="shared" si="3"/>
        <v>0.00825560686683568</v>
      </c>
      <c r="Y18">
        <f>INDEX(SUMA!$N$5:$Q$17,MATCH($T18,SUMA!$N$5:$N$17,0),4)</f>
        <v>12.7201412139194</v>
      </c>
      <c r="Z18" s="15">
        <f t="shared" si="4"/>
        <v>-0.233515104611235</v>
      </c>
      <c r="AA18">
        <f t="shared" si="5"/>
        <v>1</v>
      </c>
      <c r="AB18">
        <f t="shared" si="6"/>
        <v>4</v>
      </c>
    </row>
    <row r="19" spans="2:10">
      <c r="B19" t="s">
        <v>3</v>
      </c>
      <c r="C19" t="s">
        <v>31</v>
      </c>
      <c r="D19">
        <f>COUNTIFS(DATA!$I:$I,SUMA!$B19,DATA!$C:$C,SUMA!$C19)</f>
        <v>129</v>
      </c>
      <c r="E19">
        <f>SUMIFS(DATA!$D:$D,DATA!$I:$I,SUMA!$B19,DATA!$C:$C,SUMA!$C19)</f>
        <v>119698.057633</v>
      </c>
      <c r="F19">
        <f>IFERROR(AVERAGEIFS(DATA!$E:$E,DATA!$C:$C,SUMA!$C19,DATA!$I:$I,SUMA!$B19),"NA")</f>
        <v>15.1131699938666</v>
      </c>
      <c r="G19">
        <f>IFERROR(AVERAGEIFS(DATA!$F:$F,DATA!$C:$C,SUMA!$C19,DATA!$I:$I,SUMA!$B19),"NA")</f>
        <v>0.80746795284785</v>
      </c>
      <c r="H19">
        <f>IFERROR(AVERAGEIFS(DATA!$G:$G,DATA!$C:$C,SUMA!$C19,DATA!$I:$I,SUMA!$B19),"NA")</f>
        <v>1.05066280134144</v>
      </c>
      <c r="I19">
        <f>IFERROR(AVERAGEIFS(DATA!$H:$H,DATA!$C:$C,SUMA!$C19,DATA!$I:$I,SUMA!$B19),"NA")</f>
        <v>9.68954868324929</v>
      </c>
      <c r="J19" t="str">
        <f t="shared" si="0"/>
        <v>SPIndustrials</v>
      </c>
    </row>
    <row r="20" spans="2:10">
      <c r="B20" t="s">
        <v>3</v>
      </c>
      <c r="C20" t="s">
        <v>33</v>
      </c>
      <c r="D20">
        <f>COUNTIFS(DATA!$I:$I,SUMA!$B20,DATA!$C:$C,SUMA!$C20)</f>
        <v>13</v>
      </c>
      <c r="E20">
        <f>SUMIFS(DATA!$D:$D,DATA!$I:$I,SUMA!$B20,DATA!$C:$C,SUMA!$C20)</f>
        <v>93616.34845</v>
      </c>
      <c r="F20">
        <f>IFERROR(AVERAGEIFS(DATA!$E:$E,DATA!$C:$C,SUMA!$C20,DATA!$I:$I,SUMA!$B20),"NA")</f>
        <v>17.5213959000327</v>
      </c>
      <c r="G20">
        <f>IFERROR(AVERAGEIFS(DATA!$F:$F,DATA!$C:$C,SUMA!$C20,DATA!$I:$I,SUMA!$B20),"NA")</f>
        <v>1.51864107297017</v>
      </c>
      <c r="H20">
        <f>IFERROR(AVERAGEIFS(DATA!$G:$G,DATA!$C:$C,SUMA!$C20,DATA!$I:$I,SUMA!$B20),"NA")</f>
        <v>2.53756521145503</v>
      </c>
      <c r="I20">
        <f>IFERROR(AVERAGEIFS(DATA!$H:$H,DATA!$C:$C,SUMA!$C20,DATA!$I:$I,SUMA!$B20),"NA")</f>
        <v>16.3453397317366</v>
      </c>
      <c r="J20" t="str">
        <f t="shared" si="0"/>
        <v>SPCommunication Services</v>
      </c>
    </row>
    <row r="21" spans="2:14">
      <c r="B21" t="s">
        <v>3</v>
      </c>
      <c r="C21" t="s">
        <v>35</v>
      </c>
      <c r="D21">
        <f>COUNTIFS(DATA!$I:$I,SUMA!$B21,DATA!$C:$C,SUMA!$C21)</f>
        <v>31</v>
      </c>
      <c r="E21">
        <f>SUMIFS(DATA!$D:$D,DATA!$I:$I,SUMA!$B21,DATA!$C:$C,SUMA!$C21)</f>
        <v>42879.072867</v>
      </c>
      <c r="F21">
        <f>IFERROR(AVERAGEIFS(DATA!$E:$E,DATA!$C:$C,SUMA!$C21,DATA!$I:$I,SUMA!$B21),"NA")</f>
        <v>13.7604071961509</v>
      </c>
      <c r="G21">
        <f>IFERROR(AVERAGEIFS(DATA!$F:$F,DATA!$C:$C,SUMA!$C21,DATA!$I:$I,SUMA!$B21),"NA")</f>
        <v>1.24199115484953</v>
      </c>
      <c r="H21">
        <f>IFERROR(AVERAGEIFS(DATA!$G:$G,DATA!$C:$C,SUMA!$C21,DATA!$I:$I,SUMA!$B21),"NA")</f>
        <v>1.36680612970015</v>
      </c>
      <c r="I21">
        <f>IFERROR(AVERAGEIFS(DATA!$H:$H,DATA!$C:$C,SUMA!$C21,DATA!$I:$I,SUMA!$B21),"NA")</f>
        <v>13.0424303015073</v>
      </c>
      <c r="J21" t="str">
        <f t="shared" si="0"/>
        <v>SPConsumer Staples</v>
      </c>
      <c r="N21" s="6" t="s">
        <v>54</v>
      </c>
    </row>
    <row r="22" spans="2:18">
      <c r="B22" t="s">
        <v>3</v>
      </c>
      <c r="C22" t="s">
        <v>37</v>
      </c>
      <c r="D22">
        <f>COUNTIFS(DATA!$I:$I,SUMA!$B22,DATA!$C:$C,SUMA!$C22)</f>
        <v>31</v>
      </c>
      <c r="E22">
        <f>SUMIFS(DATA!$D:$D,DATA!$I:$I,SUMA!$B22,DATA!$C:$C,SUMA!$C22)</f>
        <v>13265.96892</v>
      </c>
      <c r="F22">
        <f>IFERROR(AVERAGEIFS(DATA!$E:$E,DATA!$C:$C,SUMA!$C22,DATA!$I:$I,SUMA!$B22),"NA")</f>
        <v>11.7814913608811</v>
      </c>
      <c r="G22">
        <f>IFERROR(AVERAGEIFS(DATA!$F:$F,DATA!$C:$C,SUMA!$C22,DATA!$I:$I,SUMA!$B22),"NA")</f>
        <v>1.10826299411635</v>
      </c>
      <c r="H22">
        <f>IFERROR(AVERAGEIFS(DATA!$G:$G,DATA!$C:$C,SUMA!$C22,DATA!$I:$I,SUMA!$B22),"NA")</f>
        <v>5.51085016645235</v>
      </c>
      <c r="I22">
        <f>IFERROR(AVERAGEIFS(DATA!$H:$H,DATA!$C:$C,SUMA!$C22,DATA!$I:$I,SUMA!$B22),"NA")</f>
        <v>5.56311484177907</v>
      </c>
      <c r="J22" t="str">
        <f t="shared" si="0"/>
        <v>SPMaterials</v>
      </c>
      <c r="N22" s="6" t="s">
        <v>29</v>
      </c>
      <c r="O22" t="s">
        <v>25</v>
      </c>
      <c r="P22" s="7" t="str">
        <f>CONCATENATE(INDEX(CONN!$E$2:$F$6,MATCH(O3,CONN!$E$2:$E$6,0),2)," ","của thị trường"," ",INDEX(CONN!$A$2:$C$6,MATCH(O2,CONN!$A$2:$A$6,0),3))</f>
        <v>Chỉ số PE của thị trường Singapore</v>
      </c>
      <c r="R22" t="s">
        <v>55</v>
      </c>
    </row>
    <row r="23" spans="2:18">
      <c r="B23" t="s">
        <v>3</v>
      </c>
      <c r="C23" t="s">
        <v>39</v>
      </c>
      <c r="D23">
        <f>COUNTIFS(DATA!$I:$I,SUMA!$B23,DATA!$C:$C,SUMA!$C23)</f>
        <v>6</v>
      </c>
      <c r="E23">
        <f>SUMIFS(DATA!$D:$D,DATA!$I:$I,SUMA!$B23,DATA!$C:$C,SUMA!$C23)</f>
        <v>11395.718744</v>
      </c>
      <c r="F23">
        <f>IFERROR(AVERAGEIFS(DATA!$E:$E,DATA!$C:$C,SUMA!$C23,DATA!$I:$I,SUMA!$B23),"NA")</f>
        <v>15.3077850341797</v>
      </c>
      <c r="G23">
        <f>IFERROR(AVERAGEIFS(DATA!$F:$F,DATA!$C:$C,SUMA!$C23,DATA!$I:$I,SUMA!$B23),"NA")</f>
        <v>0.769277582565944</v>
      </c>
      <c r="H23">
        <f>IFERROR(AVERAGEIFS(DATA!$G:$G,DATA!$C:$C,SUMA!$C23,DATA!$I:$I,SUMA!$B23),"NA")</f>
        <v>0.688443812231224</v>
      </c>
      <c r="I23">
        <f>IFERROR(AVERAGEIFS(DATA!$H:$H,DATA!$C:$C,SUMA!$C23,DATA!$I:$I,SUMA!$B23),"NA")</f>
        <v>7.56537258625031</v>
      </c>
      <c r="J23" t="str">
        <f t="shared" si="0"/>
        <v>SPUtilities</v>
      </c>
      <c r="N23" s="6">
        <v>12</v>
      </c>
      <c r="O23" t="str">
        <f>INDEX($N$5:$Q$17,MATCH($P23,$Q$5:$Q$17,0),1)</f>
        <v>Energy</v>
      </c>
      <c r="P23" s="8">
        <f>IFERROR(LARGE($Q$6:$Q$17,N23),"NA")</f>
        <v>7.52514107525349</v>
      </c>
      <c r="Q23" s="8">
        <f>IFERROR((P23/$O$4-1),"NA")</f>
        <v>-0.546553228234633</v>
      </c>
      <c r="R23" t="str">
        <f>CONCATENATE(TEXT(P23,"#0.00")," ",CHAR(10),IF(Q23&lt;0,"Discount","Premium"),": ",TEXT(Q23,"#0.00"))</f>
        <v>7.53 
Discount: -0.55</v>
      </c>
    </row>
    <row r="24" spans="2:18">
      <c r="B24" t="s">
        <v>3</v>
      </c>
      <c r="C24" t="s">
        <v>41</v>
      </c>
      <c r="D24">
        <f>COUNTIFS(DATA!$I:$I,SUMA!$B24,DATA!$C:$C,SUMA!$C24)</f>
        <v>28</v>
      </c>
      <c r="E24">
        <f>SUMIFS(DATA!$D:$D,DATA!$I:$I,SUMA!$B24,DATA!$C:$C,SUMA!$C24)</f>
        <v>21196.078469</v>
      </c>
      <c r="F24">
        <f>IFERROR(AVERAGEIFS(DATA!$E:$E,DATA!$C:$C,SUMA!$C24,DATA!$I:$I,SUMA!$B24),"NA")</f>
        <v>26.509412514536</v>
      </c>
      <c r="G24">
        <f>IFERROR(AVERAGEIFS(DATA!$F:$F,DATA!$C:$C,SUMA!$C24,DATA!$I:$I,SUMA!$B24),"NA")</f>
        <v>2.17028549739293</v>
      </c>
      <c r="H24">
        <f>IFERROR(AVERAGEIFS(DATA!$G:$G,DATA!$C:$C,SUMA!$C24,DATA!$I:$I,SUMA!$B24),"NA")</f>
        <v>8.6708452547038</v>
      </c>
      <c r="I24">
        <f>IFERROR(AVERAGEIFS(DATA!$H:$H,DATA!$C:$C,SUMA!$C24,DATA!$I:$I,SUMA!$B24),"NA")</f>
        <v>15.3956119894981</v>
      </c>
      <c r="J24" t="str">
        <f t="shared" si="0"/>
        <v>SPHealth Care</v>
      </c>
      <c r="N24" s="6">
        <v>11</v>
      </c>
      <c r="O24" t="str">
        <f>INDEX($N$5:$Q$17,MATCH($P24,$Q$5:$Q$17,0),1)</f>
        <v>Financials</v>
      </c>
      <c r="P24" s="8">
        <f t="shared" ref="P24:P34" si="7">IFERROR(LARGE($Q$6:$Q$17,N24),"NA")</f>
        <v>10.5815023873982</v>
      </c>
      <c r="Q24" s="8">
        <f t="shared" ref="Q24:Q34" si="8">(P24/$O$4-1)</f>
        <v>-0.362384299508751</v>
      </c>
      <c r="R24" t="str">
        <f t="shared" ref="R24:R34" si="9">CONCATENATE(TEXT(P24,"#0.00")," ",CHAR(10),IF(Q24&lt;0,"Discount","Premium"),": ",TEXT(Q24,"#0.00"))</f>
        <v>10.58 
Discount: -0.36</v>
      </c>
    </row>
    <row r="25" spans="2:18">
      <c r="B25" t="s">
        <v>3</v>
      </c>
      <c r="C25" t="s">
        <v>43</v>
      </c>
      <c r="D25">
        <f>COUNTIFS(DATA!$I:$I,SUMA!$B25,DATA!$C:$C,SUMA!$C25)</f>
        <v>21</v>
      </c>
      <c r="E25">
        <f>SUMIFS(DATA!$D:$D,DATA!$I:$I,SUMA!$B25,DATA!$C:$C,SUMA!$C25)</f>
        <v>151296.774677</v>
      </c>
      <c r="F25">
        <f>IFERROR(AVERAGEIFS(DATA!$E:$E,DATA!$C:$C,SUMA!$C25,DATA!$I:$I,SUMA!$B25),"NA")</f>
        <v>10.5815023873982</v>
      </c>
      <c r="G25">
        <f>IFERROR(AVERAGEIFS(DATA!$F:$F,DATA!$C:$C,SUMA!$C25,DATA!$I:$I,SUMA!$B25),"NA")</f>
        <v>1.12969014123082</v>
      </c>
      <c r="H25">
        <f>IFERROR(AVERAGEIFS(DATA!$G:$G,DATA!$C:$C,SUMA!$C25,DATA!$I:$I,SUMA!$B25),"NA")</f>
        <v>4.62715950757265</v>
      </c>
      <c r="I25">
        <f>IFERROR(AVERAGEIFS(DATA!$H:$H,DATA!$C:$C,SUMA!$C25,DATA!$I:$I,SUMA!$B25),"NA")</f>
        <v>22.0646245214674</v>
      </c>
      <c r="J25" t="str">
        <f t="shared" si="0"/>
        <v>SPFinancials</v>
      </c>
      <c r="N25" s="6">
        <v>10</v>
      </c>
      <c r="O25" t="str">
        <f t="shared" ref="O24:O34" si="10">INDEX($N$5:$Q$17,MATCH($P25,$Q$5:$Q$17,0),1)</f>
        <v>Materials</v>
      </c>
      <c r="P25" s="8">
        <f t="shared" si="7"/>
        <v>11.7814913608811</v>
      </c>
      <c r="Q25" s="8">
        <f t="shared" si="8"/>
        <v>-0.290075870904102</v>
      </c>
      <c r="R25" t="str">
        <f t="shared" si="9"/>
        <v>11.78 
Discount: -0.29</v>
      </c>
    </row>
    <row r="26" spans="2:18">
      <c r="B26" t="s">
        <v>3</v>
      </c>
      <c r="C26" t="s">
        <v>45</v>
      </c>
      <c r="D26">
        <f>COUNTIFS(DATA!$I:$I,SUMA!$B26,DATA!$C:$C,SUMA!$C26)</f>
        <v>104</v>
      </c>
      <c r="E26">
        <f>SUMIFS(DATA!$D:$D,DATA!$I:$I,SUMA!$B26,DATA!$C:$C,SUMA!$C26)</f>
        <v>109456.738405</v>
      </c>
      <c r="F26">
        <f>IFERROR(AVERAGEIFS(DATA!$E:$E,DATA!$C:$C,SUMA!$C26,DATA!$I:$I,SUMA!$B26),"NA")</f>
        <v>16.3742250736271</v>
      </c>
      <c r="G26">
        <f>IFERROR(AVERAGEIFS(DATA!$F:$F,DATA!$C:$C,SUMA!$C26,DATA!$I:$I,SUMA!$B26),"NA")</f>
        <v>0.71838389174773</v>
      </c>
      <c r="H26">
        <f>IFERROR(AVERAGEIFS(DATA!$G:$G,DATA!$C:$C,SUMA!$C26,DATA!$I:$I,SUMA!$B26),"NA")</f>
        <v>4.88774189824353</v>
      </c>
      <c r="I26">
        <f>IFERROR(AVERAGEIFS(DATA!$H:$H,DATA!$C:$C,SUMA!$C26,DATA!$I:$I,SUMA!$B26),"NA")</f>
        <v>19.8907583062078</v>
      </c>
      <c r="J26" t="str">
        <f t="shared" si="0"/>
        <v>SPReal Estate</v>
      </c>
      <c r="N26" s="6">
        <v>9</v>
      </c>
      <c r="O26" t="str">
        <f t="shared" si="10"/>
        <v>Information Technology</v>
      </c>
      <c r="P26" s="8">
        <f t="shared" si="7"/>
        <v>12.7201412139194</v>
      </c>
      <c r="Q26" s="8">
        <f t="shared" si="8"/>
        <v>-0.233515104611235</v>
      </c>
      <c r="R26" t="str">
        <f t="shared" si="9"/>
        <v>12.72 
Discount: -0.23</v>
      </c>
    </row>
    <row r="27" spans="2:18">
      <c r="B27" t="s">
        <v>3</v>
      </c>
      <c r="C27" t="s">
        <v>47</v>
      </c>
      <c r="D27">
        <f>COUNTIFS(DATA!$I:$I,SUMA!$B27,DATA!$C:$C,SUMA!$C27)</f>
        <v>65</v>
      </c>
      <c r="E27">
        <f>SUMIFS(DATA!$D:$D,DATA!$I:$I,SUMA!$B27,DATA!$C:$C,SUMA!$C27)</f>
        <v>23591.53743</v>
      </c>
      <c r="F27">
        <f>IFERROR(AVERAGEIFS(DATA!$E:$E,DATA!$C:$C,SUMA!$C27,DATA!$I:$I,SUMA!$B27),"NA")</f>
        <v>30.9504066272215</v>
      </c>
      <c r="G27">
        <f>IFERROR(AVERAGEIFS(DATA!$F:$F,DATA!$C:$C,SUMA!$C27,DATA!$I:$I,SUMA!$B27),"NA")</f>
        <v>1.13518322906533</v>
      </c>
      <c r="H27">
        <f>IFERROR(AVERAGEIFS(DATA!$G:$G,DATA!$C:$C,SUMA!$C27,DATA!$I:$I,SUMA!$B27),"NA")</f>
        <v>1.26714556108391</v>
      </c>
      <c r="I27">
        <f>IFERROR(AVERAGEIFS(DATA!$H:$H,DATA!$C:$C,SUMA!$C27,DATA!$I:$I,SUMA!$B27),"NA")</f>
        <v>13.7764793676243</v>
      </c>
      <c r="J27" t="str">
        <f t="shared" si="0"/>
        <v>SPConsumer Discretionary</v>
      </c>
      <c r="N27" s="6">
        <v>8</v>
      </c>
      <c r="O27" t="str">
        <f t="shared" si="10"/>
        <v>Consumer Staples</v>
      </c>
      <c r="P27" s="8">
        <f t="shared" si="7"/>
        <v>13.7604071961509</v>
      </c>
      <c r="Q27" s="8">
        <f t="shared" si="8"/>
        <v>-0.170831196535228</v>
      </c>
      <c r="R27" t="str">
        <f t="shared" si="9"/>
        <v>13.76 
Discount: -0.17</v>
      </c>
    </row>
    <row r="28" spans="2:18">
      <c r="B28" t="s">
        <v>3</v>
      </c>
      <c r="C28" t="s">
        <v>49</v>
      </c>
      <c r="D28">
        <f>COUNTIFS(DATA!$I:$I,SUMA!$B28,DATA!$C:$C,SUMA!$C28)</f>
        <v>53</v>
      </c>
      <c r="E28">
        <f>SUMIFS(DATA!$D:$D,DATA!$I:$I,SUMA!$B28,DATA!$C:$C,SUMA!$C28)</f>
        <v>21651.767251</v>
      </c>
      <c r="F28">
        <f>IFERROR(AVERAGEIFS(DATA!$E:$E,DATA!$C:$C,SUMA!$C28,DATA!$I:$I,SUMA!$B28),"NA")</f>
        <v>21</v>
      </c>
      <c r="G28">
        <f>IFERROR(AVERAGEIFS(DATA!$F:$F,DATA!$C:$C,SUMA!$C28,DATA!$I:$I,SUMA!$B28),"NA")</f>
        <v>0.937487423419952</v>
      </c>
      <c r="H28">
        <f>IFERROR(AVERAGEIFS(DATA!$G:$G,DATA!$C:$C,SUMA!$C28,DATA!$I:$I,SUMA!$B28),"NA")</f>
        <v>0.186555221676826</v>
      </c>
      <c r="I28">
        <f>IFERROR(AVERAGEIFS(DATA!$H:$H,DATA!$C:$C,SUMA!$C28,DATA!$I:$I,SUMA!$B28),"NA")</f>
        <v>7.67481160163879</v>
      </c>
      <c r="J28" t="str">
        <f t="shared" si="0"/>
        <v>SPNot Classified</v>
      </c>
      <c r="N28" s="6">
        <v>7</v>
      </c>
      <c r="O28" t="str">
        <f t="shared" si="10"/>
        <v>Industrials</v>
      </c>
      <c r="P28" s="8">
        <f t="shared" si="7"/>
        <v>15.1131699938666</v>
      </c>
      <c r="Q28" s="8">
        <f t="shared" si="8"/>
        <v>-0.0893169873723382</v>
      </c>
      <c r="R28" t="str">
        <f t="shared" si="9"/>
        <v>15.11 
Discount: -0.09</v>
      </c>
    </row>
    <row r="29" spans="2:18">
      <c r="B29" t="s">
        <v>3</v>
      </c>
      <c r="C29" t="s">
        <v>51</v>
      </c>
      <c r="D29">
        <f>COUNTIFS(DATA!$I:$I,SUMA!$B29,DATA!$C:$C,SUMA!$C29)</f>
        <v>43</v>
      </c>
      <c r="E29">
        <f>SUMIFS(DATA!$D:$D,DATA!$I:$I,SUMA!$B29,DATA!$C:$C,SUMA!$C29)</f>
        <v>6078.061122</v>
      </c>
      <c r="F29">
        <f>IFERROR(AVERAGEIFS(DATA!$E:$E,DATA!$C:$C,SUMA!$C29,DATA!$I:$I,SUMA!$B29),"NA")</f>
        <v>12.7201412139194</v>
      </c>
      <c r="G29">
        <f>IFERROR(AVERAGEIFS(DATA!$F:$F,DATA!$C:$C,SUMA!$C29,DATA!$I:$I,SUMA!$B29),"NA")</f>
        <v>1.28626528595175</v>
      </c>
      <c r="H29">
        <f>IFERROR(AVERAGEIFS(DATA!$G:$G,DATA!$C:$C,SUMA!$C29,DATA!$I:$I,SUMA!$B29),"NA")</f>
        <v>0.95247229675834</v>
      </c>
      <c r="I29">
        <f>IFERROR(AVERAGEIFS(DATA!$H:$H,DATA!$C:$C,SUMA!$C29,DATA!$I:$I,SUMA!$B29),"NA")</f>
        <v>6.95050060556781</v>
      </c>
      <c r="J29" t="str">
        <f t="shared" si="0"/>
        <v>SPInformation Technology</v>
      </c>
      <c r="N29" s="6">
        <v>6</v>
      </c>
      <c r="O29" t="str">
        <f t="shared" si="10"/>
        <v>Utilities</v>
      </c>
      <c r="P29" s="8">
        <f t="shared" si="7"/>
        <v>15.3077850341797</v>
      </c>
      <c r="Q29" s="8">
        <f t="shared" si="8"/>
        <v>-0.0775899564921896</v>
      </c>
      <c r="R29" t="str">
        <f t="shared" si="9"/>
        <v>15.31 
Discount: -0.08</v>
      </c>
    </row>
    <row r="30" spans="2:18">
      <c r="B30" t="s">
        <v>56</v>
      </c>
      <c r="C30" t="s">
        <v>27</v>
      </c>
      <c r="D30">
        <f>COUNTIFS(DATA!$I:$I,SUMA!$B30,DATA!$C:$C,SUMA!$C30)</f>
        <v>11</v>
      </c>
      <c r="E30">
        <f>SUMIFS(DATA!$D:$D,DATA!$I:$I,SUMA!$B30,DATA!$C:$C,SUMA!$C30)</f>
        <v>203437.855488</v>
      </c>
      <c r="F30">
        <f>IFERROR(AVERAGEIFS(DATA!$E:$E,DATA!$C:$C,SUMA!$C30,DATA!$I:$I,SUMA!$B30),"NA")</f>
        <v>48.7916680812835</v>
      </c>
      <c r="G30">
        <f>IFERROR(AVERAGEIFS(DATA!$F:$F,DATA!$C:$C,SUMA!$C30,DATA!$I:$I,SUMA!$B30),"NA")</f>
        <v>1.18764426112175</v>
      </c>
      <c r="H30">
        <f>IFERROR(AVERAGEIFS(DATA!$G:$G,DATA!$C:$C,SUMA!$C30,DATA!$I:$I,SUMA!$B30),"NA")</f>
        <v>0.95323434472084</v>
      </c>
      <c r="I30">
        <f>IFERROR(AVERAGEIFS(DATA!$H:$H,DATA!$C:$C,SUMA!$C30,DATA!$I:$I,SUMA!$B30),"NA")</f>
        <v>5.80972608923912</v>
      </c>
      <c r="J30" t="str">
        <f t="shared" si="0"/>
        <v>EUEnergy</v>
      </c>
      <c r="N30" s="6">
        <v>5</v>
      </c>
      <c r="O30" t="str">
        <f t="shared" si="10"/>
        <v>Real Estate</v>
      </c>
      <c r="P30" s="8">
        <f t="shared" si="7"/>
        <v>16.3742250736271</v>
      </c>
      <c r="Q30" s="8">
        <f t="shared" si="8"/>
        <v>-0.0133288631342225</v>
      </c>
      <c r="R30" t="str">
        <f t="shared" si="9"/>
        <v>16.37 
Discount: -0.01</v>
      </c>
    </row>
    <row r="31" spans="2:18">
      <c r="B31" t="s">
        <v>56</v>
      </c>
      <c r="C31" t="s">
        <v>31</v>
      </c>
      <c r="D31">
        <f>COUNTIFS(DATA!$I:$I,SUMA!$B31,DATA!$C:$C,SUMA!$C31)</f>
        <v>52</v>
      </c>
      <c r="E31">
        <f>SUMIFS(DATA!$D:$D,DATA!$I:$I,SUMA!$B31,DATA!$C:$C,SUMA!$C31)</f>
        <v>665671.949312</v>
      </c>
      <c r="F31">
        <f>IFERROR(AVERAGEIFS(DATA!$E:$E,DATA!$C:$C,SUMA!$C31,DATA!$I:$I,SUMA!$B31),"NA")</f>
        <v>14.8197861547055</v>
      </c>
      <c r="G31">
        <f>IFERROR(AVERAGEIFS(DATA!$F:$F,DATA!$C:$C,SUMA!$C31,DATA!$I:$I,SUMA!$B31),"NA")</f>
        <v>2.54790929427334</v>
      </c>
      <c r="H31">
        <f>IFERROR(AVERAGEIFS(DATA!$G:$G,DATA!$C:$C,SUMA!$C31,DATA!$I:$I,SUMA!$B31),"NA")</f>
        <v>1.18158058939027</v>
      </c>
      <c r="I31">
        <f>IFERROR(AVERAGEIFS(DATA!$H:$H,DATA!$C:$C,SUMA!$C31,DATA!$I:$I,SUMA!$B31),"NA")</f>
        <v>8.89383857590812</v>
      </c>
      <c r="J31" t="str">
        <f t="shared" si="0"/>
        <v>EUIndustrials</v>
      </c>
      <c r="N31" s="6">
        <v>4</v>
      </c>
      <c r="O31" t="str">
        <f t="shared" si="10"/>
        <v>Communication Services</v>
      </c>
      <c r="P31" s="8">
        <f t="shared" si="7"/>
        <v>17.5213959000327</v>
      </c>
      <c r="Q31" s="8">
        <f t="shared" si="8"/>
        <v>0.0557968718779331</v>
      </c>
      <c r="R31" t="str">
        <f t="shared" si="9"/>
        <v>17.52 
Premium: 0.06</v>
      </c>
    </row>
    <row r="32" spans="2:18">
      <c r="B32" t="s">
        <v>56</v>
      </c>
      <c r="C32" t="s">
        <v>33</v>
      </c>
      <c r="D32">
        <f>COUNTIFS(DATA!$I:$I,SUMA!$B32,DATA!$C:$C,SUMA!$C32)</f>
        <v>22</v>
      </c>
      <c r="E32">
        <f>SUMIFS(DATA!$D:$D,DATA!$I:$I,SUMA!$B32,DATA!$C:$C,SUMA!$C32)</f>
        <v>263318.283776</v>
      </c>
      <c r="F32">
        <f>IFERROR(AVERAGEIFS(DATA!$E:$E,DATA!$C:$C,SUMA!$C32,DATA!$I:$I,SUMA!$B32),"NA")</f>
        <v>18.1291845472236</v>
      </c>
      <c r="G32">
        <f>IFERROR(AVERAGEIFS(DATA!$F:$F,DATA!$C:$C,SUMA!$C32,DATA!$I:$I,SUMA!$B32),"NA")</f>
        <v>2.51119401483309</v>
      </c>
      <c r="H32">
        <f>IFERROR(AVERAGEIFS(DATA!$G:$G,DATA!$C:$C,SUMA!$C32,DATA!$I:$I,SUMA!$B32),"NA")</f>
        <v>1.8698044405097</v>
      </c>
      <c r="I32">
        <f>IFERROR(AVERAGEIFS(DATA!$H:$H,DATA!$C:$C,SUMA!$C32,DATA!$I:$I,SUMA!$B32),"NA")</f>
        <v>9.91944007440047</v>
      </c>
      <c r="J32" t="str">
        <f t="shared" si="0"/>
        <v>EUCommunication Services</v>
      </c>
      <c r="N32" s="6">
        <v>3</v>
      </c>
      <c r="O32" t="str">
        <f t="shared" si="10"/>
        <v>Not Classified</v>
      </c>
      <c r="P32" s="8">
        <f t="shared" si="7"/>
        <v>21</v>
      </c>
      <c r="Q32" s="8">
        <f t="shared" si="8"/>
        <v>0.265409128127467</v>
      </c>
      <c r="R32" t="str">
        <f t="shared" si="9"/>
        <v>21.00 
Premium: 0.27</v>
      </c>
    </row>
    <row r="33" spans="2:18">
      <c r="B33" t="s">
        <v>56</v>
      </c>
      <c r="C33" t="s">
        <v>35</v>
      </c>
      <c r="D33">
        <f>COUNTIFS(DATA!$I:$I,SUMA!$B33,DATA!$C:$C,SUMA!$C33)</f>
        <v>19</v>
      </c>
      <c r="E33">
        <f>SUMIFS(DATA!$D:$D,DATA!$I:$I,SUMA!$B33,DATA!$C:$C,SUMA!$C33)</f>
        <v>669578.539776</v>
      </c>
      <c r="F33">
        <f>IFERROR(AVERAGEIFS(DATA!$E:$E,DATA!$C:$C,SUMA!$C33,DATA!$I:$I,SUMA!$B33),"NA")</f>
        <v>43.5124038590326</v>
      </c>
      <c r="G33">
        <f>IFERROR(AVERAGEIFS(DATA!$F:$F,DATA!$C:$C,SUMA!$C33,DATA!$I:$I,SUMA!$B33),"NA")</f>
        <v>2.88147861079166</v>
      </c>
      <c r="H33">
        <f>IFERROR(AVERAGEIFS(DATA!$G:$G,DATA!$C:$C,SUMA!$C33,DATA!$I:$I,SUMA!$B33),"NA")</f>
        <v>1.78666432476357</v>
      </c>
      <c r="I33">
        <f>IFERROR(AVERAGEIFS(DATA!$H:$H,DATA!$C:$C,SUMA!$C33,DATA!$I:$I,SUMA!$B33),"NA")</f>
        <v>11.6967748842741</v>
      </c>
      <c r="J33" t="str">
        <f t="shared" si="0"/>
        <v>EUConsumer Staples</v>
      </c>
      <c r="N33" s="6">
        <v>2</v>
      </c>
      <c r="O33" t="str">
        <f t="shared" si="10"/>
        <v>Health Care</v>
      </c>
      <c r="P33" s="8">
        <f t="shared" si="7"/>
        <v>26.509412514536</v>
      </c>
      <c r="Q33" s="8">
        <f t="shared" si="8"/>
        <v>0.597392979866207</v>
      </c>
      <c r="R33" t="str">
        <f t="shared" si="9"/>
        <v>26.51 
Premium: 0.60</v>
      </c>
    </row>
    <row r="34" spans="2:18">
      <c r="B34" t="s">
        <v>56</v>
      </c>
      <c r="C34" t="s">
        <v>37</v>
      </c>
      <c r="D34">
        <f>COUNTIFS(DATA!$I:$I,SUMA!$B34,DATA!$C:$C,SUMA!$C34)</f>
        <v>23</v>
      </c>
      <c r="E34">
        <f>SUMIFS(DATA!$D:$D,DATA!$I:$I,SUMA!$B34,DATA!$C:$C,SUMA!$C34)</f>
        <v>352810.959616</v>
      </c>
      <c r="F34">
        <f>IFERROR(AVERAGEIFS(DATA!$E:$E,DATA!$C:$C,SUMA!$C34,DATA!$I:$I,SUMA!$B34),"NA")</f>
        <v>15.8367783646835</v>
      </c>
      <c r="G34">
        <f>IFERROR(AVERAGEIFS(DATA!$F:$F,DATA!$C:$C,SUMA!$C34,DATA!$I:$I,SUMA!$B34),"NA")</f>
        <v>1.55526839131894</v>
      </c>
      <c r="H34">
        <f>IFERROR(AVERAGEIFS(DATA!$G:$G,DATA!$C:$C,SUMA!$C34,DATA!$I:$I,SUMA!$B34),"NA")</f>
        <v>1.01637960326943</v>
      </c>
      <c r="I34">
        <f>IFERROR(AVERAGEIFS(DATA!$H:$H,DATA!$C:$C,SUMA!$C34,DATA!$I:$I,SUMA!$B34),"NA")</f>
        <v>8.43042621405228</v>
      </c>
      <c r="J34" t="str">
        <f t="shared" si="0"/>
        <v>EUMaterials</v>
      </c>
      <c r="N34" s="6">
        <v>1</v>
      </c>
      <c r="O34" t="str">
        <f t="shared" si="10"/>
        <v>Consumer Discretionary</v>
      </c>
      <c r="P34" s="8">
        <f t="shared" si="7"/>
        <v>30.9504066272215</v>
      </c>
      <c r="Q34" s="8">
        <f t="shared" si="8"/>
        <v>0.864996526921095</v>
      </c>
      <c r="R34" t="str">
        <f t="shared" si="9"/>
        <v>30.95 
Premium: 0.86</v>
      </c>
    </row>
    <row r="35" spans="2:10">
      <c r="B35" t="s">
        <v>56</v>
      </c>
      <c r="C35" t="s">
        <v>39</v>
      </c>
      <c r="D35">
        <f>COUNTIFS(DATA!$I:$I,SUMA!$B35,DATA!$C:$C,SUMA!$C35)</f>
        <v>24</v>
      </c>
      <c r="E35">
        <f>SUMIFS(DATA!$D:$D,DATA!$I:$I,SUMA!$B35,DATA!$C:$C,SUMA!$C35)</f>
        <v>407256.980224</v>
      </c>
      <c r="F35">
        <f>IFERROR(AVERAGEIFS(DATA!$E:$E,DATA!$C:$C,SUMA!$C35,DATA!$I:$I,SUMA!$B35),"NA")</f>
        <v>20.5768780086351</v>
      </c>
      <c r="G35">
        <f>IFERROR(AVERAGEIFS(DATA!$F:$F,DATA!$C:$C,SUMA!$C35,DATA!$I:$I,SUMA!$B35),"NA")</f>
        <v>1.63288524871071</v>
      </c>
      <c r="H35">
        <f>IFERROR(AVERAGEIFS(DATA!$G:$G,DATA!$C:$C,SUMA!$C35,DATA!$I:$I,SUMA!$B35),"NA")</f>
        <v>1.63203131097058</v>
      </c>
      <c r="I35">
        <f>IFERROR(AVERAGEIFS(DATA!$H:$H,DATA!$C:$C,SUMA!$C35,DATA!$I:$I,SUMA!$B35),"NA")</f>
        <v>9.02172808845838</v>
      </c>
      <c r="J35" t="str">
        <f t="shared" si="0"/>
        <v>EUUtilities</v>
      </c>
    </row>
    <row r="36" spans="2:10">
      <c r="B36" t="s">
        <v>56</v>
      </c>
      <c r="C36" t="s">
        <v>41</v>
      </c>
      <c r="D36">
        <f>COUNTIFS(DATA!$I:$I,SUMA!$B36,DATA!$C:$C,SUMA!$C36)</f>
        <v>25</v>
      </c>
      <c r="E36">
        <f>SUMIFS(DATA!$D:$D,DATA!$I:$I,SUMA!$B36,DATA!$C:$C,SUMA!$C36)</f>
        <v>488140.115968</v>
      </c>
      <c r="F36">
        <f>IFERROR(AVERAGEIFS(DATA!$E:$E,DATA!$C:$C,SUMA!$C36,DATA!$I:$I,SUMA!$B36),"NA")</f>
        <v>37.2497526949102</v>
      </c>
      <c r="G36">
        <f>IFERROR(AVERAGEIFS(DATA!$F:$F,DATA!$C:$C,SUMA!$C36,DATA!$I:$I,SUMA!$B36),"NA")</f>
        <v>4.91648365557193</v>
      </c>
      <c r="H36">
        <f>IFERROR(AVERAGEIFS(DATA!$G:$G,DATA!$C:$C,SUMA!$C36,DATA!$I:$I,SUMA!$B36),"NA")</f>
        <v>8.21650873661041</v>
      </c>
      <c r="I36">
        <f>IFERROR(AVERAGEIFS(DATA!$H:$H,DATA!$C:$C,SUMA!$C36,DATA!$I:$I,SUMA!$B36),"NA")</f>
        <v>19.8909804170782</v>
      </c>
      <c r="J36" t="str">
        <f t="shared" si="0"/>
        <v>EUHealth Care</v>
      </c>
    </row>
    <row r="37" spans="2:10">
      <c r="B37" t="s">
        <v>56</v>
      </c>
      <c r="C37" t="s">
        <v>43</v>
      </c>
      <c r="D37">
        <f>COUNTIFS(DATA!$I:$I,SUMA!$B37,DATA!$C:$C,SUMA!$C37)</f>
        <v>49</v>
      </c>
      <c r="E37">
        <f>SUMIFS(DATA!$D:$D,DATA!$I:$I,SUMA!$B37,DATA!$C:$C,SUMA!$C37)</f>
        <v>671498.12992</v>
      </c>
      <c r="F37">
        <f>IFERROR(AVERAGEIFS(DATA!$E:$E,DATA!$C:$C,SUMA!$C37,DATA!$I:$I,SUMA!$B37),"NA")</f>
        <v>8.50111366354901</v>
      </c>
      <c r="G37">
        <f>IFERROR(AVERAGEIFS(DATA!$F:$F,DATA!$C:$C,SUMA!$C37,DATA!$I:$I,SUMA!$B37),"NA")</f>
        <v>0.95258470153322</v>
      </c>
      <c r="H37">
        <f>IFERROR(AVERAGEIFS(DATA!$G:$G,DATA!$C:$C,SUMA!$C37,DATA!$I:$I,SUMA!$B37),"NA")</f>
        <v>1.46708840968049</v>
      </c>
      <c r="I37">
        <f>IFERROR(AVERAGEIFS(DATA!$H:$H,DATA!$C:$C,SUMA!$C37,DATA!$I:$I,SUMA!$B37),"NA")</f>
        <v>12.0163019787181</v>
      </c>
      <c r="J37" t="str">
        <f t="shared" si="0"/>
        <v>EUFinancials</v>
      </c>
    </row>
    <row r="38" spans="2:10">
      <c r="B38" t="s">
        <v>56</v>
      </c>
      <c r="C38" t="s">
        <v>45</v>
      </c>
      <c r="D38">
        <f>COUNTIFS(DATA!$I:$I,SUMA!$B38,DATA!$C:$C,SUMA!$C38)</f>
        <v>19</v>
      </c>
      <c r="E38">
        <f>SUMIFS(DATA!$D:$D,DATA!$I:$I,SUMA!$B38,DATA!$C:$C,SUMA!$C38)</f>
        <v>123071.300608</v>
      </c>
      <c r="F38">
        <f>IFERROR(AVERAGEIFS(DATA!$E:$E,DATA!$C:$C,SUMA!$C38,DATA!$I:$I,SUMA!$B38),"NA")</f>
        <v>8.67610369230572</v>
      </c>
      <c r="G38">
        <f>IFERROR(AVERAGEIFS(DATA!$F:$F,DATA!$C:$C,SUMA!$C38,DATA!$I:$I,SUMA!$B38),"NA")</f>
        <v>0.928402513265609</v>
      </c>
      <c r="H38">
        <f>IFERROR(AVERAGEIFS(DATA!$G:$G,DATA!$C:$C,SUMA!$C38,DATA!$I:$I,SUMA!$B38),"NA")</f>
        <v>7.67297564054791</v>
      </c>
      <c r="I38">
        <f>IFERROR(AVERAGEIFS(DATA!$H:$H,DATA!$C:$C,SUMA!$C38,DATA!$I:$I,SUMA!$B38),"NA")</f>
        <v>16.0637231469154</v>
      </c>
      <c r="J38" t="str">
        <f t="shared" si="0"/>
        <v>EUReal Estate</v>
      </c>
    </row>
    <row r="39" spans="2:10">
      <c r="B39" t="s">
        <v>56</v>
      </c>
      <c r="C39" t="s">
        <v>47</v>
      </c>
      <c r="D39">
        <f>COUNTIFS(DATA!$I:$I,SUMA!$B39,DATA!$C:$C,SUMA!$C39)</f>
        <v>33</v>
      </c>
      <c r="E39">
        <f>SUMIFS(DATA!$D:$D,DATA!$I:$I,SUMA!$B39,DATA!$C:$C,SUMA!$C39)</f>
        <v>1019230.443648</v>
      </c>
      <c r="F39">
        <f>IFERROR(AVERAGEIFS(DATA!$E:$E,DATA!$C:$C,SUMA!$C39,DATA!$I:$I,SUMA!$B39),"NA")</f>
        <v>18.7825256503291</v>
      </c>
      <c r="G39">
        <f>IFERROR(AVERAGEIFS(DATA!$F:$F,DATA!$C:$C,SUMA!$C39,DATA!$I:$I,SUMA!$B39),"NA")</f>
        <v>3.56496496298209</v>
      </c>
      <c r="H39">
        <f>IFERROR(AVERAGEIFS(DATA!$G:$G,DATA!$C:$C,SUMA!$C39,DATA!$I:$I,SUMA!$B39),"NA")</f>
        <v>5.37237723259023</v>
      </c>
      <c r="I39">
        <f>IFERROR(AVERAGEIFS(DATA!$H:$H,DATA!$C:$C,SUMA!$C39,DATA!$I:$I,SUMA!$B39),"NA")</f>
        <v>65.5626477681357</v>
      </c>
      <c r="J39" t="str">
        <f t="shared" si="0"/>
        <v>EUConsumer Discretionary</v>
      </c>
    </row>
    <row r="40" spans="2:17">
      <c r="B40" t="s">
        <v>56</v>
      </c>
      <c r="C40" t="s">
        <v>49</v>
      </c>
      <c r="D40">
        <f>COUNTIFS(DATA!$I:$I,SUMA!$B40,DATA!$C:$C,SUMA!$C40)</f>
        <v>0</v>
      </c>
      <c r="E40">
        <f>SUMIFS(DATA!$D:$D,DATA!$I:$I,SUMA!$B40,DATA!$C:$C,SUMA!$C40)</f>
        <v>0</v>
      </c>
      <c r="F40" t="str">
        <f>IFERROR(AVERAGEIFS(DATA!$E:$E,DATA!$C:$C,SUMA!$C40,DATA!$I:$I,SUMA!$B40),"NA")</f>
        <v>NA</v>
      </c>
      <c r="G40" t="str">
        <f>IFERROR(AVERAGEIFS(DATA!$F:$F,DATA!$C:$C,SUMA!$C40,DATA!$I:$I,SUMA!$B40),"NA")</f>
        <v>NA</v>
      </c>
      <c r="H40" t="str">
        <f>IFERROR(AVERAGEIFS(DATA!$G:$G,DATA!$C:$C,SUMA!$C40,DATA!$I:$I,SUMA!$B40),"NA")</f>
        <v>NA</v>
      </c>
      <c r="I40" t="str">
        <f>IFERROR(AVERAGEIFS(DATA!$H:$H,DATA!$C:$C,SUMA!$C40,DATA!$I:$I,SUMA!$B40),"NA")</f>
        <v>NA</v>
      </c>
      <c r="J40" t="str">
        <f t="shared" si="0"/>
        <v>EUNot Classified</v>
      </c>
      <c r="O40" t="str">
        <f>INDEX(gisc_sector,MATCH(SUMA!N17,CONN!$A$14:$A$26,0),2)</f>
        <v>Công nghệ thông tin</v>
      </c>
      <c r="Q40" s="8" t="s">
        <v>29</v>
      </c>
    </row>
    <row r="41" spans="2:17">
      <c r="B41" t="s">
        <v>56</v>
      </c>
      <c r="C41" t="s">
        <v>51</v>
      </c>
      <c r="D41">
        <f>COUNTIFS(DATA!$I:$I,SUMA!$B41,DATA!$C:$C,SUMA!$C41)</f>
        <v>23</v>
      </c>
      <c r="E41">
        <f>SUMIFS(DATA!$D:$D,DATA!$I:$I,SUMA!$B41,DATA!$C:$C,SUMA!$C41)</f>
        <v>485129.100928</v>
      </c>
      <c r="F41">
        <f>IFERROR(AVERAGEIFS(DATA!$E:$E,DATA!$C:$C,SUMA!$C41,DATA!$I:$I,SUMA!$B41),"NA")</f>
        <v>52.8495382847993</v>
      </c>
      <c r="G41">
        <f>IFERROR(AVERAGEIFS(DATA!$F:$F,DATA!$C:$C,SUMA!$C41,DATA!$I:$I,SUMA!$B41),"NA")</f>
        <v>8.35697520862926</v>
      </c>
      <c r="H41">
        <f>IFERROR(AVERAGEIFS(DATA!$G:$G,DATA!$C:$C,SUMA!$C41,DATA!$I:$I,SUMA!$B41),"NA")</f>
        <v>4.29263101064641</v>
      </c>
      <c r="I41">
        <f>IFERROR(AVERAGEIFS(DATA!$H:$H,DATA!$C:$C,SUMA!$C41,DATA!$I:$I,SUMA!$B41),"NA")</f>
        <v>18.0422875881195</v>
      </c>
      <c r="J41" t="str">
        <f t="shared" si="0"/>
        <v>EUInformation Technology</v>
      </c>
      <c r="O41" t="str">
        <f>INDEX($N$5:$P$17,MATCH(P41,$P$5:$P$17,0),1)</f>
        <v>Financials</v>
      </c>
      <c r="P41" s="7">
        <f>LARGE($P$6:$P$17,Q41)</f>
        <v>151296.774677</v>
      </c>
      <c r="Q41" s="8">
        <v>1</v>
      </c>
    </row>
    <row r="42" spans="2:17">
      <c r="B42" t="s">
        <v>57</v>
      </c>
      <c r="C42" t="s">
        <v>27</v>
      </c>
      <c r="D42">
        <f>COUNTIFS(DATA!$I:$I,SUMA!$B42,DATA!$C:$C,SUMA!$C42)</f>
        <v>204</v>
      </c>
      <c r="E42">
        <f>SUMIFS(DATA!$D:$D,DATA!$I:$I,SUMA!$B42,DATA!$C:$C,SUMA!$C42)</f>
        <v>629378.189644</v>
      </c>
      <c r="F42">
        <f>IFERROR(AVERAGEIFS(DATA!$E:$E,DATA!$C:$C,SUMA!$C42,DATA!$I:$I,SUMA!$B42),"NA")</f>
        <v>17.2755403505195</v>
      </c>
      <c r="G42">
        <f>IFERROR(AVERAGEIFS(DATA!$F:$F,DATA!$C:$C,SUMA!$C42,DATA!$I:$I,SUMA!$B42),"NA")</f>
        <v>0.868862162385549</v>
      </c>
      <c r="H42">
        <f>IFERROR(AVERAGEIFS(DATA!$G:$G,DATA!$C:$C,SUMA!$C42,DATA!$I:$I,SUMA!$B42),"NA")</f>
        <v>1.1136482657448</v>
      </c>
      <c r="I42">
        <f>IFERROR(AVERAGEIFS(DATA!$H:$H,DATA!$C:$C,SUMA!$C42,DATA!$I:$I,SUMA!$B42),"NA")</f>
        <v>7.70838917999926</v>
      </c>
      <c r="J42" t="str">
        <f t="shared" si="0"/>
        <v>USEnergy</v>
      </c>
      <c r="O42" t="str">
        <f t="shared" ref="O42:O52" si="11">INDEX($N$5:$P$17,MATCH(P42,$P$5:$P$17,0),1)</f>
        <v>Energy</v>
      </c>
      <c r="P42" s="7">
        <f t="shared" ref="P42:P52" si="12">LARGE($P$6:$P$17,Q42)</f>
        <v>122108.197753</v>
      </c>
      <c r="Q42" s="8">
        <v>2</v>
      </c>
    </row>
    <row r="43" spans="2:17">
      <c r="B43" t="s">
        <v>57</v>
      </c>
      <c r="C43" t="s">
        <v>31</v>
      </c>
      <c r="D43">
        <f>COUNTIFS(DATA!$I:$I,SUMA!$B43,DATA!$C:$C,SUMA!$C43)</f>
        <v>505</v>
      </c>
      <c r="E43">
        <f>SUMIFS(DATA!$D:$D,DATA!$I:$I,SUMA!$B43,DATA!$C:$C,SUMA!$C43)</f>
        <v>2382522.226928</v>
      </c>
      <c r="F43">
        <f>IFERROR(AVERAGEIFS(DATA!$E:$E,DATA!$C:$C,SUMA!$C43,DATA!$I:$I,SUMA!$B43),"NA")</f>
        <v>23.7886044539903</v>
      </c>
      <c r="G43">
        <f>IFERROR(AVERAGEIFS(DATA!$F:$F,DATA!$C:$C,SUMA!$C43,DATA!$I:$I,SUMA!$B43),"NA")</f>
        <v>3.46984538083697</v>
      </c>
      <c r="H43">
        <f>IFERROR(AVERAGEIFS(DATA!$G:$G,DATA!$C:$C,SUMA!$C43,DATA!$I:$I,SUMA!$B43),"NA")</f>
        <v>3.79578652255974</v>
      </c>
      <c r="I43">
        <f>IFERROR(AVERAGEIFS(DATA!$H:$H,DATA!$C:$C,SUMA!$C43,DATA!$I:$I,SUMA!$B43),"NA")</f>
        <v>20.5917258503454</v>
      </c>
      <c r="J43" t="str">
        <f t="shared" si="0"/>
        <v>USIndustrials</v>
      </c>
      <c r="O43" t="str">
        <f t="shared" si="11"/>
        <v>Industrials</v>
      </c>
      <c r="P43" s="7">
        <f t="shared" si="12"/>
        <v>119698.057633</v>
      </c>
      <c r="Q43" s="8">
        <v>3</v>
      </c>
    </row>
    <row r="44" spans="2:17">
      <c r="B44" t="s">
        <v>57</v>
      </c>
      <c r="C44" t="s">
        <v>33</v>
      </c>
      <c r="D44">
        <f>COUNTIFS(DATA!$I:$I,SUMA!$B44,DATA!$C:$C,SUMA!$C44)</f>
        <v>176</v>
      </c>
      <c r="E44">
        <f>SUMIFS(DATA!$D:$D,DATA!$I:$I,SUMA!$B44,DATA!$C:$C,SUMA!$C44)</f>
        <v>3656503.806185</v>
      </c>
      <c r="F44">
        <f>IFERROR(AVERAGEIFS(DATA!$E:$E,DATA!$C:$C,SUMA!$C44,DATA!$I:$I,SUMA!$B44),"NA")</f>
        <v>43.3917949572916</v>
      </c>
      <c r="G44">
        <f>IFERROR(AVERAGEIFS(DATA!$F:$F,DATA!$C:$C,SUMA!$C44,DATA!$I:$I,SUMA!$B44),"NA")</f>
        <v>5.63931947499514</v>
      </c>
      <c r="H44">
        <f>IFERROR(AVERAGEIFS(DATA!$G:$G,DATA!$C:$C,SUMA!$C44,DATA!$I:$I,SUMA!$B44),"NA")</f>
        <v>28.7264857310742</v>
      </c>
      <c r="I44">
        <f>IFERROR(AVERAGEIFS(DATA!$H:$H,DATA!$C:$C,SUMA!$C44,DATA!$I:$I,SUMA!$B44),"NA")</f>
        <v>14.6191383294761</v>
      </c>
      <c r="J44" t="str">
        <f t="shared" si="0"/>
        <v>USCommunication Services</v>
      </c>
      <c r="O44" t="str">
        <f t="shared" si="11"/>
        <v>Real Estate</v>
      </c>
      <c r="P44" s="7">
        <f t="shared" si="12"/>
        <v>109456.738405</v>
      </c>
      <c r="Q44" s="8">
        <v>4</v>
      </c>
    </row>
    <row r="45" spans="2:20">
      <c r="B45" t="s">
        <v>57</v>
      </c>
      <c r="C45" t="s">
        <v>35</v>
      </c>
      <c r="D45">
        <f>COUNTIFS(DATA!$I:$I,SUMA!$B45,DATA!$C:$C,SUMA!$C45)</f>
        <v>169</v>
      </c>
      <c r="E45">
        <f>SUMIFS(DATA!$D:$D,DATA!$I:$I,SUMA!$B45,DATA!$C:$C,SUMA!$C45)</f>
        <v>2169262.207058</v>
      </c>
      <c r="F45">
        <f>IFERROR(AVERAGEIFS(DATA!$E:$E,DATA!$C:$C,SUMA!$C45,DATA!$I:$I,SUMA!$B45),"NA")</f>
        <v>28.1493403468512</v>
      </c>
      <c r="G45">
        <f>IFERROR(AVERAGEIFS(DATA!$F:$F,DATA!$C:$C,SUMA!$C45,DATA!$I:$I,SUMA!$B45),"NA")</f>
        <v>11.3967592658668</v>
      </c>
      <c r="H45">
        <f>IFERROR(AVERAGEIFS(DATA!$G:$G,DATA!$C:$C,SUMA!$C45,DATA!$I:$I,SUMA!$B45),"NA")</f>
        <v>2.5839531879098</v>
      </c>
      <c r="I45">
        <f>IFERROR(AVERAGEIFS(DATA!$H:$H,DATA!$C:$C,SUMA!$C45,DATA!$I:$I,SUMA!$B45),"NA")</f>
        <v>30.6806914163014</v>
      </c>
      <c r="J45" t="str">
        <f t="shared" si="0"/>
        <v>USConsumer Staples</v>
      </c>
      <c r="O45" t="str">
        <f t="shared" si="11"/>
        <v>Communication Services</v>
      </c>
      <c r="P45" s="7">
        <f t="shared" si="12"/>
        <v>93616.34845</v>
      </c>
      <c r="Q45" s="8">
        <v>5</v>
      </c>
      <c r="S45" t="s">
        <v>24</v>
      </c>
      <c r="T45" t="s">
        <v>9</v>
      </c>
    </row>
    <row r="46" spans="2:20">
      <c r="B46" t="s">
        <v>57</v>
      </c>
      <c r="C46" t="s">
        <v>37</v>
      </c>
      <c r="D46">
        <f>COUNTIFS(DATA!$I:$I,SUMA!$B46,DATA!$C:$C,SUMA!$C46)</f>
        <v>169</v>
      </c>
      <c r="E46">
        <f>SUMIFS(DATA!$D:$D,DATA!$I:$I,SUMA!$B46,DATA!$C:$C,SUMA!$C46)</f>
        <v>575652.763929</v>
      </c>
      <c r="F46">
        <f>IFERROR(AVERAGEIFS(DATA!$E:$E,DATA!$C:$C,SUMA!$C46,DATA!$I:$I,SUMA!$B46),"NA")</f>
        <v>30.2599095760193</v>
      </c>
      <c r="G46">
        <f>IFERROR(AVERAGEIFS(DATA!$F:$F,DATA!$C:$C,SUMA!$C46,DATA!$I:$I,SUMA!$B46),"NA")</f>
        <v>2.23058748003738</v>
      </c>
      <c r="H46">
        <f>IFERROR(AVERAGEIFS(DATA!$G:$G,DATA!$C:$C,SUMA!$C46,DATA!$I:$I,SUMA!$B46),"NA")</f>
        <v>2.44130650096157</v>
      </c>
      <c r="I46">
        <f>IFERROR(AVERAGEIFS(DATA!$H:$H,DATA!$C:$C,SUMA!$C46,DATA!$I:$I,SUMA!$B46),"NA")</f>
        <v>10.6102554368191</v>
      </c>
      <c r="J46" t="str">
        <f t="shared" si="0"/>
        <v>USMaterials</v>
      </c>
      <c r="O46" t="str">
        <f t="shared" si="11"/>
        <v>Consumer Staples</v>
      </c>
      <c r="P46" s="7">
        <f t="shared" si="12"/>
        <v>42879.072867</v>
      </c>
      <c r="Q46" s="8">
        <v>6</v>
      </c>
      <c r="R46">
        <v>1</v>
      </c>
      <c r="S46" t="str">
        <f t="shared" ref="S46:S57" si="13">INDEX($N$5:$P$17,MATCH(T46,$P$5:$P$17,0),1)</f>
        <v>Financials</v>
      </c>
      <c r="T46">
        <f t="shared" ref="T46:T57" si="14">LARGE($P$6:$P$17,R46)</f>
        <v>151296.774677</v>
      </c>
    </row>
    <row r="47" spans="2:20">
      <c r="B47" t="s">
        <v>57</v>
      </c>
      <c r="C47" t="s">
        <v>39</v>
      </c>
      <c r="D47">
        <f>COUNTIFS(DATA!$I:$I,SUMA!$B47,DATA!$C:$C,SUMA!$C47)</f>
        <v>83</v>
      </c>
      <c r="E47">
        <f>SUMIFS(DATA!$D:$D,DATA!$I:$I,SUMA!$B47,DATA!$C:$C,SUMA!$C47)</f>
        <v>913725.119436</v>
      </c>
      <c r="F47">
        <f>IFERROR(AVERAGEIFS(DATA!$E:$E,DATA!$C:$C,SUMA!$C47,DATA!$I:$I,SUMA!$B47),"NA")</f>
        <v>22.45724147641</v>
      </c>
      <c r="G47">
        <f>IFERROR(AVERAGEIFS(DATA!$F:$F,DATA!$C:$C,SUMA!$C47,DATA!$I:$I,SUMA!$B47),"NA")</f>
        <v>2.1579726934433</v>
      </c>
      <c r="H47">
        <f>IFERROR(AVERAGEIFS(DATA!$G:$G,DATA!$C:$C,SUMA!$C47,DATA!$I:$I,SUMA!$B47),"NA")</f>
        <v>11.618853517167</v>
      </c>
      <c r="I47">
        <f>IFERROR(AVERAGEIFS(DATA!$H:$H,DATA!$C:$C,SUMA!$C47,DATA!$I:$I,SUMA!$B47),"NA")</f>
        <v>14.4559417661031</v>
      </c>
      <c r="J47" t="str">
        <f t="shared" si="0"/>
        <v>USUtilities</v>
      </c>
      <c r="O47" t="str">
        <f t="shared" si="11"/>
        <v>Consumer Discretionary</v>
      </c>
      <c r="P47" s="7">
        <f t="shared" si="12"/>
        <v>23591.53743</v>
      </c>
      <c r="Q47" s="8">
        <v>7</v>
      </c>
      <c r="R47">
        <v>2</v>
      </c>
      <c r="S47" t="str">
        <f t="shared" si="13"/>
        <v>Energy</v>
      </c>
      <c r="T47">
        <f t="shared" si="14"/>
        <v>122108.197753</v>
      </c>
    </row>
    <row r="48" spans="2:20">
      <c r="B48" t="s">
        <v>57</v>
      </c>
      <c r="C48" t="s">
        <v>41</v>
      </c>
      <c r="D48">
        <f>COUNTIFS(DATA!$I:$I,SUMA!$B48,DATA!$C:$C,SUMA!$C48)</f>
        <v>834</v>
      </c>
      <c r="E48">
        <f>SUMIFS(DATA!$D:$D,DATA!$I:$I,SUMA!$B48,DATA!$C:$C,SUMA!$C48)</f>
        <v>3833221.452529</v>
      </c>
      <c r="F48">
        <f>IFERROR(AVERAGEIFS(DATA!$E:$E,DATA!$C:$C,SUMA!$C48,DATA!$I:$I,SUMA!$B48),"NA")</f>
        <v>62.9882689454229</v>
      </c>
      <c r="G48">
        <f>IFERROR(AVERAGEIFS(DATA!$F:$F,DATA!$C:$C,SUMA!$C48,DATA!$I:$I,SUMA!$B48),"NA")</f>
        <v>6.70388008068333</v>
      </c>
      <c r="H48">
        <f>IFERROR(AVERAGEIFS(DATA!$G:$G,DATA!$C:$C,SUMA!$C48,DATA!$I:$I,SUMA!$B48),"NA")</f>
        <v>90.6680026770217</v>
      </c>
      <c r="I48">
        <f>IFERROR(AVERAGEIFS(DATA!$H:$H,DATA!$C:$C,SUMA!$C48,DATA!$I:$I,SUMA!$B48),"NA")</f>
        <v>30.8928230106831</v>
      </c>
      <c r="J48" t="str">
        <f t="shared" si="0"/>
        <v>USHealth Care</v>
      </c>
      <c r="O48" t="str">
        <f t="shared" si="11"/>
        <v>Not Classified</v>
      </c>
      <c r="P48" s="7">
        <f t="shared" si="12"/>
        <v>21651.767251</v>
      </c>
      <c r="Q48" s="8">
        <v>8</v>
      </c>
      <c r="R48">
        <v>3</v>
      </c>
      <c r="S48" t="str">
        <f t="shared" si="13"/>
        <v>Industrials</v>
      </c>
      <c r="T48">
        <f t="shared" si="14"/>
        <v>119698.057633</v>
      </c>
    </row>
    <row r="49" spans="2:20">
      <c r="B49" t="s">
        <v>57</v>
      </c>
      <c r="C49" t="s">
        <v>43</v>
      </c>
      <c r="D49">
        <f>COUNTIFS(DATA!$I:$I,SUMA!$B49,DATA!$C:$C,SUMA!$C49)</f>
        <v>917</v>
      </c>
      <c r="E49">
        <f>SUMIFS(DATA!$D:$D,DATA!$I:$I,SUMA!$B49,DATA!$C:$C,SUMA!$C49)</f>
        <v>3616790.99557301</v>
      </c>
      <c r="F49">
        <f>IFERROR(AVERAGEIFS(DATA!$E:$E,DATA!$C:$C,SUMA!$C49,DATA!$I:$I,SUMA!$B49),"NA")</f>
        <v>18.2172913920544</v>
      </c>
      <c r="G49">
        <f>IFERROR(AVERAGEIFS(DATA!$F:$F,DATA!$C:$C,SUMA!$C49,DATA!$I:$I,SUMA!$B49),"NA")</f>
        <v>1.57879878435925</v>
      </c>
      <c r="H49">
        <f>IFERROR(AVERAGEIFS(DATA!$G:$G,DATA!$C:$C,SUMA!$C49,DATA!$I:$I,SUMA!$B49),"NA")</f>
        <v>3.13730344435741</v>
      </c>
      <c r="I49">
        <f>IFERROR(AVERAGEIFS(DATA!$H:$H,DATA!$C:$C,SUMA!$C49,DATA!$I:$I,SUMA!$B49),"NA")</f>
        <v>14.2933417233554</v>
      </c>
      <c r="J49" t="str">
        <f t="shared" si="0"/>
        <v>USFinancials</v>
      </c>
      <c r="O49" t="str">
        <f t="shared" si="11"/>
        <v>Health Care</v>
      </c>
      <c r="P49" s="7">
        <f t="shared" si="12"/>
        <v>21196.078469</v>
      </c>
      <c r="Q49" s="8">
        <v>9</v>
      </c>
      <c r="R49">
        <v>4</v>
      </c>
      <c r="S49" t="str">
        <f t="shared" si="13"/>
        <v>Real Estate</v>
      </c>
      <c r="T49">
        <f t="shared" si="14"/>
        <v>109456.738405</v>
      </c>
    </row>
    <row r="50" spans="2:20">
      <c r="B50" t="s">
        <v>57</v>
      </c>
      <c r="C50" t="s">
        <v>45</v>
      </c>
      <c r="D50">
        <f>COUNTIFS(DATA!$I:$I,SUMA!$B50,DATA!$C:$C,SUMA!$C50)</f>
        <v>41</v>
      </c>
      <c r="E50">
        <f>SUMIFS(DATA!$D:$D,DATA!$I:$I,SUMA!$B50,DATA!$C:$C,SUMA!$C50)</f>
        <v>36591.604033</v>
      </c>
      <c r="F50">
        <f>IFERROR(AVERAGEIFS(DATA!$E:$E,DATA!$C:$C,SUMA!$C50,DATA!$I:$I,SUMA!$B50),"NA")</f>
        <v>39.1166840280805</v>
      </c>
      <c r="G50">
        <f>IFERROR(AVERAGEIFS(DATA!$F:$F,DATA!$C:$C,SUMA!$C50,DATA!$I:$I,SUMA!$B50),"NA")</f>
        <v>2.53076910641458</v>
      </c>
      <c r="H50">
        <f>IFERROR(AVERAGEIFS(DATA!$G:$G,DATA!$C:$C,SUMA!$C50,DATA!$I:$I,SUMA!$B50),"NA")</f>
        <v>7.48782761548372</v>
      </c>
      <c r="I50">
        <f>IFERROR(AVERAGEIFS(DATA!$H:$H,DATA!$C:$C,SUMA!$C50,DATA!$I:$I,SUMA!$B50),"NA")</f>
        <v>30.5668389320374</v>
      </c>
      <c r="J50" t="str">
        <f t="shared" si="0"/>
        <v>USReal Estate</v>
      </c>
      <c r="O50" t="str">
        <f t="shared" si="11"/>
        <v>Materials</v>
      </c>
      <c r="P50" s="7">
        <f t="shared" si="12"/>
        <v>13265.96892</v>
      </c>
      <c r="Q50" s="8">
        <v>10</v>
      </c>
      <c r="R50">
        <v>5</v>
      </c>
      <c r="S50" t="str">
        <f t="shared" si="13"/>
        <v>Communication Services</v>
      </c>
      <c r="T50">
        <f t="shared" si="14"/>
        <v>93616.34845</v>
      </c>
    </row>
    <row r="51" spans="2:20">
      <c r="B51" t="s">
        <v>57</v>
      </c>
      <c r="C51" t="s">
        <v>47</v>
      </c>
      <c r="D51">
        <f>COUNTIFS(DATA!$I:$I,SUMA!$B51,DATA!$C:$C,SUMA!$C51)</f>
        <v>451</v>
      </c>
      <c r="E51">
        <f>SUMIFS(DATA!$D:$D,DATA!$I:$I,SUMA!$B51,DATA!$C:$C,SUMA!$C51)</f>
        <v>2774471.125379</v>
      </c>
      <c r="F51">
        <f>IFERROR(AVERAGEIFS(DATA!$E:$E,DATA!$C:$C,SUMA!$C51,DATA!$I:$I,SUMA!$B51),"NA")</f>
        <v>29.423605308248</v>
      </c>
      <c r="G51">
        <f>IFERROR(AVERAGEIFS(DATA!$F:$F,DATA!$C:$C,SUMA!$C51,DATA!$I:$I,SUMA!$B51),"NA")</f>
        <v>4.49056876162557</v>
      </c>
      <c r="H51">
        <f>IFERROR(AVERAGEIFS(DATA!$G:$G,DATA!$C:$C,SUMA!$C51,DATA!$I:$I,SUMA!$B51),"NA")</f>
        <v>3.4263569733085</v>
      </c>
      <c r="I51">
        <f>IFERROR(AVERAGEIFS(DATA!$H:$H,DATA!$C:$C,SUMA!$C51,DATA!$I:$I,SUMA!$B51),"NA")</f>
        <v>23.6064563146297</v>
      </c>
      <c r="J51" t="str">
        <f t="shared" si="0"/>
        <v>USConsumer Discretionary</v>
      </c>
      <c r="O51" t="str">
        <f t="shared" si="11"/>
        <v>Utilities</v>
      </c>
      <c r="P51" s="7">
        <f t="shared" si="12"/>
        <v>11395.718744</v>
      </c>
      <c r="Q51" s="8">
        <v>11</v>
      </c>
      <c r="R51">
        <v>6</v>
      </c>
      <c r="S51" t="str">
        <f t="shared" si="13"/>
        <v>Consumer Staples</v>
      </c>
      <c r="T51">
        <f t="shared" si="14"/>
        <v>42879.072867</v>
      </c>
    </row>
    <row r="52" spans="2:20">
      <c r="B52" t="s">
        <v>57</v>
      </c>
      <c r="C52" t="s">
        <v>49</v>
      </c>
      <c r="D52">
        <f>COUNTIFS(DATA!$I:$I,SUMA!$B52,DATA!$C:$C,SUMA!$C52)</f>
        <v>228</v>
      </c>
      <c r="E52">
        <f>SUMIFS(DATA!$D:$D,DATA!$I:$I,SUMA!$B52,DATA!$C:$C,SUMA!$C52)</f>
        <v>35341.058433</v>
      </c>
      <c r="F52">
        <f>IFERROR(AVERAGEIFS(DATA!$E:$E,DATA!$C:$C,SUMA!$C52,DATA!$I:$I,SUMA!$B52),"NA")</f>
        <v>295.52268041202</v>
      </c>
      <c r="G52">
        <f>IFERROR(AVERAGEIFS(DATA!$F:$F,DATA!$C:$C,SUMA!$C52,DATA!$I:$I,SUMA!$B52),"NA")</f>
        <v>97.6671704584016</v>
      </c>
      <c r="H52">
        <f>IFERROR(AVERAGEIFS(DATA!$G:$G,DATA!$C:$C,SUMA!$C52,DATA!$I:$I,SUMA!$B52),"NA")</f>
        <v>54.7933792565018</v>
      </c>
      <c r="I52">
        <f>IFERROR(AVERAGEIFS(DATA!$H:$H,DATA!$C:$C,SUMA!$C52,DATA!$I:$I,SUMA!$B52),"NA")</f>
        <v>252.154346227646</v>
      </c>
      <c r="J52" t="str">
        <f t="shared" si="0"/>
        <v>USNot Classified</v>
      </c>
      <c r="O52" t="str">
        <f t="shared" si="11"/>
        <v>Information Technology</v>
      </c>
      <c r="P52" s="7">
        <f t="shared" si="12"/>
        <v>6078.061122</v>
      </c>
      <c r="Q52" s="8">
        <v>12</v>
      </c>
      <c r="R52">
        <v>7</v>
      </c>
      <c r="S52" t="str">
        <f t="shared" si="13"/>
        <v>Consumer Discretionary</v>
      </c>
      <c r="T52">
        <f t="shared" si="14"/>
        <v>23591.53743</v>
      </c>
    </row>
    <row r="53" spans="2:20">
      <c r="B53" t="s">
        <v>57</v>
      </c>
      <c r="C53" t="s">
        <v>51</v>
      </c>
      <c r="D53">
        <f>COUNTIFS(DATA!$I:$I,SUMA!$B53,DATA!$C:$C,SUMA!$C53)</f>
        <v>533</v>
      </c>
      <c r="E53">
        <f>SUMIFS(DATA!$D:$D,DATA!$I:$I,SUMA!$B53,DATA!$C:$C,SUMA!$C53)</f>
        <v>6410832.659024</v>
      </c>
      <c r="F53">
        <f>IFERROR(AVERAGEIFS(DATA!$E:$E,DATA!$C:$C,SUMA!$C53,DATA!$I:$I,SUMA!$B53),"NA")</f>
        <v>47.9561215528023</v>
      </c>
      <c r="G53">
        <f>IFERROR(AVERAGEIFS(DATA!$F:$F,DATA!$C:$C,SUMA!$C53,DATA!$I:$I,SUMA!$B53),"NA")</f>
        <v>6.09047385635187</v>
      </c>
      <c r="H53">
        <f>IFERROR(AVERAGEIFS(DATA!$G:$G,DATA!$C:$C,SUMA!$C53,DATA!$I:$I,SUMA!$B53),"NA")</f>
        <v>16.0176969526964</v>
      </c>
      <c r="I53">
        <f>IFERROR(AVERAGEIFS(DATA!$H:$H,DATA!$C:$C,SUMA!$C53,DATA!$I:$I,SUMA!$B53),"NA")</f>
        <v>53.7094205619637</v>
      </c>
      <c r="J53" t="str">
        <f t="shared" si="0"/>
        <v>USInformation Technology</v>
      </c>
      <c r="R53">
        <v>8</v>
      </c>
      <c r="S53" t="str">
        <f t="shared" si="13"/>
        <v>Not Classified</v>
      </c>
      <c r="T53">
        <f t="shared" si="14"/>
        <v>21651.767251</v>
      </c>
    </row>
    <row r="54" spans="18:20">
      <c r="R54">
        <v>9</v>
      </c>
      <c r="S54" t="str">
        <f t="shared" si="13"/>
        <v>Health Care</v>
      </c>
      <c r="T54">
        <f t="shared" si="14"/>
        <v>21196.078469</v>
      </c>
    </row>
    <row r="55" spans="18:20">
      <c r="R55">
        <v>10</v>
      </c>
      <c r="S55" t="str">
        <f t="shared" si="13"/>
        <v>Materials</v>
      </c>
      <c r="T55">
        <f t="shared" si="14"/>
        <v>13265.96892</v>
      </c>
    </row>
    <row r="56" spans="18:20">
      <c r="R56">
        <v>11</v>
      </c>
      <c r="S56" t="str">
        <f t="shared" si="13"/>
        <v>Utilities</v>
      </c>
      <c r="T56">
        <f t="shared" si="14"/>
        <v>11395.718744</v>
      </c>
    </row>
    <row r="57" spans="18:20">
      <c r="R57">
        <v>12</v>
      </c>
      <c r="S57" t="str">
        <f t="shared" si="13"/>
        <v>Information Technology</v>
      </c>
      <c r="T57">
        <f t="shared" si="14"/>
        <v>6078.061122</v>
      </c>
    </row>
    <row r="62" spans="15:15">
      <c r="O62" t="s">
        <v>58</v>
      </c>
    </row>
    <row r="63" spans="15:16">
      <c r="O63" t="s">
        <v>59</v>
      </c>
      <c r="P63" s="7" t="s">
        <v>5</v>
      </c>
    </row>
    <row r="64" spans="15:16">
      <c r="O64" t="s">
        <v>26</v>
      </c>
      <c r="P64" s="7">
        <f>AVERAGEIF($B$5:$B$53,"TH",$F$5:$F$53)</f>
        <v>18.6048142559177</v>
      </c>
    </row>
    <row r="65" spans="15:16">
      <c r="O65" t="s">
        <v>3</v>
      </c>
      <c r="P65" s="7">
        <f>AVERAGEIF($B$5:$B$53,"SP",$F$5:$F$53)</f>
        <v>16.5954231980889</v>
      </c>
    </row>
    <row r="66" spans="15:16">
      <c r="O66" t="s">
        <v>56</v>
      </c>
      <c r="P66" s="7">
        <f>AVERAGEIF($B$5:$B$53,"EU",$F$5:$F$53)</f>
        <v>26.1568848183143</v>
      </c>
    </row>
    <row r="67" spans="15:16">
      <c r="O67" t="s">
        <v>57</v>
      </c>
      <c r="P67" s="7">
        <f>AVERAGEIF($B$5:$B$53,"US",$F$5:$F$53)</f>
        <v>54.8789235666425</v>
      </c>
    </row>
  </sheetData>
  <dataValidations count="2">
    <dataValidation type="list" allowBlank="1" showInputMessage="1" showErrorMessage="1" sqref="S4 U4">
      <formula1>valuation_method_index</formula1>
    </dataValidation>
    <dataValidation type="list" allowBlank="1" showInputMessage="1" showErrorMessage="1" sqref="S5:U5">
      <formula1>country_code_index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12"/>
  <sheetViews>
    <sheetView zoomScale="82" zoomScaleNormal="82" workbookViewId="0">
      <selection activeCell="K47" sqref="K47"/>
    </sheetView>
  </sheetViews>
  <sheetFormatPr defaultColWidth="9" defaultRowHeight="12.5"/>
  <cols>
    <col min="1" max="1" width="27.7090909090909" customWidth="1"/>
    <col min="2" max="2" width="30.4272727272727" customWidth="1"/>
    <col min="3" max="3" width="22.1363636363636" customWidth="1"/>
    <col min="4" max="4" width="11.2818181818182" customWidth="1"/>
    <col min="5" max="6" width="9" customWidth="1"/>
    <col min="7" max="7" width="10.1363636363636" customWidth="1"/>
    <col min="8" max="8" width="15" customWidth="1"/>
    <col min="9" max="9" width="14.1363636363636" customWidth="1"/>
  </cols>
  <sheetData>
    <row r="1" ht="13" spans="1:9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17</v>
      </c>
    </row>
    <row r="2" spans="1:9">
      <c r="A2" t="s">
        <v>68</v>
      </c>
      <c r="B2" t="s">
        <v>69</v>
      </c>
      <c r="C2" t="s">
        <v>27</v>
      </c>
      <c r="D2" s="2">
        <f>26240696320/(10^6)</f>
        <v>26240.69632</v>
      </c>
      <c r="E2" s="3">
        <v>9.08163166046143</v>
      </c>
      <c r="F2" s="3">
        <v>0.950903415679932</v>
      </c>
      <c r="G2" s="3">
        <v>0.376381069421768</v>
      </c>
      <c r="H2" s="3">
        <v>5.772047996521</v>
      </c>
      <c r="I2" t="s">
        <v>26</v>
      </c>
    </row>
    <row r="3" spans="1:9">
      <c r="A3" t="s">
        <v>70</v>
      </c>
      <c r="B3" t="s">
        <v>71</v>
      </c>
      <c r="C3" t="s">
        <v>31</v>
      </c>
      <c r="D3" s="2">
        <f>22092417024/(10^6)</f>
        <v>22092.417024</v>
      </c>
      <c r="E3" s="3">
        <v>27.0830135345459</v>
      </c>
      <c r="F3" s="3">
        <v>4.36571407318115</v>
      </c>
      <c r="G3" s="3">
        <v>11.0813112258911</v>
      </c>
      <c r="H3" s="3">
        <v>17.4428977966309</v>
      </c>
      <c r="I3" t="s">
        <v>26</v>
      </c>
    </row>
    <row r="4" spans="1:9">
      <c r="A4" t="s">
        <v>72</v>
      </c>
      <c r="B4" t="s">
        <v>73</v>
      </c>
      <c r="C4" t="s">
        <v>33</v>
      </c>
      <c r="D4" s="2">
        <f>18118590464/(10^6)</f>
        <v>18118.590464</v>
      </c>
      <c r="E4" s="3">
        <v>18.8636722564697</v>
      </c>
      <c r="F4" s="3">
        <v>8.49844264984131</v>
      </c>
      <c r="G4" s="3">
        <v>3.25414347648621</v>
      </c>
      <c r="H4" s="3">
        <v>8.50412845611572</v>
      </c>
      <c r="I4" t="s">
        <v>26</v>
      </c>
    </row>
    <row r="5" spans="1:9">
      <c r="A5" t="s">
        <v>74</v>
      </c>
      <c r="B5" t="s">
        <v>75</v>
      </c>
      <c r="C5" t="s">
        <v>35</v>
      </c>
      <c r="D5" s="2">
        <f>16574241792/(10^6)</f>
        <v>16574.241792</v>
      </c>
      <c r="E5" s="3">
        <v>25.3309211730957</v>
      </c>
      <c r="F5" s="3">
        <v>5.77376079559326</v>
      </c>
      <c r="G5" s="3">
        <v>0.982437789440155</v>
      </c>
      <c r="H5" s="3">
        <v>15.1455879211426</v>
      </c>
      <c r="I5" t="s">
        <v>26</v>
      </c>
    </row>
    <row r="6" spans="1:9">
      <c r="A6" t="s">
        <v>76</v>
      </c>
      <c r="B6" t="s">
        <v>77</v>
      </c>
      <c r="C6" t="s">
        <v>37</v>
      </c>
      <c r="D6" s="2">
        <f>11759302656/(10^6)</f>
        <v>11759.302656</v>
      </c>
      <c r="E6" s="3">
        <v>11.6940288543701</v>
      </c>
      <c r="F6" s="3">
        <v>1.33611488342285</v>
      </c>
      <c r="G6" s="3">
        <v>0.854833781719208</v>
      </c>
      <c r="H6" s="3">
        <v>11.7423553466797</v>
      </c>
      <c r="I6" t="s">
        <v>26</v>
      </c>
    </row>
    <row r="7" spans="1:9">
      <c r="A7" t="s">
        <v>78</v>
      </c>
      <c r="B7" t="s">
        <v>79</v>
      </c>
      <c r="C7" t="s">
        <v>39</v>
      </c>
      <c r="D7" s="2">
        <f>9733937152/(10^6)</f>
        <v>9733.937152</v>
      </c>
      <c r="E7" s="3">
        <v>64.9482269287109</v>
      </c>
      <c r="F7" s="3">
        <v>8.27180957794189</v>
      </c>
      <c r="G7" s="3">
        <v>10.5813980102539</v>
      </c>
      <c r="H7" s="3">
        <v>48.9512634277344</v>
      </c>
      <c r="I7" t="s">
        <v>26</v>
      </c>
    </row>
    <row r="8" spans="1:9">
      <c r="A8" t="s">
        <v>80</v>
      </c>
      <c r="B8" t="s">
        <v>81</v>
      </c>
      <c r="C8" t="s">
        <v>41</v>
      </c>
      <c r="D8" s="2">
        <f>9246610432/(10^6)</f>
        <v>9246.610432</v>
      </c>
      <c r="E8" s="3">
        <v>18.8617057800293</v>
      </c>
      <c r="F8" s="3">
        <v>3.52677631378174</v>
      </c>
      <c r="G8" s="3">
        <v>3.54006910324097</v>
      </c>
      <c r="H8" s="3">
        <v>12.7509117126465</v>
      </c>
      <c r="I8" t="s">
        <v>26</v>
      </c>
    </row>
    <row r="9" spans="1:9">
      <c r="A9" t="s">
        <v>82</v>
      </c>
      <c r="B9" t="s">
        <v>83</v>
      </c>
      <c r="C9" t="s">
        <v>27</v>
      </c>
      <c r="D9" s="2">
        <f>7841496576/(10^6)</f>
        <v>7841.496576</v>
      </c>
      <c r="E9" s="3">
        <v>5.1963415145874</v>
      </c>
      <c r="F9" s="3">
        <v>0.712478935718536</v>
      </c>
      <c r="G9" s="3">
        <v>1.3091082572937</v>
      </c>
      <c r="H9" s="3">
        <v>1.96810781955719</v>
      </c>
      <c r="I9" t="s">
        <v>26</v>
      </c>
    </row>
    <row r="10" spans="1:9">
      <c r="A10" t="s">
        <v>84</v>
      </c>
      <c r="B10" t="s">
        <v>85</v>
      </c>
      <c r="C10" t="s">
        <v>43</v>
      </c>
      <c r="D10" s="2">
        <f>6888925696/(10^6)</f>
        <v>6888.925696</v>
      </c>
      <c r="E10" s="3">
        <v>5.40370082855225</v>
      </c>
      <c r="F10" s="3">
        <v>0.54499614238739</v>
      </c>
      <c r="G10" s="3">
        <v>1.03440093994141</v>
      </c>
      <c r="H10" s="3" t="s">
        <v>86</v>
      </c>
      <c r="I10" t="s">
        <v>26</v>
      </c>
    </row>
    <row r="11" spans="1:9">
      <c r="A11" t="s">
        <v>87</v>
      </c>
      <c r="B11" t="s">
        <v>88</v>
      </c>
      <c r="C11" t="s">
        <v>43</v>
      </c>
      <c r="D11" s="2">
        <f>6475654656/(10^6)</f>
        <v>6475.654656</v>
      </c>
      <c r="E11" s="3">
        <v>5.2810378074646</v>
      </c>
      <c r="F11" s="3">
        <v>0.503555834293365</v>
      </c>
      <c r="G11" s="3">
        <v>1.01410961151123</v>
      </c>
      <c r="H11" s="3" t="s">
        <v>86</v>
      </c>
      <c r="I11" t="s">
        <v>26</v>
      </c>
    </row>
    <row r="12" spans="1:9">
      <c r="A12" t="s">
        <v>89</v>
      </c>
      <c r="B12" t="s">
        <v>90</v>
      </c>
      <c r="C12" t="s">
        <v>35</v>
      </c>
      <c r="D12" s="2">
        <f>6381628416/(10^6)</f>
        <v>6381.628416</v>
      </c>
      <c r="E12" s="3">
        <v>11.2867984771729</v>
      </c>
      <c r="F12" s="3">
        <v>1.11122632026672</v>
      </c>
      <c r="G12" s="3">
        <v>0.370387405157089</v>
      </c>
      <c r="H12" s="3">
        <v>11.138256072998</v>
      </c>
      <c r="I12" t="s">
        <v>26</v>
      </c>
    </row>
    <row r="13" spans="1:9">
      <c r="A13" t="s">
        <v>91</v>
      </c>
      <c r="B13" t="s">
        <v>92</v>
      </c>
      <c r="C13" t="s">
        <v>43</v>
      </c>
      <c r="D13" s="2">
        <f>5728574464/(10^6)</f>
        <v>5728.574464</v>
      </c>
      <c r="E13" s="3">
        <v>5.07729196548462</v>
      </c>
      <c r="F13" s="3">
        <v>0.425053834915161</v>
      </c>
      <c r="G13" s="3">
        <v>0.989205479621887</v>
      </c>
      <c r="H13" s="3" t="s">
        <v>86</v>
      </c>
      <c r="I13" t="s">
        <v>26</v>
      </c>
    </row>
    <row r="14" spans="1:9">
      <c r="A14" t="s">
        <v>93</v>
      </c>
      <c r="B14" t="s">
        <v>94</v>
      </c>
      <c r="C14" t="s">
        <v>45</v>
      </c>
      <c r="D14" s="2">
        <f>5613373952/(10^6)</f>
        <v>5613.373952</v>
      </c>
      <c r="E14" s="3">
        <v>15.7842836380005</v>
      </c>
      <c r="F14" s="3">
        <v>2.56667256355286</v>
      </c>
      <c r="G14" s="3">
        <v>5.04175043106079</v>
      </c>
      <c r="H14" s="3">
        <v>10.8092908859253</v>
      </c>
      <c r="I14" t="s">
        <v>26</v>
      </c>
    </row>
    <row r="15" spans="1:9">
      <c r="A15" t="s">
        <v>95</v>
      </c>
      <c r="B15" t="s">
        <v>96</v>
      </c>
      <c r="C15" t="s">
        <v>35</v>
      </c>
      <c r="D15" s="2">
        <f>4924207616/(10^6)</f>
        <v>4924.207616</v>
      </c>
      <c r="E15" s="3">
        <v>25.0196342468262</v>
      </c>
      <c r="F15" s="3">
        <v>7.76563024520874</v>
      </c>
      <c r="G15" s="3">
        <v>0.7493856549263</v>
      </c>
      <c r="H15" s="3">
        <v>15.119987487793</v>
      </c>
      <c r="I15" t="s">
        <v>26</v>
      </c>
    </row>
    <row r="16" spans="1:9">
      <c r="A16" t="s">
        <v>97</v>
      </c>
      <c r="B16" t="s">
        <v>98</v>
      </c>
      <c r="C16" t="s">
        <v>35</v>
      </c>
      <c r="D16" s="2">
        <f>4877457920/(10^6)</f>
        <v>4877.45792</v>
      </c>
      <c r="E16" s="3">
        <v>21.737491607666</v>
      </c>
      <c r="F16" s="3">
        <v>1.37571144104004</v>
      </c>
      <c r="G16" s="3">
        <v>1.00111865997314</v>
      </c>
      <c r="H16" s="3">
        <v>14.8277463912964</v>
      </c>
      <c r="I16" t="s">
        <v>26</v>
      </c>
    </row>
    <row r="17" spans="1:9">
      <c r="A17" t="s">
        <v>99</v>
      </c>
      <c r="B17" t="s">
        <v>100</v>
      </c>
      <c r="C17" t="s">
        <v>33</v>
      </c>
      <c r="D17" s="2">
        <f>4835896832/(10^6)</f>
        <v>4835.896832</v>
      </c>
      <c r="E17" s="3">
        <v>14.090353012085</v>
      </c>
      <c r="F17" s="3">
        <v>4.52691459655762</v>
      </c>
      <c r="G17" s="3">
        <v>32.0438652038574</v>
      </c>
      <c r="H17" s="3">
        <v>724.730529785156</v>
      </c>
      <c r="I17" t="s">
        <v>26</v>
      </c>
    </row>
    <row r="18" spans="1:9">
      <c r="A18" t="s">
        <v>101</v>
      </c>
      <c r="B18" t="s">
        <v>102</v>
      </c>
      <c r="C18" t="s">
        <v>39</v>
      </c>
      <c r="D18" s="2">
        <f>4792374784/(10^6)</f>
        <v>4792.374784</v>
      </c>
      <c r="E18" s="3">
        <v>24.7482624053955</v>
      </c>
      <c r="F18" s="3">
        <v>1.5371241569519</v>
      </c>
      <c r="G18" s="3">
        <v>1.49368035793304</v>
      </c>
      <c r="H18" s="3">
        <v>14.9117450714111</v>
      </c>
      <c r="I18" t="s">
        <v>26</v>
      </c>
    </row>
    <row r="19" spans="1:9">
      <c r="A19" t="s">
        <v>103</v>
      </c>
      <c r="B19" t="s">
        <v>104</v>
      </c>
      <c r="C19" t="s">
        <v>43</v>
      </c>
      <c r="D19" s="2">
        <f>4750705664/(10^6)</f>
        <v>4750.705664</v>
      </c>
      <c r="E19" s="3">
        <v>5.19230794906616</v>
      </c>
      <c r="F19" s="3">
        <v>0.446230471134186</v>
      </c>
      <c r="G19" s="3">
        <v>0.913242042064667</v>
      </c>
      <c r="H19" s="3" t="s">
        <v>86</v>
      </c>
      <c r="I19" t="s">
        <v>26</v>
      </c>
    </row>
    <row r="20" spans="1:9">
      <c r="A20" t="s">
        <v>105</v>
      </c>
      <c r="B20" t="s">
        <v>106</v>
      </c>
      <c r="C20" t="s">
        <v>47</v>
      </c>
      <c r="D20" s="2">
        <f>4617210368/(10^6)</f>
        <v>4617.210368</v>
      </c>
      <c r="E20" s="3">
        <v>11.5044250488281</v>
      </c>
      <c r="F20" s="3">
        <v>4.32566976547241</v>
      </c>
      <c r="G20" s="3">
        <v>0.598993003368378</v>
      </c>
      <c r="H20" s="3">
        <v>8.54458808898926</v>
      </c>
      <c r="I20" t="s">
        <v>26</v>
      </c>
    </row>
    <row r="21" spans="1:9">
      <c r="A21" t="s">
        <v>107</v>
      </c>
      <c r="B21" t="s">
        <v>108</v>
      </c>
      <c r="C21" t="s">
        <v>49</v>
      </c>
      <c r="D21" s="2">
        <f>4427821056/(10^6)</f>
        <v>4427.821056</v>
      </c>
      <c r="E21" s="3">
        <v>7.08322715759277</v>
      </c>
      <c r="F21" s="3">
        <v>0.837012112140656</v>
      </c>
      <c r="G21" s="3">
        <v>11.1334037780762</v>
      </c>
      <c r="H21" s="3" t="s">
        <v>86</v>
      </c>
      <c r="I21" t="s">
        <v>26</v>
      </c>
    </row>
    <row r="22" spans="1:9">
      <c r="A22" t="s">
        <v>109</v>
      </c>
      <c r="B22" t="s">
        <v>110</v>
      </c>
      <c r="C22" t="s">
        <v>47</v>
      </c>
      <c r="D22" s="2">
        <f>4389773824/(10^6)</f>
        <v>4389.773824</v>
      </c>
      <c r="E22" s="3">
        <v>22.8375205993652</v>
      </c>
      <c r="F22" s="3">
        <v>6.71929311752319</v>
      </c>
      <c r="G22" s="3">
        <v>2.25283813476562</v>
      </c>
      <c r="H22" s="3">
        <v>14.0512857437134</v>
      </c>
      <c r="I22" t="s">
        <v>26</v>
      </c>
    </row>
    <row r="23" spans="1:9">
      <c r="A23" t="s">
        <v>111</v>
      </c>
      <c r="B23" t="s">
        <v>112</v>
      </c>
      <c r="C23" t="s">
        <v>43</v>
      </c>
      <c r="D23" s="2">
        <f>4167251712/(10^6)</f>
        <v>4167.251712</v>
      </c>
      <c r="E23" s="3">
        <v>4.13936901092529</v>
      </c>
      <c r="F23" s="3">
        <v>0.499819189310074</v>
      </c>
      <c r="G23" s="3">
        <v>0.87311452627182</v>
      </c>
      <c r="H23" s="3" t="s">
        <v>86</v>
      </c>
      <c r="I23" t="s">
        <v>26</v>
      </c>
    </row>
    <row r="24" spans="1:9">
      <c r="A24" t="s">
        <v>113</v>
      </c>
      <c r="B24" t="s">
        <v>114</v>
      </c>
      <c r="C24" t="s">
        <v>37</v>
      </c>
      <c r="D24" s="2">
        <f>3881335552/(10^6)</f>
        <v>3881.335552</v>
      </c>
      <c r="E24" s="3">
        <v>10.6050844192505</v>
      </c>
      <c r="F24" s="3">
        <v>0.431655287742615</v>
      </c>
      <c r="G24" s="3">
        <v>0.30021995306015</v>
      </c>
      <c r="H24" s="3">
        <v>7.71541786193848</v>
      </c>
      <c r="I24" t="s">
        <v>26</v>
      </c>
    </row>
    <row r="25" spans="1:9">
      <c r="A25" t="s">
        <v>115</v>
      </c>
      <c r="B25" t="s">
        <v>116</v>
      </c>
      <c r="C25" t="s">
        <v>39</v>
      </c>
      <c r="D25" s="2">
        <f>3769407744/(10^6)</f>
        <v>3769.407744</v>
      </c>
      <c r="E25" s="3">
        <v>20.1031742095947</v>
      </c>
      <c r="F25" s="3">
        <v>5.22833585739136</v>
      </c>
      <c r="G25" s="3">
        <v>8.20572280883789</v>
      </c>
      <c r="H25" s="3">
        <v>16.0811443328857</v>
      </c>
      <c r="I25" t="s">
        <v>26</v>
      </c>
    </row>
    <row r="26" spans="1:9">
      <c r="A26" t="s">
        <v>117</v>
      </c>
      <c r="B26" t="s">
        <v>118</v>
      </c>
      <c r="C26" t="s">
        <v>39</v>
      </c>
      <c r="D26" s="2">
        <f>3675823616/(10^6)</f>
        <v>3675.823616</v>
      </c>
      <c r="E26" s="3">
        <v>9.03136444091797</v>
      </c>
      <c r="F26" s="3" t="s">
        <v>86</v>
      </c>
      <c r="G26" s="3">
        <v>3.7786591053009</v>
      </c>
      <c r="H26" s="3" t="s">
        <v>86</v>
      </c>
      <c r="I26" t="s">
        <v>26</v>
      </c>
    </row>
    <row r="27" spans="1:9">
      <c r="A27" t="s">
        <v>119</v>
      </c>
      <c r="B27" t="s">
        <v>120</v>
      </c>
      <c r="C27" t="s">
        <v>31</v>
      </c>
      <c r="D27" s="2">
        <f>3605296384/(10^6)</f>
        <v>3605.296384</v>
      </c>
      <c r="E27" s="3">
        <v>21.0241756439209</v>
      </c>
      <c r="F27" s="3">
        <v>2.43439388275146</v>
      </c>
      <c r="G27" s="3">
        <v>2.79883074760437</v>
      </c>
      <c r="H27" s="3">
        <v>41.1896362304688</v>
      </c>
      <c r="I27" t="s">
        <v>26</v>
      </c>
    </row>
    <row r="28" spans="1:9">
      <c r="A28" t="s">
        <v>121</v>
      </c>
      <c r="B28" t="s">
        <v>122</v>
      </c>
      <c r="C28" t="s">
        <v>31</v>
      </c>
      <c r="D28" s="2">
        <f>3533968896/(10^6)</f>
        <v>3533.968896</v>
      </c>
      <c r="E28" s="3">
        <v>21.3212394714355</v>
      </c>
      <c r="F28" s="3">
        <v>2.97575068473816</v>
      </c>
      <c r="G28" s="3">
        <v>7.16466999053955</v>
      </c>
      <c r="H28" s="3">
        <v>14.8286838531494</v>
      </c>
      <c r="I28" t="s">
        <v>26</v>
      </c>
    </row>
    <row r="29" spans="1:9">
      <c r="A29" t="s">
        <v>123</v>
      </c>
      <c r="B29" t="s">
        <v>124</v>
      </c>
      <c r="C29" t="s">
        <v>37</v>
      </c>
      <c r="D29" s="2">
        <f>3352741376/(10^6)</f>
        <v>3352.741376</v>
      </c>
      <c r="E29" s="3">
        <v>25.2705001831055</v>
      </c>
      <c r="F29" s="3">
        <v>0.826739251613617</v>
      </c>
      <c r="G29" s="3">
        <v>0.304055124521255</v>
      </c>
      <c r="H29" s="3">
        <v>8.87744331359863</v>
      </c>
      <c r="I29" t="s">
        <v>26</v>
      </c>
    </row>
    <row r="30" spans="1:9">
      <c r="A30" t="s">
        <v>125</v>
      </c>
      <c r="B30" t="s">
        <v>126</v>
      </c>
      <c r="C30" t="s">
        <v>35</v>
      </c>
      <c r="D30" s="2">
        <f>3334433792/(10^6)</f>
        <v>3334.433792</v>
      </c>
      <c r="E30" s="3">
        <v>32.1759262084961</v>
      </c>
      <c r="F30" s="3">
        <v>5.84066486358643</v>
      </c>
      <c r="G30" s="3">
        <v>4.0756893157959</v>
      </c>
      <c r="H30" s="3">
        <v>23.6408405303955</v>
      </c>
      <c r="I30" t="s">
        <v>26</v>
      </c>
    </row>
    <row r="31" spans="1:9">
      <c r="A31" t="s">
        <v>127</v>
      </c>
      <c r="B31" t="s">
        <v>128</v>
      </c>
      <c r="C31" t="s">
        <v>47</v>
      </c>
      <c r="D31" s="2">
        <f>3155412736/(10^6)</f>
        <v>3155.412736</v>
      </c>
      <c r="E31" s="3">
        <v>75.1219482421875</v>
      </c>
      <c r="F31" s="3">
        <v>1.0483992099762</v>
      </c>
      <c r="G31" s="3" t="s">
        <v>86</v>
      </c>
      <c r="H31" s="3">
        <v>23.9360523223877</v>
      </c>
      <c r="I31" t="s">
        <v>26</v>
      </c>
    </row>
    <row r="32" spans="1:9">
      <c r="A32" t="s">
        <v>129</v>
      </c>
      <c r="B32" t="s">
        <v>130</v>
      </c>
      <c r="C32" t="s">
        <v>39</v>
      </c>
      <c r="D32" s="2">
        <f>3133389312/(10^6)</f>
        <v>3133.389312</v>
      </c>
      <c r="E32" s="3">
        <v>44.6022720336914</v>
      </c>
      <c r="F32" s="3">
        <v>5.06721258163452</v>
      </c>
      <c r="G32" s="3">
        <v>2.318523645401</v>
      </c>
      <c r="H32" s="3">
        <v>14.4692993164062</v>
      </c>
      <c r="I32" t="s">
        <v>26</v>
      </c>
    </row>
    <row r="33" spans="1:9">
      <c r="A33" t="s">
        <v>131</v>
      </c>
      <c r="B33" t="s">
        <v>132</v>
      </c>
      <c r="C33" t="s">
        <v>33</v>
      </c>
      <c r="D33" s="2">
        <f>3045084416/(10^6)</f>
        <v>3045.084416</v>
      </c>
      <c r="E33" s="3">
        <v>17.470121383667</v>
      </c>
      <c r="F33" s="3">
        <v>0.819779217243195</v>
      </c>
      <c r="G33" s="3">
        <v>0.729186177253723</v>
      </c>
      <c r="H33" s="3">
        <v>6.68197059631348</v>
      </c>
      <c r="I33" t="s">
        <v>26</v>
      </c>
    </row>
    <row r="34" spans="1:9">
      <c r="A34" t="s">
        <v>133</v>
      </c>
      <c r="B34" t="s">
        <v>134</v>
      </c>
      <c r="C34" t="s">
        <v>41</v>
      </c>
      <c r="D34" s="2">
        <f>2725267200/(10^6)</f>
        <v>2725.2672</v>
      </c>
      <c r="E34" s="3">
        <v>21.2810325622559</v>
      </c>
      <c r="F34" s="3">
        <v>3.99596953392029</v>
      </c>
      <c r="G34" s="3">
        <v>4.33515119552612</v>
      </c>
      <c r="H34" s="3">
        <v>14.5132436752319</v>
      </c>
      <c r="I34" t="s">
        <v>26</v>
      </c>
    </row>
    <row r="35" spans="1:9">
      <c r="A35" t="s">
        <v>135</v>
      </c>
      <c r="B35" t="s">
        <v>136</v>
      </c>
      <c r="C35" t="s">
        <v>33</v>
      </c>
      <c r="D35" s="2">
        <f>2646611712/(10^6)</f>
        <v>2646.611712</v>
      </c>
      <c r="E35" s="3">
        <v>16.0341777801514</v>
      </c>
      <c r="F35" s="3">
        <v>3.48536467552185</v>
      </c>
      <c r="G35" s="3">
        <v>1.07207250595093</v>
      </c>
      <c r="H35" s="3">
        <v>5.10989141464233</v>
      </c>
      <c r="I35" t="s">
        <v>26</v>
      </c>
    </row>
    <row r="36" spans="1:9">
      <c r="A36" t="s">
        <v>137</v>
      </c>
      <c r="B36" t="s">
        <v>138</v>
      </c>
      <c r="C36" t="s">
        <v>39</v>
      </c>
      <c r="D36" s="2">
        <f>2575409664/(10^6)</f>
        <v>2575.409664</v>
      </c>
      <c r="E36" s="3">
        <v>13.672661781311</v>
      </c>
      <c r="F36" s="3">
        <v>1.3727992773056</v>
      </c>
      <c r="G36" s="3">
        <v>2.12599730491638</v>
      </c>
      <c r="H36" s="3">
        <v>18.9174137115479</v>
      </c>
      <c r="I36" t="s">
        <v>26</v>
      </c>
    </row>
    <row r="37" spans="1:9">
      <c r="A37" t="s">
        <v>139</v>
      </c>
      <c r="B37" t="s">
        <v>140</v>
      </c>
      <c r="C37" t="s">
        <v>43</v>
      </c>
      <c r="D37" s="2">
        <f>2399468544/(10^6)</f>
        <v>2399.468544</v>
      </c>
      <c r="E37" s="3">
        <v>5.45529174804688</v>
      </c>
      <c r="F37" s="3">
        <v>0.395773351192474</v>
      </c>
      <c r="G37" s="3">
        <v>0.723377346992493</v>
      </c>
      <c r="H37" s="3" t="s">
        <v>86</v>
      </c>
      <c r="I37" t="s">
        <v>26</v>
      </c>
    </row>
    <row r="38" spans="1:9">
      <c r="A38" t="s">
        <v>141</v>
      </c>
      <c r="B38" t="s">
        <v>142</v>
      </c>
      <c r="C38" t="s">
        <v>45</v>
      </c>
      <c r="D38" s="2">
        <f>2378598656/(10^6)</f>
        <v>2378.598656</v>
      </c>
      <c r="E38" s="3">
        <v>7.58754348754883</v>
      </c>
      <c r="F38" s="3">
        <v>1.44635725021362</v>
      </c>
      <c r="G38" s="3">
        <v>2.54961919784546</v>
      </c>
      <c r="H38" s="3">
        <v>12.7961797714233</v>
      </c>
      <c r="I38" t="s">
        <v>26</v>
      </c>
    </row>
    <row r="39" spans="1:9">
      <c r="A39" t="s">
        <v>143</v>
      </c>
      <c r="B39" t="s">
        <v>144</v>
      </c>
      <c r="C39" t="s">
        <v>43</v>
      </c>
      <c r="D39" s="2">
        <f>2337161216/(10^6)</f>
        <v>2337.161216</v>
      </c>
      <c r="E39" s="3">
        <v>17.055814743042</v>
      </c>
      <c r="F39" s="3">
        <v>4.51297855377197</v>
      </c>
      <c r="G39" s="3">
        <v>5.6809892654419</v>
      </c>
      <c r="H39" s="3">
        <v>16.8731365203857</v>
      </c>
      <c r="I39" t="s">
        <v>26</v>
      </c>
    </row>
    <row r="40" spans="1:9">
      <c r="A40" t="s">
        <v>145</v>
      </c>
      <c r="B40" t="s">
        <v>146</v>
      </c>
      <c r="C40" t="s">
        <v>47</v>
      </c>
      <c r="D40" s="2">
        <f>2291468032/(10^6)</f>
        <v>2291.468032</v>
      </c>
      <c r="E40" s="3">
        <v>6.82083177566528</v>
      </c>
      <c r="F40" s="3">
        <v>0.967122495174408</v>
      </c>
      <c r="G40" s="3">
        <v>0.613154649734497</v>
      </c>
      <c r="H40" s="3">
        <v>7.4511137008667</v>
      </c>
      <c r="I40" t="s">
        <v>26</v>
      </c>
    </row>
    <row r="41" spans="1:9">
      <c r="A41" t="s">
        <v>147</v>
      </c>
      <c r="B41" t="s">
        <v>148</v>
      </c>
      <c r="C41" t="s">
        <v>43</v>
      </c>
      <c r="D41" s="2">
        <f>2052876672/(10^6)</f>
        <v>2052.876672</v>
      </c>
      <c r="E41" s="3">
        <v>11.9067411422729</v>
      </c>
      <c r="F41" s="3">
        <v>3.33613276481628</v>
      </c>
      <c r="G41" s="3">
        <v>3.43704724311829</v>
      </c>
      <c r="H41" s="3">
        <v>13.9820852279663</v>
      </c>
      <c r="I41" t="s">
        <v>26</v>
      </c>
    </row>
    <row r="42" spans="1:9">
      <c r="A42" t="s">
        <v>149</v>
      </c>
      <c r="B42" t="s">
        <v>150</v>
      </c>
      <c r="C42" t="s">
        <v>35</v>
      </c>
      <c r="D42" s="2">
        <f>2001956096/(10^6)</f>
        <v>2001.956096</v>
      </c>
      <c r="E42" s="3">
        <v>16.3099765777588</v>
      </c>
      <c r="F42" s="3">
        <v>1.32048952579498</v>
      </c>
      <c r="G42" s="3">
        <v>0.506372570991516</v>
      </c>
      <c r="H42" s="3">
        <v>13.4661293029785</v>
      </c>
      <c r="I42" t="s">
        <v>26</v>
      </c>
    </row>
    <row r="43" spans="1:9">
      <c r="A43" t="s">
        <v>151</v>
      </c>
      <c r="B43" t="s">
        <v>152</v>
      </c>
      <c r="C43" t="s">
        <v>37</v>
      </c>
      <c r="D43" s="2">
        <f>1926167552/(10^6)</f>
        <v>1926.167552</v>
      </c>
      <c r="E43" s="3">
        <v>29.4392509460449</v>
      </c>
      <c r="F43" s="3">
        <v>5.97938203811646</v>
      </c>
      <c r="G43" s="3">
        <v>3.76442360877991</v>
      </c>
      <c r="H43" s="3">
        <v>18.0966987609863</v>
      </c>
      <c r="I43" t="s">
        <v>26</v>
      </c>
    </row>
    <row r="44" spans="1:9">
      <c r="A44" t="s">
        <v>153</v>
      </c>
      <c r="B44" t="s">
        <v>154</v>
      </c>
      <c r="C44" t="s">
        <v>35</v>
      </c>
      <c r="D44" s="2">
        <f>1893109888/(10^6)</f>
        <v>1893.109888</v>
      </c>
      <c r="E44" s="3">
        <v>15.6772575378418</v>
      </c>
      <c r="F44" s="3">
        <v>2.64276671409607</v>
      </c>
      <c r="G44" s="3">
        <v>2.57591080665588</v>
      </c>
      <c r="H44" s="3">
        <v>9.20018100738525</v>
      </c>
      <c r="I44" t="s">
        <v>26</v>
      </c>
    </row>
    <row r="45" spans="1:9">
      <c r="A45" t="s">
        <v>155</v>
      </c>
      <c r="B45" t="s">
        <v>156</v>
      </c>
      <c r="C45" t="s">
        <v>27</v>
      </c>
      <c r="D45" s="2">
        <f>1858546304/(10^6)</f>
        <v>1858.546304</v>
      </c>
      <c r="E45" s="3">
        <v>9.32659339904785</v>
      </c>
      <c r="F45" s="3">
        <v>0.48886775970459</v>
      </c>
      <c r="G45" s="3">
        <v>0.160981878638268</v>
      </c>
      <c r="H45" s="3">
        <v>7.70639276504517</v>
      </c>
      <c r="I45" t="s">
        <v>26</v>
      </c>
    </row>
    <row r="46" spans="1:9">
      <c r="A46" t="s">
        <v>157</v>
      </c>
      <c r="B46" t="s">
        <v>158</v>
      </c>
      <c r="C46" t="s">
        <v>35</v>
      </c>
      <c r="D46" s="2">
        <f>1852702592/(10^6)</f>
        <v>1852.702592</v>
      </c>
      <c r="E46" s="3">
        <v>23.5732574462891</v>
      </c>
      <c r="F46" s="3">
        <v>6.88784837722778</v>
      </c>
      <c r="G46" s="3">
        <v>3.95097804069519</v>
      </c>
      <c r="H46" s="3">
        <v>17.2617683410645</v>
      </c>
      <c r="I46" t="s">
        <v>26</v>
      </c>
    </row>
    <row r="47" spans="1:9">
      <c r="A47" t="s">
        <v>159</v>
      </c>
      <c r="B47" t="s">
        <v>160</v>
      </c>
      <c r="C47" t="s">
        <v>43</v>
      </c>
      <c r="D47" s="2">
        <f>1840942848/(10^6)</f>
        <v>1840.942848</v>
      </c>
      <c r="E47" s="3">
        <v>7.85714292526245</v>
      </c>
      <c r="F47" s="3">
        <v>1.63711500167847</v>
      </c>
      <c r="G47" s="3">
        <v>4.20322418212891</v>
      </c>
      <c r="H47" s="3">
        <v>15.8464727401733</v>
      </c>
      <c r="I47" t="s">
        <v>26</v>
      </c>
    </row>
    <row r="48" spans="1:9">
      <c r="A48" t="s">
        <v>161</v>
      </c>
      <c r="B48" t="s">
        <v>162</v>
      </c>
      <c r="C48" t="s">
        <v>43</v>
      </c>
      <c r="D48" s="2">
        <f>1780026240/(10^6)</f>
        <v>1780.02624</v>
      </c>
      <c r="E48" s="3">
        <v>14.6443920135498</v>
      </c>
      <c r="F48" s="3">
        <v>2.96122360229492</v>
      </c>
      <c r="G48" s="3">
        <v>7.01035165786743</v>
      </c>
      <c r="H48" s="3">
        <v>12.7634429931641</v>
      </c>
      <c r="I48" t="s">
        <v>26</v>
      </c>
    </row>
    <row r="49" spans="1:9">
      <c r="A49" t="s">
        <v>163</v>
      </c>
      <c r="B49" t="s">
        <v>164</v>
      </c>
      <c r="C49" t="s">
        <v>49</v>
      </c>
      <c r="D49" s="2">
        <f>1776144640/(10^6)</f>
        <v>1776.14464</v>
      </c>
      <c r="E49" s="3">
        <v>4.30107355117798</v>
      </c>
      <c r="F49" s="3">
        <v>0.675813615322113</v>
      </c>
      <c r="G49" s="3">
        <v>6.99984550476074</v>
      </c>
      <c r="H49" s="3" t="s">
        <v>86</v>
      </c>
      <c r="I49" t="s">
        <v>26</v>
      </c>
    </row>
    <row r="50" spans="1:9">
      <c r="A50" t="s">
        <v>165</v>
      </c>
      <c r="B50" t="s">
        <v>166</v>
      </c>
      <c r="C50" t="s">
        <v>43</v>
      </c>
      <c r="D50" s="2">
        <f>1685634304/(10^6)</f>
        <v>1685.634304</v>
      </c>
      <c r="E50" s="3">
        <v>7.48155546188354</v>
      </c>
      <c r="F50" s="3">
        <v>1.38912725448608</v>
      </c>
      <c r="G50" s="3">
        <v>2.19197773933411</v>
      </c>
      <c r="H50" s="3" t="s">
        <v>86</v>
      </c>
      <c r="I50" t="s">
        <v>26</v>
      </c>
    </row>
    <row r="51" spans="1:9">
      <c r="A51" t="s">
        <v>167</v>
      </c>
      <c r="B51" t="s">
        <v>168</v>
      </c>
      <c r="C51" t="s">
        <v>45</v>
      </c>
      <c r="D51" s="2">
        <f>1626073984/(10^6)</f>
        <v>1626.073984</v>
      </c>
      <c r="E51" s="3">
        <v>15.7957143783569</v>
      </c>
      <c r="F51" s="3">
        <v>1.76544141769409</v>
      </c>
      <c r="G51" s="3">
        <v>10.2194204330444</v>
      </c>
      <c r="H51" s="3" t="s">
        <v>86</v>
      </c>
      <c r="I51" t="s">
        <v>26</v>
      </c>
    </row>
    <row r="52" spans="1:9">
      <c r="A52" t="s">
        <v>169</v>
      </c>
      <c r="B52" t="s">
        <v>170</v>
      </c>
      <c r="C52" t="s">
        <v>39</v>
      </c>
      <c r="D52" s="2">
        <f>1539549952/(10^6)</f>
        <v>1539.549952</v>
      </c>
      <c r="E52" s="3">
        <v>15.6292381286621</v>
      </c>
      <c r="F52" s="3">
        <v>3.69073486328125</v>
      </c>
      <c r="G52" s="3">
        <v>7.89790439605713</v>
      </c>
      <c r="H52" s="3">
        <v>11.3483734130859</v>
      </c>
      <c r="I52" t="s">
        <v>26</v>
      </c>
    </row>
    <row r="53" spans="1:9">
      <c r="A53" t="s">
        <v>171</v>
      </c>
      <c r="B53" t="s">
        <v>172</v>
      </c>
      <c r="C53" t="s">
        <v>33</v>
      </c>
      <c r="D53" s="2">
        <f>1410801920/(10^6)</f>
        <v>1410.80192</v>
      </c>
      <c r="E53" s="3">
        <v>33.7436141967773</v>
      </c>
      <c r="F53" s="3">
        <v>2.92461180686951</v>
      </c>
      <c r="G53" s="3">
        <v>7.11177825927734</v>
      </c>
      <c r="H53" s="3">
        <v>21.984073638916</v>
      </c>
      <c r="I53" t="s">
        <v>26</v>
      </c>
    </row>
    <row r="54" spans="1:9">
      <c r="A54" t="s">
        <v>173</v>
      </c>
      <c r="B54" t="s">
        <v>174</v>
      </c>
      <c r="C54" t="s">
        <v>49</v>
      </c>
      <c r="D54" s="2">
        <f>1371489920/(10^6)</f>
        <v>1371.48992</v>
      </c>
      <c r="E54" s="3">
        <v>4.44950914382935</v>
      </c>
      <c r="F54" s="3">
        <v>0.824315369129181</v>
      </c>
      <c r="G54" s="3">
        <v>21.9061489105225</v>
      </c>
      <c r="H54" s="3">
        <v>4.29282903671265</v>
      </c>
      <c r="I54" t="s">
        <v>26</v>
      </c>
    </row>
    <row r="55" spans="1:9">
      <c r="A55" t="s">
        <v>175</v>
      </c>
      <c r="B55" t="s">
        <v>176</v>
      </c>
      <c r="C55" t="s">
        <v>33</v>
      </c>
      <c r="D55" s="2">
        <f>1349064448/(10^6)</f>
        <v>1349.064448</v>
      </c>
      <c r="E55" s="3" t="s">
        <v>86</v>
      </c>
      <c r="F55" s="3">
        <v>19.0064163208008</v>
      </c>
      <c r="G55" s="3">
        <v>2.6137158870697</v>
      </c>
      <c r="H55" s="3">
        <v>54.7664604187012</v>
      </c>
      <c r="I55" t="s">
        <v>26</v>
      </c>
    </row>
    <row r="56" spans="1:9">
      <c r="A56" t="s">
        <v>177</v>
      </c>
      <c r="B56" t="s">
        <v>178</v>
      </c>
      <c r="C56" t="s">
        <v>51</v>
      </c>
      <c r="D56" s="2">
        <f>1327408128/(10^6)</f>
        <v>1327.408128</v>
      </c>
      <c r="E56" s="3">
        <v>13.988320350647</v>
      </c>
      <c r="F56" s="3">
        <v>1.25644218921661</v>
      </c>
      <c r="G56" s="3">
        <v>0.810516595840454</v>
      </c>
      <c r="H56" s="3">
        <v>7.01842164993286</v>
      </c>
      <c r="I56" t="s">
        <v>26</v>
      </c>
    </row>
    <row r="57" spans="1:9">
      <c r="A57" t="s">
        <v>179</v>
      </c>
      <c r="B57" t="s">
        <v>180</v>
      </c>
      <c r="C57" t="s">
        <v>27</v>
      </c>
      <c r="D57" s="2">
        <f>1301595392/(10^6)</f>
        <v>1301.595392</v>
      </c>
      <c r="E57" s="3" t="s">
        <v>86</v>
      </c>
      <c r="F57" s="3">
        <v>0.505020081996918</v>
      </c>
      <c r="G57" s="3">
        <v>0.169450312852859</v>
      </c>
      <c r="H57" s="3">
        <v>13.1761913299561</v>
      </c>
      <c r="I57" t="s">
        <v>26</v>
      </c>
    </row>
    <row r="58" spans="1:9">
      <c r="A58" t="s">
        <v>181</v>
      </c>
      <c r="B58" t="s">
        <v>182</v>
      </c>
      <c r="C58" t="s">
        <v>49</v>
      </c>
      <c r="D58" s="2">
        <f>1293902976/(10^6)</f>
        <v>1293.902976</v>
      </c>
      <c r="E58" s="3" t="s">
        <v>86</v>
      </c>
      <c r="F58" s="3">
        <v>0.704108119010925</v>
      </c>
      <c r="G58" s="3">
        <v>5.9106183052063</v>
      </c>
      <c r="H58" s="3" t="s">
        <v>86</v>
      </c>
      <c r="I58" t="s">
        <v>26</v>
      </c>
    </row>
    <row r="59" spans="1:9">
      <c r="A59" t="s">
        <v>183</v>
      </c>
      <c r="B59" t="s">
        <v>184</v>
      </c>
      <c r="C59" t="s">
        <v>47</v>
      </c>
      <c r="D59" s="2">
        <f>1276059904/(10^6)</f>
        <v>1276.059904</v>
      </c>
      <c r="E59" s="3">
        <v>15.9764537811279</v>
      </c>
      <c r="F59" s="3">
        <v>2.91264796257019</v>
      </c>
      <c r="G59" s="3">
        <v>2.39357972145081</v>
      </c>
      <c r="H59" s="3">
        <v>8.83192253112793</v>
      </c>
      <c r="I59" t="s">
        <v>26</v>
      </c>
    </row>
    <row r="60" spans="1:9">
      <c r="A60" t="s">
        <v>185</v>
      </c>
      <c r="B60" t="s">
        <v>186</v>
      </c>
      <c r="C60" t="s">
        <v>41</v>
      </c>
      <c r="D60" s="2">
        <f>1212678016/(10^6)</f>
        <v>1212.678016</v>
      </c>
      <c r="E60" s="3">
        <v>19.5393238067627</v>
      </c>
      <c r="F60" s="3">
        <v>4.19832944869995</v>
      </c>
      <c r="G60" s="3">
        <v>3.09963512420654</v>
      </c>
      <c r="H60" s="3">
        <v>12.1007347106934</v>
      </c>
      <c r="I60" t="s">
        <v>26</v>
      </c>
    </row>
    <row r="61" spans="1:9">
      <c r="A61" t="s">
        <v>187</v>
      </c>
      <c r="B61" t="s">
        <v>188</v>
      </c>
      <c r="C61" t="s">
        <v>47</v>
      </c>
      <c r="D61" s="2">
        <f>1186164608/(10^6)</f>
        <v>1186.164608</v>
      </c>
      <c r="E61" s="3">
        <v>18.2908706665039</v>
      </c>
      <c r="F61" s="3">
        <v>2.40659308433533</v>
      </c>
      <c r="G61" s="3">
        <v>1.36042177677154</v>
      </c>
      <c r="H61" s="3">
        <v>14.3072309494019</v>
      </c>
      <c r="I61" t="s">
        <v>26</v>
      </c>
    </row>
    <row r="62" spans="1:9">
      <c r="A62" t="s">
        <v>189</v>
      </c>
      <c r="B62" t="s">
        <v>190</v>
      </c>
      <c r="C62" t="s">
        <v>45</v>
      </c>
      <c r="D62" s="2">
        <f>1138352256/(10^6)</f>
        <v>1138.352256</v>
      </c>
      <c r="E62" s="3">
        <v>15.8784084320068</v>
      </c>
      <c r="F62" s="3">
        <v>1.17998695373535</v>
      </c>
      <c r="G62" s="3">
        <v>14.2843084335327</v>
      </c>
      <c r="H62" s="3">
        <v>640.751098632812</v>
      </c>
      <c r="I62" t="s">
        <v>26</v>
      </c>
    </row>
    <row r="63" spans="1:9">
      <c r="A63" t="s">
        <v>191</v>
      </c>
      <c r="B63" t="s">
        <v>192</v>
      </c>
      <c r="C63" t="s">
        <v>43</v>
      </c>
      <c r="D63" s="2">
        <f>1099821696/(10^6)</f>
        <v>1099.821696</v>
      </c>
      <c r="E63" s="3" t="s">
        <v>86</v>
      </c>
      <c r="F63" s="3">
        <v>0.569928705692291</v>
      </c>
      <c r="G63" s="3" t="s">
        <v>86</v>
      </c>
      <c r="H63" s="3" t="s">
        <v>86</v>
      </c>
      <c r="I63" t="s">
        <v>26</v>
      </c>
    </row>
    <row r="64" spans="1:9">
      <c r="A64" t="s">
        <v>193</v>
      </c>
      <c r="B64" t="s">
        <v>194</v>
      </c>
      <c r="C64" t="s">
        <v>33</v>
      </c>
      <c r="D64" s="2">
        <f>1086167168/(10^6)</f>
        <v>1086.167168</v>
      </c>
      <c r="E64" s="3">
        <v>5.06172180175781</v>
      </c>
      <c r="F64" s="3">
        <v>1.83954250812531</v>
      </c>
      <c r="G64" s="3">
        <v>2.02667355537415</v>
      </c>
      <c r="H64" s="3">
        <v>0.932975888252258</v>
      </c>
      <c r="I64" t="s">
        <v>26</v>
      </c>
    </row>
    <row r="65" spans="1:9">
      <c r="A65" t="s">
        <v>195</v>
      </c>
      <c r="B65" t="s">
        <v>196</v>
      </c>
      <c r="C65" t="s">
        <v>45</v>
      </c>
      <c r="D65" s="2">
        <f>1075860480/(10^6)</f>
        <v>1075.86048</v>
      </c>
      <c r="E65" s="3">
        <v>18.9797763824463</v>
      </c>
      <c r="F65" s="3">
        <v>1.26636445522308</v>
      </c>
      <c r="G65" s="3">
        <v>12.1730556488037</v>
      </c>
      <c r="H65" s="3">
        <v>22.107931137085</v>
      </c>
      <c r="I65" t="s">
        <v>26</v>
      </c>
    </row>
    <row r="66" spans="1:9">
      <c r="A66" t="s">
        <v>197</v>
      </c>
      <c r="B66" t="s">
        <v>198</v>
      </c>
      <c r="C66" t="s">
        <v>39</v>
      </c>
      <c r="D66" s="2">
        <f>1073957376/(10^6)</f>
        <v>1073.957376</v>
      </c>
      <c r="E66" s="3">
        <v>11.6135663986206</v>
      </c>
      <c r="F66" s="3">
        <v>0.882237136363983</v>
      </c>
      <c r="G66" s="3">
        <v>6.06233263015747</v>
      </c>
      <c r="H66" s="3">
        <v>72.7420349121094</v>
      </c>
      <c r="I66" t="s">
        <v>26</v>
      </c>
    </row>
    <row r="67" spans="1:9">
      <c r="A67" t="s">
        <v>199</v>
      </c>
      <c r="B67" t="s">
        <v>200</v>
      </c>
      <c r="C67" t="s">
        <v>37</v>
      </c>
      <c r="D67" s="2">
        <f>1072270720/(10^6)</f>
        <v>1072.27072</v>
      </c>
      <c r="E67" s="3">
        <v>10.7093296051025</v>
      </c>
      <c r="F67" s="3">
        <v>1.07737469673157</v>
      </c>
      <c r="G67" s="3">
        <v>0.710673272609711</v>
      </c>
      <c r="H67" s="3">
        <v>7.71516990661621</v>
      </c>
      <c r="I67" t="s">
        <v>26</v>
      </c>
    </row>
    <row r="68" spans="1:9">
      <c r="A68" t="s">
        <v>201</v>
      </c>
      <c r="B68" t="s">
        <v>202</v>
      </c>
      <c r="C68" t="s">
        <v>45</v>
      </c>
      <c r="D68" s="2">
        <f>1030680640/(10^6)</f>
        <v>1030.68064</v>
      </c>
      <c r="E68" s="3">
        <v>14.0664825439453</v>
      </c>
      <c r="F68" s="3">
        <v>1.11633133888245</v>
      </c>
      <c r="G68" s="3">
        <v>14.843602180481</v>
      </c>
      <c r="H68" s="3" t="s">
        <v>86</v>
      </c>
      <c r="I68" t="s">
        <v>26</v>
      </c>
    </row>
    <row r="69" spans="1:9">
      <c r="A69" t="s">
        <v>203</v>
      </c>
      <c r="B69" t="s">
        <v>204</v>
      </c>
      <c r="C69" t="s">
        <v>41</v>
      </c>
      <c r="D69" s="2">
        <f>1025264128/(10^6)</f>
        <v>1025.264128</v>
      </c>
      <c r="E69" s="3">
        <v>23.0794868469238</v>
      </c>
      <c r="F69" s="3">
        <v>2.63406801223755</v>
      </c>
      <c r="G69" s="3">
        <v>7.28546380996704</v>
      </c>
      <c r="H69" s="3">
        <v>40.072093963623</v>
      </c>
      <c r="I69" t="s">
        <v>26</v>
      </c>
    </row>
    <row r="70" spans="1:9">
      <c r="A70" t="s">
        <v>205</v>
      </c>
      <c r="B70" t="s">
        <v>206</v>
      </c>
      <c r="C70" t="s">
        <v>45</v>
      </c>
      <c r="D70" s="2">
        <f>979520064/(10^6)</f>
        <v>979.520064</v>
      </c>
      <c r="E70" s="3">
        <v>9.65446949005127</v>
      </c>
      <c r="F70" s="3">
        <v>1.06784248352051</v>
      </c>
      <c r="G70" s="3">
        <v>2.97438716888428</v>
      </c>
      <c r="H70" s="3">
        <v>21.7662525177002</v>
      </c>
      <c r="I70" t="s">
        <v>26</v>
      </c>
    </row>
    <row r="71" spans="1:9">
      <c r="A71" t="s">
        <v>207</v>
      </c>
      <c r="B71" t="s">
        <v>208</v>
      </c>
      <c r="C71" t="s">
        <v>43</v>
      </c>
      <c r="D71" s="2">
        <f>978865600/(10^6)</f>
        <v>978.8656</v>
      </c>
      <c r="E71" s="3">
        <v>5.30121421813965</v>
      </c>
      <c r="F71" s="3">
        <v>0.723272085189819</v>
      </c>
      <c r="G71" s="3">
        <v>1.24592578411102</v>
      </c>
      <c r="H71" s="3" t="s">
        <v>86</v>
      </c>
      <c r="I71" t="s">
        <v>26</v>
      </c>
    </row>
    <row r="72" spans="1:9">
      <c r="A72" t="s">
        <v>209</v>
      </c>
      <c r="B72" t="s">
        <v>210</v>
      </c>
      <c r="C72" t="s">
        <v>45</v>
      </c>
      <c r="D72" s="2">
        <f>977886080/(10^6)</f>
        <v>977.88608</v>
      </c>
      <c r="E72" s="3">
        <v>15.6094770431519</v>
      </c>
      <c r="F72" s="3">
        <v>1.14096939563751</v>
      </c>
      <c r="G72" s="3">
        <v>13.4295797348022</v>
      </c>
      <c r="H72" s="3" t="s">
        <v>86</v>
      </c>
      <c r="I72" t="s">
        <v>26</v>
      </c>
    </row>
    <row r="73" spans="1:9">
      <c r="A73" t="s">
        <v>211</v>
      </c>
      <c r="B73" t="s">
        <v>212</v>
      </c>
      <c r="C73" t="s">
        <v>35</v>
      </c>
      <c r="D73" s="2">
        <f>954294912/(10^6)</f>
        <v>954.294912</v>
      </c>
      <c r="E73" s="3">
        <v>18.3985328674316</v>
      </c>
      <c r="F73" s="3">
        <v>3.73683929443359</v>
      </c>
      <c r="G73" s="3">
        <v>4.03862476348877</v>
      </c>
      <c r="H73" s="3">
        <v>11.9102144241333</v>
      </c>
      <c r="I73" t="s">
        <v>26</v>
      </c>
    </row>
    <row r="74" spans="1:9">
      <c r="A74" t="s">
        <v>213</v>
      </c>
      <c r="B74" t="s">
        <v>214</v>
      </c>
      <c r="C74" t="s">
        <v>41</v>
      </c>
      <c r="D74" s="2">
        <f>885851392/(10^6)</f>
        <v>885.851392</v>
      </c>
      <c r="E74" s="3">
        <v>24.7492237091064</v>
      </c>
      <c r="F74" s="3">
        <v>4.51014280319214</v>
      </c>
      <c r="G74" s="3">
        <v>3.17318224906921</v>
      </c>
      <c r="H74" s="3">
        <v>14.3667039871216</v>
      </c>
      <c r="I74" t="s">
        <v>26</v>
      </c>
    </row>
    <row r="75" spans="1:9">
      <c r="A75" t="s">
        <v>215</v>
      </c>
      <c r="B75" t="s">
        <v>216</v>
      </c>
      <c r="C75" t="s">
        <v>45</v>
      </c>
      <c r="D75" s="2">
        <f>876812608/(10^6)</f>
        <v>876.812608</v>
      </c>
      <c r="E75" s="3">
        <v>5.71849966049194</v>
      </c>
      <c r="F75" s="3">
        <v>0.832129240036011</v>
      </c>
      <c r="G75" s="3">
        <v>1.31000328063965</v>
      </c>
      <c r="H75" s="3">
        <v>6.15197372436523</v>
      </c>
      <c r="I75" t="s">
        <v>26</v>
      </c>
    </row>
    <row r="76" spans="1:9">
      <c r="A76" t="s">
        <v>217</v>
      </c>
      <c r="B76" t="s">
        <v>218</v>
      </c>
      <c r="C76" t="s">
        <v>27</v>
      </c>
      <c r="D76" s="2">
        <f>815849152/(10^6)</f>
        <v>815.849152</v>
      </c>
      <c r="E76" s="3" t="s">
        <v>86</v>
      </c>
      <c r="F76" s="3">
        <v>0.364650905132294</v>
      </c>
      <c r="G76" s="3">
        <v>0.306038290262222</v>
      </c>
      <c r="H76" s="3">
        <v>9.91010761260986</v>
      </c>
      <c r="I76" t="s">
        <v>26</v>
      </c>
    </row>
    <row r="77" spans="1:9">
      <c r="A77" t="s">
        <v>219</v>
      </c>
      <c r="B77" t="s">
        <v>220</v>
      </c>
      <c r="C77" t="s">
        <v>37</v>
      </c>
      <c r="D77" s="2">
        <f>811350784/(10^6)</f>
        <v>811.350784</v>
      </c>
      <c r="E77" s="3">
        <v>8.34889984130859</v>
      </c>
      <c r="F77" s="3">
        <v>1.95225059986115</v>
      </c>
      <c r="G77" s="3">
        <v>0.709107339382172</v>
      </c>
      <c r="H77" s="3">
        <v>6.95763921737671</v>
      </c>
      <c r="I77" t="s">
        <v>26</v>
      </c>
    </row>
    <row r="78" spans="1:9">
      <c r="A78" t="s">
        <v>221</v>
      </c>
      <c r="B78" t="s">
        <v>222</v>
      </c>
      <c r="C78" t="s">
        <v>43</v>
      </c>
      <c r="D78" s="2">
        <f>800350208/(10^6)</f>
        <v>800.350208</v>
      </c>
      <c r="E78" s="3">
        <v>84.7560958862305</v>
      </c>
      <c r="F78" s="3">
        <v>17.2683582305908</v>
      </c>
      <c r="G78" s="3">
        <v>1.10356855392456</v>
      </c>
      <c r="H78" s="3" t="s">
        <v>86</v>
      </c>
      <c r="I78" t="s">
        <v>26</v>
      </c>
    </row>
    <row r="79" spans="1:9">
      <c r="A79" t="s">
        <v>223</v>
      </c>
      <c r="B79" t="s">
        <v>224</v>
      </c>
      <c r="C79" t="s">
        <v>39</v>
      </c>
      <c r="D79" s="2">
        <f>785286208/(10^6)</f>
        <v>785.286208</v>
      </c>
      <c r="E79" s="3">
        <v>27.3333320617676</v>
      </c>
      <c r="F79" s="3">
        <v>2.31936097145081</v>
      </c>
      <c r="G79" s="3">
        <v>4.40827035903931</v>
      </c>
      <c r="H79" s="3">
        <v>15.4479722976685</v>
      </c>
      <c r="I79" t="s">
        <v>26</v>
      </c>
    </row>
    <row r="80" spans="1:9">
      <c r="A80" t="s">
        <v>225</v>
      </c>
      <c r="B80" t="s">
        <v>226</v>
      </c>
      <c r="C80" t="s">
        <v>31</v>
      </c>
      <c r="D80" s="2">
        <f>772900416/(10^6)</f>
        <v>772.900416</v>
      </c>
      <c r="E80" s="3">
        <v>14.1747760772705</v>
      </c>
      <c r="F80" s="3">
        <v>0.921380043029785</v>
      </c>
      <c r="G80" s="3">
        <v>1.09688353538513</v>
      </c>
      <c r="H80" s="3">
        <v>102.027244567871</v>
      </c>
      <c r="I80" t="s">
        <v>26</v>
      </c>
    </row>
    <row r="81" spans="1:9">
      <c r="A81" t="s">
        <v>227</v>
      </c>
      <c r="B81" t="s">
        <v>228</v>
      </c>
      <c r="C81" t="s">
        <v>39</v>
      </c>
      <c r="D81" s="2">
        <f>766559488/(10^6)</f>
        <v>766.559488</v>
      </c>
      <c r="E81" s="3">
        <v>5.51094913482666</v>
      </c>
      <c r="F81" s="3">
        <v>0.935731887817383</v>
      </c>
      <c r="G81" s="3">
        <v>2.3997278213501</v>
      </c>
      <c r="H81" s="3">
        <v>5.45680046081543</v>
      </c>
      <c r="I81" t="s">
        <v>26</v>
      </c>
    </row>
    <row r="82" spans="1:9">
      <c r="A82" t="s">
        <v>229</v>
      </c>
      <c r="B82" t="s">
        <v>230</v>
      </c>
      <c r="C82" t="s">
        <v>43</v>
      </c>
      <c r="D82" s="2">
        <f>738784256/(10^6)</f>
        <v>738.784256</v>
      </c>
      <c r="E82" s="3">
        <v>6.45650100708008</v>
      </c>
      <c r="F82" s="3">
        <v>1.2121068239212</v>
      </c>
      <c r="G82" s="3">
        <v>1.07496750354767</v>
      </c>
      <c r="H82" s="3">
        <v>11.6584310531616</v>
      </c>
      <c r="I82" t="s">
        <v>26</v>
      </c>
    </row>
    <row r="83" spans="1:9">
      <c r="A83" t="s">
        <v>231</v>
      </c>
      <c r="B83" t="s">
        <v>232</v>
      </c>
      <c r="C83" t="s">
        <v>39</v>
      </c>
      <c r="D83" s="2">
        <f>728443968/(10^6)</f>
        <v>728.443968</v>
      </c>
      <c r="E83" s="3">
        <v>13.1850109100342</v>
      </c>
      <c r="F83" s="3">
        <v>1.53406715393066</v>
      </c>
      <c r="G83" s="3">
        <v>6.93885231018066</v>
      </c>
      <c r="H83" s="3">
        <v>16.2935523986816</v>
      </c>
      <c r="I83" t="s">
        <v>26</v>
      </c>
    </row>
    <row r="84" spans="1:9">
      <c r="A84" t="s">
        <v>233</v>
      </c>
      <c r="B84" t="s">
        <v>234</v>
      </c>
      <c r="C84" t="s">
        <v>39</v>
      </c>
      <c r="D84" s="2">
        <f>721947904/(10^6)</f>
        <v>721.947904</v>
      </c>
      <c r="E84" s="3">
        <v>29.28737449646</v>
      </c>
      <c r="F84" s="3">
        <v>0.987317740917206</v>
      </c>
      <c r="G84" s="3">
        <v>2.61075139045715</v>
      </c>
      <c r="H84" s="3">
        <v>16.8791065216064</v>
      </c>
      <c r="I84" t="s">
        <v>26</v>
      </c>
    </row>
    <row r="85" spans="1:9">
      <c r="A85" t="s">
        <v>235</v>
      </c>
      <c r="B85" t="s">
        <v>236</v>
      </c>
      <c r="C85" t="s">
        <v>41</v>
      </c>
      <c r="D85" s="2">
        <f>720869760/(10^6)</f>
        <v>720.86976</v>
      </c>
      <c r="E85" s="3">
        <v>32.7373046875</v>
      </c>
      <c r="F85" s="3">
        <v>6.23908138275146</v>
      </c>
      <c r="G85" s="3">
        <v>4.47188138961792</v>
      </c>
      <c r="H85" s="3">
        <v>20.3584213256836</v>
      </c>
      <c r="I85" t="s">
        <v>26</v>
      </c>
    </row>
    <row r="86" spans="1:9">
      <c r="A86" t="s">
        <v>237</v>
      </c>
      <c r="B86" t="s">
        <v>238</v>
      </c>
      <c r="C86" t="s">
        <v>43</v>
      </c>
      <c r="D86" s="2">
        <f>717299072/(10^6)</f>
        <v>717.299072</v>
      </c>
      <c r="E86" s="3">
        <v>9.46878147125244</v>
      </c>
      <c r="F86" s="3">
        <v>0.748167097568512</v>
      </c>
      <c r="G86" s="3">
        <v>1.44721853733063</v>
      </c>
      <c r="H86" s="3" t="s">
        <v>86</v>
      </c>
      <c r="I86" t="s">
        <v>26</v>
      </c>
    </row>
    <row r="87" spans="1:9">
      <c r="A87" t="s">
        <v>239</v>
      </c>
      <c r="B87" t="s">
        <v>240</v>
      </c>
      <c r="C87" t="s">
        <v>49</v>
      </c>
      <c r="D87" s="2">
        <f>702511104/(10^6)</f>
        <v>702.511104</v>
      </c>
      <c r="E87" s="3">
        <v>22.9833164215088</v>
      </c>
      <c r="F87" s="3">
        <v>1.10617411136627</v>
      </c>
      <c r="G87" s="3" t="s">
        <v>86</v>
      </c>
      <c r="H87" s="3" t="s">
        <v>86</v>
      </c>
      <c r="I87" t="s">
        <v>26</v>
      </c>
    </row>
    <row r="88" spans="1:9">
      <c r="A88" t="s">
        <v>241</v>
      </c>
      <c r="B88" t="s">
        <v>242</v>
      </c>
      <c r="C88" t="s">
        <v>45</v>
      </c>
      <c r="D88" s="2">
        <f>700703168/(10^6)</f>
        <v>700.703168</v>
      </c>
      <c r="E88" s="3">
        <v>6.24378299713135</v>
      </c>
      <c r="F88" s="3">
        <v>0.808691382408142</v>
      </c>
      <c r="G88" s="3">
        <v>1.69754934310913</v>
      </c>
      <c r="H88" s="3">
        <v>10.1348266601562</v>
      </c>
      <c r="I88" t="s">
        <v>26</v>
      </c>
    </row>
    <row r="89" spans="1:9">
      <c r="A89" t="s">
        <v>243</v>
      </c>
      <c r="B89" t="s">
        <v>244</v>
      </c>
      <c r="C89" t="s">
        <v>45</v>
      </c>
      <c r="D89" s="2">
        <f>653743680/(10^6)</f>
        <v>653.74368</v>
      </c>
      <c r="E89" s="3">
        <v>15.894775390625</v>
      </c>
      <c r="F89" s="3">
        <v>1.29794704914093</v>
      </c>
      <c r="G89" s="3">
        <v>8.53264045715332</v>
      </c>
      <c r="H89" s="3" t="s">
        <v>86</v>
      </c>
      <c r="I89" t="s">
        <v>26</v>
      </c>
    </row>
    <row r="90" spans="1:9">
      <c r="A90" t="s">
        <v>245</v>
      </c>
      <c r="B90" t="s">
        <v>246</v>
      </c>
      <c r="C90" t="s">
        <v>37</v>
      </c>
      <c r="D90" s="2">
        <f>652773056/(10^6)</f>
        <v>652.773056</v>
      </c>
      <c r="E90" s="3">
        <v>15.3044347763062</v>
      </c>
      <c r="F90" s="3">
        <v>0.464967429637909</v>
      </c>
      <c r="G90" s="3">
        <v>0.557270884513855</v>
      </c>
      <c r="H90" s="3">
        <v>10.5718908309937</v>
      </c>
      <c r="I90" t="s">
        <v>26</v>
      </c>
    </row>
    <row r="91" spans="1:9">
      <c r="A91" t="s">
        <v>247</v>
      </c>
      <c r="B91" t="s">
        <v>248</v>
      </c>
      <c r="C91" t="s">
        <v>43</v>
      </c>
      <c r="D91" s="2">
        <f>617035072/(10^6)</f>
        <v>617.035072</v>
      </c>
      <c r="E91" s="3">
        <v>4.55283880233765</v>
      </c>
      <c r="F91" s="3">
        <v>0.451859086751938</v>
      </c>
      <c r="G91" s="3">
        <v>0.408541589975357</v>
      </c>
      <c r="H91" s="3" t="s">
        <v>86</v>
      </c>
      <c r="I91" t="s">
        <v>26</v>
      </c>
    </row>
    <row r="92" spans="1:9">
      <c r="A92" t="s">
        <v>249</v>
      </c>
      <c r="B92" t="s">
        <v>250</v>
      </c>
      <c r="C92" t="s">
        <v>45</v>
      </c>
      <c r="D92" s="2">
        <f>606521856/(10^6)</f>
        <v>606.521856</v>
      </c>
      <c r="E92" s="3">
        <v>3.64716172218323</v>
      </c>
      <c r="F92" s="3">
        <v>0.455029666423798</v>
      </c>
      <c r="G92" s="3">
        <v>0.491088330745697</v>
      </c>
      <c r="H92" s="3">
        <v>6.4024715423584</v>
      </c>
      <c r="I92" t="s">
        <v>26</v>
      </c>
    </row>
    <row r="93" spans="1:9">
      <c r="A93" t="s">
        <v>251</v>
      </c>
      <c r="B93" t="s">
        <v>252</v>
      </c>
      <c r="C93" t="s">
        <v>37</v>
      </c>
      <c r="D93" s="2">
        <f>606116416/(10^6)</f>
        <v>606.116416</v>
      </c>
      <c r="E93" s="3">
        <v>5.36400508880615</v>
      </c>
      <c r="F93" s="3">
        <v>0.889979898929596</v>
      </c>
      <c r="G93" s="3">
        <v>1.0446662902832</v>
      </c>
      <c r="H93" s="3">
        <v>2.10709714889526</v>
      </c>
      <c r="I93" t="s">
        <v>26</v>
      </c>
    </row>
    <row r="94" spans="1:9">
      <c r="A94" t="s">
        <v>253</v>
      </c>
      <c r="B94" t="s">
        <v>254</v>
      </c>
      <c r="C94" t="s">
        <v>27</v>
      </c>
      <c r="D94" s="2">
        <f>602861312/(10^6)</f>
        <v>602.861312</v>
      </c>
      <c r="E94" s="3">
        <v>11.3903408050537</v>
      </c>
      <c r="F94" s="3">
        <v>0.384249806404114</v>
      </c>
      <c r="G94" s="3">
        <v>0.104080677032471</v>
      </c>
      <c r="H94" s="3">
        <v>8.30890083312988</v>
      </c>
      <c r="I94" t="s">
        <v>26</v>
      </c>
    </row>
    <row r="95" spans="1:9">
      <c r="A95" t="s">
        <v>255</v>
      </c>
      <c r="B95" t="s">
        <v>256</v>
      </c>
      <c r="C95" t="s">
        <v>43</v>
      </c>
      <c r="D95" s="2">
        <f>601745600/(10^6)</f>
        <v>601.7456</v>
      </c>
      <c r="E95" s="3">
        <v>39.3491096496582</v>
      </c>
      <c r="F95" s="3">
        <v>26.8322925567627</v>
      </c>
      <c r="G95" s="3">
        <v>7.35742950439453</v>
      </c>
      <c r="H95" s="3">
        <v>32.6870880126953</v>
      </c>
      <c r="I95" t="s">
        <v>26</v>
      </c>
    </row>
    <row r="96" spans="1:9">
      <c r="A96" t="s">
        <v>257</v>
      </c>
      <c r="B96" t="s">
        <v>258</v>
      </c>
      <c r="C96" t="s">
        <v>47</v>
      </c>
      <c r="D96" s="2">
        <f>599448768/(10^6)</f>
        <v>599.448768</v>
      </c>
      <c r="E96" s="3">
        <v>11.1729412078857</v>
      </c>
      <c r="F96" s="3">
        <v>1.42205905914307</v>
      </c>
      <c r="G96" s="3">
        <v>0.937438547611237</v>
      </c>
      <c r="H96" s="3">
        <v>5.89925861358643</v>
      </c>
      <c r="I96" t="s">
        <v>26</v>
      </c>
    </row>
    <row r="97" spans="1:9">
      <c r="A97" t="s">
        <v>259</v>
      </c>
      <c r="B97" t="s">
        <v>260</v>
      </c>
      <c r="C97" t="s">
        <v>45</v>
      </c>
      <c r="D97" s="2">
        <f>597157440/(10^6)</f>
        <v>597.15744</v>
      </c>
      <c r="E97" s="3">
        <v>6.66656923294067</v>
      </c>
      <c r="F97" s="3">
        <v>0.725900709629059</v>
      </c>
      <c r="G97" s="3">
        <v>1.82591962814331</v>
      </c>
      <c r="H97" s="3">
        <v>20.7366390228271</v>
      </c>
      <c r="I97" t="s">
        <v>26</v>
      </c>
    </row>
    <row r="98" spans="1:9">
      <c r="A98" t="s">
        <v>261</v>
      </c>
      <c r="B98" t="s">
        <v>262</v>
      </c>
      <c r="C98" t="s">
        <v>41</v>
      </c>
      <c r="D98" s="2">
        <f>587387264/(10^6)</f>
        <v>587.387264</v>
      </c>
      <c r="E98" s="3">
        <v>16.5000858306885</v>
      </c>
      <c r="F98" s="3">
        <v>3.00386452674866</v>
      </c>
      <c r="G98" s="3">
        <v>1.6747225522995</v>
      </c>
      <c r="H98" s="3">
        <v>11.649808883667</v>
      </c>
      <c r="I98" t="s">
        <v>26</v>
      </c>
    </row>
    <row r="99" spans="1:9">
      <c r="A99" t="s">
        <v>263</v>
      </c>
      <c r="B99" t="s">
        <v>264</v>
      </c>
      <c r="C99" t="s">
        <v>27</v>
      </c>
      <c r="D99" s="2">
        <f>568294656/(10^6)</f>
        <v>568.294656</v>
      </c>
      <c r="E99" s="3" t="s">
        <v>86</v>
      </c>
      <c r="F99" s="3">
        <v>0.555405020713806</v>
      </c>
      <c r="G99" s="3">
        <v>0.106831215322018</v>
      </c>
      <c r="H99" s="3" t="s">
        <v>86</v>
      </c>
      <c r="I99" t="s">
        <v>26</v>
      </c>
    </row>
    <row r="100" spans="1:9">
      <c r="A100" t="s">
        <v>265</v>
      </c>
      <c r="B100" t="s">
        <v>266</v>
      </c>
      <c r="C100" t="s">
        <v>31</v>
      </c>
      <c r="D100" s="2">
        <f>554095360/(10^6)</f>
        <v>554.09536</v>
      </c>
      <c r="E100" s="3">
        <v>8.79656219482422</v>
      </c>
      <c r="F100" s="3">
        <v>1.72472965717316</v>
      </c>
      <c r="G100" s="3">
        <v>2.68145060539246</v>
      </c>
      <c r="H100" s="3">
        <v>9.84746646881104</v>
      </c>
      <c r="I100" t="s">
        <v>26</v>
      </c>
    </row>
    <row r="101" spans="1:9">
      <c r="A101" t="s">
        <v>267</v>
      </c>
      <c r="B101" t="s">
        <v>268</v>
      </c>
      <c r="C101" t="s">
        <v>43</v>
      </c>
      <c r="D101" s="2">
        <f>550932288/(10^6)</f>
        <v>550.932288</v>
      </c>
      <c r="E101" s="3">
        <v>5.67215013504028</v>
      </c>
      <c r="F101" s="3">
        <v>0.442583084106445</v>
      </c>
      <c r="G101" s="3">
        <v>1.48451447486877</v>
      </c>
      <c r="H101" s="3" t="s">
        <v>86</v>
      </c>
      <c r="I101" t="s">
        <v>26</v>
      </c>
    </row>
    <row r="102" spans="1:9">
      <c r="A102" t="s">
        <v>269</v>
      </c>
      <c r="B102" t="s">
        <v>270</v>
      </c>
      <c r="C102" t="s">
        <v>47</v>
      </c>
      <c r="D102" s="2">
        <f>547542528/(10^6)</f>
        <v>547.542528</v>
      </c>
      <c r="E102" s="3">
        <v>14.6932201385498</v>
      </c>
      <c r="F102" s="3">
        <v>5.33524370193481</v>
      </c>
      <c r="G102" s="3">
        <v>0.539528548717499</v>
      </c>
      <c r="H102" s="3">
        <v>10.9242334365845</v>
      </c>
      <c r="I102" t="s">
        <v>26</v>
      </c>
    </row>
    <row r="103" spans="1:9">
      <c r="A103" t="s">
        <v>271</v>
      </c>
      <c r="B103" t="s">
        <v>272</v>
      </c>
      <c r="C103" t="s">
        <v>41</v>
      </c>
      <c r="D103" s="2">
        <f>544314432/(10^6)</f>
        <v>544.314432</v>
      </c>
      <c r="E103" s="3">
        <v>22.0433368682861</v>
      </c>
      <c r="F103" s="3">
        <v>2.29916381835938</v>
      </c>
      <c r="G103" s="3">
        <v>2.72533464431763</v>
      </c>
      <c r="H103" s="3">
        <v>19.8962326049805</v>
      </c>
      <c r="I103" t="s">
        <v>26</v>
      </c>
    </row>
    <row r="104" spans="1:9">
      <c r="A104" t="s">
        <v>273</v>
      </c>
      <c r="B104" t="s">
        <v>274</v>
      </c>
      <c r="C104" t="s">
        <v>45</v>
      </c>
      <c r="D104" s="2">
        <f>540813760/(10^6)</f>
        <v>540.81376</v>
      </c>
      <c r="E104" s="3">
        <v>8.40215301513672</v>
      </c>
      <c r="F104" s="3">
        <v>0.999892234802246</v>
      </c>
      <c r="G104" s="3">
        <v>1.04866814613342</v>
      </c>
      <c r="H104" s="3">
        <v>11.2919006347656</v>
      </c>
      <c r="I104" t="s">
        <v>26</v>
      </c>
    </row>
    <row r="105" spans="1:9">
      <c r="A105" t="s">
        <v>275</v>
      </c>
      <c r="B105" t="s">
        <v>276</v>
      </c>
      <c r="C105" t="s">
        <v>35</v>
      </c>
      <c r="D105" s="2">
        <f>537340672/(10^6)</f>
        <v>537.340672</v>
      </c>
      <c r="E105" s="3">
        <v>12.3464345932007</v>
      </c>
      <c r="F105" s="3">
        <v>2.01577615737915</v>
      </c>
      <c r="G105" s="3">
        <v>0.74047976732254</v>
      </c>
      <c r="H105" s="3">
        <v>8.17784976959229</v>
      </c>
      <c r="I105" t="s">
        <v>26</v>
      </c>
    </row>
    <row r="106" spans="1:9">
      <c r="A106" t="s">
        <v>277</v>
      </c>
      <c r="B106" t="s">
        <v>278</v>
      </c>
      <c r="C106" t="s">
        <v>31</v>
      </c>
      <c r="D106" s="2">
        <f>532421248/(10^6)</f>
        <v>532.421248</v>
      </c>
      <c r="E106" s="3">
        <v>11.3863945007324</v>
      </c>
      <c r="F106" s="3">
        <v>1.18806731700897</v>
      </c>
      <c r="G106" s="3">
        <v>0.517740190029144</v>
      </c>
      <c r="H106" s="3">
        <v>5.46425151824951</v>
      </c>
      <c r="I106" t="s">
        <v>26</v>
      </c>
    </row>
    <row r="107" spans="1:9">
      <c r="A107" t="s">
        <v>279</v>
      </c>
      <c r="B107" t="s">
        <v>280</v>
      </c>
      <c r="C107" t="s">
        <v>51</v>
      </c>
      <c r="D107" s="2">
        <f>529930976/(10^6)</f>
        <v>529.930976</v>
      </c>
      <c r="E107" s="3">
        <v>9.3173656463623</v>
      </c>
      <c r="F107" s="3">
        <v>0.82267951965332</v>
      </c>
      <c r="G107" s="3">
        <v>0.829184949398041</v>
      </c>
      <c r="H107" s="3">
        <v>3.62780857086182</v>
      </c>
      <c r="I107" t="s">
        <v>26</v>
      </c>
    </row>
    <row r="108" spans="1:9">
      <c r="A108" t="s">
        <v>281</v>
      </c>
      <c r="B108" t="s">
        <v>282</v>
      </c>
      <c r="C108" t="s">
        <v>45</v>
      </c>
      <c r="D108" s="2">
        <f>521869504/(10^6)</f>
        <v>521.869504</v>
      </c>
      <c r="E108" s="3">
        <v>11.7983961105347</v>
      </c>
      <c r="F108" s="3">
        <v>0.620873987674713</v>
      </c>
      <c r="G108" s="3">
        <v>0.778553545475006</v>
      </c>
      <c r="H108" s="3">
        <v>11.5056638717651</v>
      </c>
      <c r="I108" t="s">
        <v>26</v>
      </c>
    </row>
    <row r="109" spans="1:9">
      <c r="A109" t="s">
        <v>283</v>
      </c>
      <c r="B109" t="s">
        <v>284</v>
      </c>
      <c r="C109" t="s">
        <v>43</v>
      </c>
      <c r="D109" s="2">
        <f>518685024/(10^6)</f>
        <v>518.685024</v>
      </c>
      <c r="E109" s="3">
        <v>9.71241760253906</v>
      </c>
      <c r="F109" s="3">
        <v>0.370635539293289</v>
      </c>
      <c r="G109" s="3">
        <v>0.711932837963104</v>
      </c>
      <c r="H109" s="3" t="s">
        <v>86</v>
      </c>
      <c r="I109" t="s">
        <v>26</v>
      </c>
    </row>
    <row r="110" spans="1:9">
      <c r="A110" t="s">
        <v>285</v>
      </c>
      <c r="B110" t="s">
        <v>286</v>
      </c>
      <c r="C110" t="s">
        <v>35</v>
      </c>
      <c r="D110" s="2">
        <f>508296320/(10^6)</f>
        <v>508.29632</v>
      </c>
      <c r="E110" s="3">
        <v>11.164698600769</v>
      </c>
      <c r="F110" s="3">
        <v>1.52058613300324</v>
      </c>
      <c r="G110" s="3">
        <v>0.511963248252869</v>
      </c>
      <c r="H110" s="3">
        <v>7.24305534362793</v>
      </c>
      <c r="I110" t="s">
        <v>26</v>
      </c>
    </row>
    <row r="111" spans="1:9">
      <c r="A111" t="s">
        <v>287</v>
      </c>
      <c r="B111" t="s">
        <v>288</v>
      </c>
      <c r="C111" t="s">
        <v>47</v>
      </c>
      <c r="D111" s="2">
        <f>489186976/(10^6)</f>
        <v>489.186976</v>
      </c>
      <c r="E111" s="3" t="s">
        <v>86</v>
      </c>
      <c r="F111" s="3">
        <v>0.706894159317017</v>
      </c>
      <c r="G111" s="3">
        <v>0.282810181379318</v>
      </c>
      <c r="H111" s="3">
        <v>17.0737342834473</v>
      </c>
      <c r="I111" t="s">
        <v>26</v>
      </c>
    </row>
    <row r="112" spans="1:9">
      <c r="A112" t="s">
        <v>289</v>
      </c>
      <c r="B112" t="s">
        <v>290</v>
      </c>
      <c r="C112" t="s">
        <v>41</v>
      </c>
      <c r="D112" s="2">
        <f>487356448/(10^6)</f>
        <v>487.356448</v>
      </c>
      <c r="E112" s="3">
        <v>31.8181819915771</v>
      </c>
      <c r="F112" s="3">
        <v>1.79117262363434</v>
      </c>
      <c r="G112" s="3">
        <v>1.80498206615448</v>
      </c>
      <c r="H112" s="3">
        <v>16.654125213623</v>
      </c>
      <c r="I112" t="s">
        <v>26</v>
      </c>
    </row>
    <row r="113" spans="1:9">
      <c r="A113" t="s">
        <v>291</v>
      </c>
      <c r="B113" t="s">
        <v>292</v>
      </c>
      <c r="C113" t="s">
        <v>47</v>
      </c>
      <c r="D113" s="2">
        <f>480722720/(10^6)</f>
        <v>480.72272</v>
      </c>
      <c r="E113" s="3">
        <v>9.74880313873291</v>
      </c>
      <c r="F113" s="3">
        <v>2.28611516952515</v>
      </c>
      <c r="G113" s="3">
        <v>0.126613512635231</v>
      </c>
      <c r="H113" s="3">
        <v>4.11064004898071</v>
      </c>
      <c r="I113" t="s">
        <v>26</v>
      </c>
    </row>
    <row r="114" spans="1:9">
      <c r="A114" t="s">
        <v>293</v>
      </c>
      <c r="B114" t="s">
        <v>294</v>
      </c>
      <c r="C114" t="s">
        <v>51</v>
      </c>
      <c r="D114" s="2">
        <f>477665152/(10^6)</f>
        <v>477.665152</v>
      </c>
      <c r="E114" s="3">
        <v>15.9067077636719</v>
      </c>
      <c r="F114" s="3">
        <v>1.28170573711395</v>
      </c>
      <c r="G114" s="3">
        <v>1.24091124534607</v>
      </c>
      <c r="H114" s="3">
        <v>8.57483386993408</v>
      </c>
      <c r="I114" t="s">
        <v>26</v>
      </c>
    </row>
    <row r="115" spans="1:9">
      <c r="A115" t="s">
        <v>295</v>
      </c>
      <c r="B115" t="s">
        <v>296</v>
      </c>
      <c r="C115" t="s">
        <v>39</v>
      </c>
      <c r="D115" s="2">
        <f>468534688/(10^6)</f>
        <v>468.534688</v>
      </c>
      <c r="E115" s="3">
        <v>7.2857141494751</v>
      </c>
      <c r="F115" s="3">
        <v>1.1509473323822</v>
      </c>
      <c r="G115" s="3">
        <v>8.40275573730469</v>
      </c>
      <c r="H115" s="3">
        <v>35.6956634521484</v>
      </c>
      <c r="I115" t="s">
        <v>26</v>
      </c>
    </row>
    <row r="116" spans="1:9">
      <c r="A116" t="s">
        <v>297</v>
      </c>
      <c r="B116" t="s">
        <v>298</v>
      </c>
      <c r="C116" t="s">
        <v>39</v>
      </c>
      <c r="D116" s="2">
        <f>466179328/(10^6)</f>
        <v>466.179328</v>
      </c>
      <c r="E116" s="3">
        <v>14.2794256210327</v>
      </c>
      <c r="F116" s="3">
        <v>1.38904643058777</v>
      </c>
      <c r="G116" s="3">
        <v>3.21719098091125</v>
      </c>
      <c r="H116" s="3">
        <v>9.63307285308838</v>
      </c>
      <c r="I116" t="s">
        <v>26</v>
      </c>
    </row>
    <row r="117" spans="1:9">
      <c r="A117" t="s">
        <v>299</v>
      </c>
      <c r="B117" t="s">
        <v>300</v>
      </c>
      <c r="C117" t="s">
        <v>43</v>
      </c>
      <c r="D117" s="2">
        <f>462453344/(10^6)</f>
        <v>462.453344</v>
      </c>
      <c r="E117" s="3">
        <v>7.58180284500122</v>
      </c>
      <c r="F117" s="3">
        <v>1.96863186359406</v>
      </c>
      <c r="G117" s="3">
        <v>3.56321096420288</v>
      </c>
      <c r="H117" s="3">
        <v>16.2703437805176</v>
      </c>
      <c r="I117" t="s">
        <v>26</v>
      </c>
    </row>
    <row r="118" spans="1:9">
      <c r="A118" t="s">
        <v>301</v>
      </c>
      <c r="B118" t="s">
        <v>302</v>
      </c>
      <c r="C118" t="s">
        <v>47</v>
      </c>
      <c r="D118" s="2">
        <f>447175040/(10^6)</f>
        <v>447.17504</v>
      </c>
      <c r="E118" s="3">
        <v>8.5234842300415</v>
      </c>
      <c r="F118" s="3">
        <v>0.801341772079468</v>
      </c>
      <c r="G118" s="3">
        <v>0.442789107561111</v>
      </c>
      <c r="H118" s="3">
        <v>6.0511360168457</v>
      </c>
      <c r="I118" t="s">
        <v>26</v>
      </c>
    </row>
    <row r="119" spans="1:9">
      <c r="A119" t="s">
        <v>303</v>
      </c>
      <c r="B119" t="s">
        <v>304</v>
      </c>
      <c r="C119" t="s">
        <v>45</v>
      </c>
      <c r="D119" s="2">
        <f>445861856/(10^6)</f>
        <v>445.861856</v>
      </c>
      <c r="E119" s="3">
        <v>12.2019643783569</v>
      </c>
      <c r="F119" s="3">
        <v>1.13396656513214</v>
      </c>
      <c r="G119" s="3">
        <v>9.17142009735107</v>
      </c>
      <c r="H119" s="3">
        <v>12.6121206283569</v>
      </c>
      <c r="I119" t="s">
        <v>26</v>
      </c>
    </row>
    <row r="120" spans="1:9">
      <c r="A120" t="s">
        <v>305</v>
      </c>
      <c r="B120" t="s">
        <v>306</v>
      </c>
      <c r="C120" t="s">
        <v>27</v>
      </c>
      <c r="D120" s="2">
        <f>433365344/(10^6)</f>
        <v>433.365344</v>
      </c>
      <c r="E120" s="3">
        <v>10.2761163711548</v>
      </c>
      <c r="F120" s="3">
        <v>1.26058554649353</v>
      </c>
      <c r="G120" s="3">
        <v>0.208251595497131</v>
      </c>
      <c r="H120" s="3">
        <v>8.90270042419434</v>
      </c>
      <c r="I120" t="s">
        <v>26</v>
      </c>
    </row>
    <row r="121" spans="1:9">
      <c r="A121" t="s">
        <v>307</v>
      </c>
      <c r="B121" t="s">
        <v>308</v>
      </c>
      <c r="C121" t="s">
        <v>45</v>
      </c>
      <c r="D121" s="2">
        <f>430819360/(10^6)</f>
        <v>430.81936</v>
      </c>
      <c r="E121" s="3">
        <v>8.49924564361572</v>
      </c>
      <c r="F121" s="3">
        <v>0.303596079349518</v>
      </c>
      <c r="G121" s="3">
        <v>1.93705070018768</v>
      </c>
      <c r="H121" s="3" t="s">
        <v>86</v>
      </c>
      <c r="I121" t="s">
        <v>26</v>
      </c>
    </row>
    <row r="122" spans="1:9">
      <c r="A122" t="s">
        <v>309</v>
      </c>
      <c r="B122" t="s">
        <v>310</v>
      </c>
      <c r="C122" t="s">
        <v>39</v>
      </c>
      <c r="D122" s="2">
        <f>423538784/(10^6)</f>
        <v>423.538784</v>
      </c>
      <c r="E122" s="3">
        <v>5.11611366271973</v>
      </c>
      <c r="F122" s="3">
        <v>0.986901044845581</v>
      </c>
      <c r="G122" s="3">
        <v>2.59902024269104</v>
      </c>
      <c r="H122" s="3">
        <v>4.51884126663208</v>
      </c>
      <c r="I122" t="s">
        <v>26</v>
      </c>
    </row>
    <row r="123" spans="1:9">
      <c r="A123" t="s">
        <v>311</v>
      </c>
      <c r="B123" t="s">
        <v>312</v>
      </c>
      <c r="C123" t="s">
        <v>27</v>
      </c>
      <c r="D123" s="2">
        <f>409092384/(10^6)</f>
        <v>409.092384</v>
      </c>
      <c r="E123" s="3" t="s">
        <v>86</v>
      </c>
      <c r="F123" s="3">
        <v>0.601058125495911</v>
      </c>
      <c r="G123" s="3">
        <v>0.078478440642357</v>
      </c>
      <c r="H123" s="3" t="s">
        <v>86</v>
      </c>
      <c r="I123" t="s">
        <v>26</v>
      </c>
    </row>
    <row r="124" spans="1:9">
      <c r="A124" t="s">
        <v>313</v>
      </c>
      <c r="B124" t="s">
        <v>314</v>
      </c>
      <c r="C124" t="s">
        <v>43</v>
      </c>
      <c r="D124" s="2">
        <f>408518880/(10^6)</f>
        <v>408.51888</v>
      </c>
      <c r="E124" s="3">
        <v>10.1380205154419</v>
      </c>
      <c r="F124" s="3">
        <v>2.65525841712952</v>
      </c>
      <c r="G124" s="3">
        <v>2.29294061660767</v>
      </c>
      <c r="H124" s="3" t="s">
        <v>86</v>
      </c>
      <c r="I124" t="s">
        <v>26</v>
      </c>
    </row>
    <row r="125" spans="1:9">
      <c r="A125" t="s">
        <v>315</v>
      </c>
      <c r="B125" t="s">
        <v>316</v>
      </c>
      <c r="C125" t="s">
        <v>47</v>
      </c>
      <c r="D125" s="2">
        <f>407671104/(10^6)</f>
        <v>407.671104</v>
      </c>
      <c r="E125" s="3">
        <v>12.1090211868286</v>
      </c>
      <c r="F125" s="3">
        <v>1.87682998180389</v>
      </c>
      <c r="G125" s="3">
        <v>1.09442389011383</v>
      </c>
      <c r="H125" s="3">
        <v>5.57520866394043</v>
      </c>
      <c r="I125" t="s">
        <v>26</v>
      </c>
    </row>
    <row r="126" spans="1:9">
      <c r="A126" t="s">
        <v>317</v>
      </c>
      <c r="B126" t="s">
        <v>318</v>
      </c>
      <c r="C126" t="s">
        <v>37</v>
      </c>
      <c r="D126" s="2">
        <f>365181472/(10^6)</f>
        <v>365.181472</v>
      </c>
      <c r="E126" s="3">
        <v>8.19690704345703</v>
      </c>
      <c r="F126" s="3">
        <v>0.628598093986511</v>
      </c>
      <c r="G126" s="3">
        <v>1.49203252792358</v>
      </c>
      <c r="H126" s="3">
        <v>4.594153881073</v>
      </c>
      <c r="I126" t="s">
        <v>26</v>
      </c>
    </row>
    <row r="127" spans="1:9">
      <c r="A127" t="s">
        <v>319</v>
      </c>
      <c r="B127" t="s">
        <v>320</v>
      </c>
      <c r="C127" t="s">
        <v>33</v>
      </c>
      <c r="D127" s="2">
        <f>364387616/(10^6)</f>
        <v>364.387616</v>
      </c>
      <c r="E127" s="3">
        <v>10.110689163208</v>
      </c>
      <c r="F127" s="3">
        <v>1.82934939861298</v>
      </c>
      <c r="G127" s="3">
        <v>1.10400104522705</v>
      </c>
      <c r="H127" s="3">
        <v>5.74810314178467</v>
      </c>
      <c r="I127" t="s">
        <v>26</v>
      </c>
    </row>
    <row r="128" spans="1:9">
      <c r="A128" t="s">
        <v>321</v>
      </c>
      <c r="B128" t="s">
        <v>322</v>
      </c>
      <c r="C128" t="s">
        <v>45</v>
      </c>
      <c r="D128" s="2">
        <f>360302080/(10^6)</f>
        <v>360.30208</v>
      </c>
      <c r="E128" s="3">
        <v>3.81418752670288</v>
      </c>
      <c r="F128" s="3">
        <v>0.444749563932419</v>
      </c>
      <c r="G128" s="3">
        <v>0.49166664481163</v>
      </c>
      <c r="H128" s="3">
        <v>12.9579544067383</v>
      </c>
      <c r="I128" t="s">
        <v>26</v>
      </c>
    </row>
    <row r="129" spans="1:9">
      <c r="A129" t="s">
        <v>323</v>
      </c>
      <c r="B129" t="s">
        <v>324</v>
      </c>
      <c r="C129" t="s">
        <v>31</v>
      </c>
      <c r="D129" s="2">
        <f>359207776/(10^6)</f>
        <v>359.207776</v>
      </c>
      <c r="E129" s="3">
        <v>12.6238765716553</v>
      </c>
      <c r="F129" s="3">
        <v>1.82907998561859</v>
      </c>
      <c r="G129" s="3">
        <v>3.07846522331238</v>
      </c>
      <c r="H129" s="3">
        <v>9.23982715606689</v>
      </c>
      <c r="I129" t="s">
        <v>26</v>
      </c>
    </row>
    <row r="130" spans="1:9">
      <c r="A130" t="s">
        <v>325</v>
      </c>
      <c r="B130" t="s">
        <v>326</v>
      </c>
      <c r="C130" t="s">
        <v>45</v>
      </c>
      <c r="D130" s="2">
        <f>357831904/(10^6)</f>
        <v>357.831904</v>
      </c>
      <c r="E130" s="3">
        <v>5.60746479034424</v>
      </c>
      <c r="F130" s="3">
        <v>0.945053577423096</v>
      </c>
      <c r="G130" s="3">
        <v>8.65537643432617</v>
      </c>
      <c r="H130" s="3" t="s">
        <v>86</v>
      </c>
      <c r="I130" t="s">
        <v>26</v>
      </c>
    </row>
    <row r="131" spans="1:9">
      <c r="A131" t="s">
        <v>327</v>
      </c>
      <c r="B131" t="s">
        <v>328</v>
      </c>
      <c r="C131" t="s">
        <v>31</v>
      </c>
      <c r="D131" s="2">
        <f>356437376/(10^6)</f>
        <v>356.437376</v>
      </c>
      <c r="E131" s="3">
        <v>16.3653049468994</v>
      </c>
      <c r="F131" s="3">
        <v>3.26892256736755</v>
      </c>
      <c r="G131" s="3" t="s">
        <v>86</v>
      </c>
      <c r="H131" s="3" t="s">
        <v>86</v>
      </c>
      <c r="I131" t="s">
        <v>26</v>
      </c>
    </row>
    <row r="132" spans="1:9">
      <c r="A132" t="s">
        <v>329</v>
      </c>
      <c r="B132" t="s">
        <v>330</v>
      </c>
      <c r="C132" t="s">
        <v>43</v>
      </c>
      <c r="D132" s="2">
        <f>353665568/(10^6)</f>
        <v>353.665568</v>
      </c>
      <c r="E132" s="3">
        <v>37.7101631164551</v>
      </c>
      <c r="F132" s="3">
        <v>0.645392537117004</v>
      </c>
      <c r="G132" s="3">
        <v>2.56936621665955</v>
      </c>
      <c r="H132" s="3" t="s">
        <v>86</v>
      </c>
      <c r="I132" t="s">
        <v>26</v>
      </c>
    </row>
    <row r="133" spans="1:9">
      <c r="A133" t="s">
        <v>331</v>
      </c>
      <c r="B133" t="s">
        <v>332</v>
      </c>
      <c r="C133" t="s">
        <v>43</v>
      </c>
      <c r="D133" s="2">
        <f>352779072/(10^6)</f>
        <v>352.779072</v>
      </c>
      <c r="E133" s="3">
        <v>6.07774686813354</v>
      </c>
      <c r="F133" s="3">
        <v>1.35685586929321</v>
      </c>
      <c r="G133" s="3">
        <v>1.07528030872345</v>
      </c>
      <c r="H133" s="3" t="s">
        <v>86</v>
      </c>
      <c r="I133" t="s">
        <v>26</v>
      </c>
    </row>
    <row r="134" spans="1:9">
      <c r="A134" t="s">
        <v>333</v>
      </c>
      <c r="B134" t="s">
        <v>334</v>
      </c>
      <c r="C134" t="s">
        <v>33</v>
      </c>
      <c r="D134" s="2">
        <f>344800128/(10^6)</f>
        <v>344.800128</v>
      </c>
      <c r="E134" s="3">
        <v>14.3013677597046</v>
      </c>
      <c r="F134" s="3">
        <v>1.69300770759583</v>
      </c>
      <c r="G134" s="3">
        <v>2.17100834846497</v>
      </c>
      <c r="H134" s="3">
        <v>5.71026992797852</v>
      </c>
      <c r="I134" t="s">
        <v>26</v>
      </c>
    </row>
    <row r="135" spans="1:9">
      <c r="A135" t="s">
        <v>335</v>
      </c>
      <c r="B135" t="s">
        <v>336</v>
      </c>
      <c r="C135" t="s">
        <v>35</v>
      </c>
      <c r="D135" s="2">
        <f>343644096/(10^6)</f>
        <v>343.644096</v>
      </c>
      <c r="E135" s="3">
        <v>9.0020751953125</v>
      </c>
      <c r="F135" s="3">
        <v>0.794974863529205</v>
      </c>
      <c r="G135" s="3">
        <v>0.635693550109863</v>
      </c>
      <c r="H135" s="3">
        <v>6.77208185195923</v>
      </c>
      <c r="I135" t="s">
        <v>26</v>
      </c>
    </row>
    <row r="136" spans="1:9">
      <c r="A136" t="s">
        <v>337</v>
      </c>
      <c r="B136" t="s">
        <v>338</v>
      </c>
      <c r="C136" t="s">
        <v>35</v>
      </c>
      <c r="D136" s="2">
        <f>342795936/(10^6)</f>
        <v>342.795936</v>
      </c>
      <c r="E136" s="3">
        <v>48.9771041870117</v>
      </c>
      <c r="F136" s="3">
        <v>1.46140897274017</v>
      </c>
      <c r="G136" s="3">
        <v>0.690421521663666</v>
      </c>
      <c r="H136" s="3">
        <v>9.617844581604</v>
      </c>
      <c r="I136" t="s">
        <v>26</v>
      </c>
    </row>
    <row r="137" spans="1:9">
      <c r="A137" t="s">
        <v>339</v>
      </c>
      <c r="B137" t="s">
        <v>340</v>
      </c>
      <c r="C137" t="s">
        <v>45</v>
      </c>
      <c r="D137" s="2">
        <f>334353728/(10^6)</f>
        <v>334.353728</v>
      </c>
      <c r="E137" s="3">
        <v>12.4537334442139</v>
      </c>
      <c r="F137" s="3">
        <v>1.25030660629273</v>
      </c>
      <c r="G137" s="3">
        <v>9.08574104309082</v>
      </c>
      <c r="H137" s="3" t="s">
        <v>86</v>
      </c>
      <c r="I137" t="s">
        <v>26</v>
      </c>
    </row>
    <row r="138" spans="1:9">
      <c r="A138" t="s">
        <v>341</v>
      </c>
      <c r="B138" t="s">
        <v>342</v>
      </c>
      <c r="C138" t="s">
        <v>47</v>
      </c>
      <c r="D138" s="2">
        <f>329304800/(10^6)</f>
        <v>329.3048</v>
      </c>
      <c r="E138" s="3">
        <v>13.2337617874146</v>
      </c>
      <c r="F138" s="3">
        <v>0.469024837017059</v>
      </c>
      <c r="G138" s="3">
        <v>0.848062634468079</v>
      </c>
      <c r="H138" s="3">
        <v>20.9160308837891</v>
      </c>
      <c r="I138" t="s">
        <v>26</v>
      </c>
    </row>
    <row r="139" spans="1:9">
      <c r="A139" t="s">
        <v>343</v>
      </c>
      <c r="B139" t="s">
        <v>344</v>
      </c>
      <c r="C139" t="s">
        <v>45</v>
      </c>
      <c r="D139" s="2">
        <f>325115616/(10^6)</f>
        <v>325.115616</v>
      </c>
      <c r="E139" s="3">
        <v>5.84585189819336</v>
      </c>
      <c r="F139" s="3">
        <v>0.725023686885834</v>
      </c>
      <c r="G139" s="3">
        <v>1.72292363643646</v>
      </c>
      <c r="H139" s="3">
        <v>9.81448459625244</v>
      </c>
      <c r="I139" t="s">
        <v>26</v>
      </c>
    </row>
    <row r="140" spans="1:9">
      <c r="A140" t="s">
        <v>345</v>
      </c>
      <c r="B140" t="s">
        <v>346</v>
      </c>
      <c r="C140" t="s">
        <v>31</v>
      </c>
      <c r="D140" s="2">
        <f>321543424/(10^6)</f>
        <v>321.543424</v>
      </c>
      <c r="E140" s="3">
        <v>9.06562232971191</v>
      </c>
      <c r="F140" s="3">
        <v>0.513581454753876</v>
      </c>
      <c r="G140" s="3">
        <v>0.989757597446442</v>
      </c>
      <c r="H140" s="3">
        <v>6.54650402069092</v>
      </c>
      <c r="I140" t="s">
        <v>26</v>
      </c>
    </row>
    <row r="141" spans="1:9">
      <c r="A141" t="s">
        <v>347</v>
      </c>
      <c r="B141" t="s">
        <v>348</v>
      </c>
      <c r="C141" t="s">
        <v>37</v>
      </c>
      <c r="D141" s="2">
        <f>307979872/(10^6)</f>
        <v>307.979872</v>
      </c>
      <c r="E141" s="3">
        <v>10.9095315933228</v>
      </c>
      <c r="F141" s="3">
        <v>1.02190816402435</v>
      </c>
      <c r="G141" s="3">
        <v>1.14095830917358</v>
      </c>
      <c r="H141" s="3">
        <v>2.97438454627991</v>
      </c>
      <c r="I141" t="s">
        <v>26</v>
      </c>
    </row>
    <row r="142" spans="1:9">
      <c r="A142" t="s">
        <v>349</v>
      </c>
      <c r="B142" t="s">
        <v>350</v>
      </c>
      <c r="C142" t="s">
        <v>27</v>
      </c>
      <c r="D142" s="2">
        <f>306231840/(10^6)</f>
        <v>306.23184</v>
      </c>
      <c r="E142" s="3">
        <v>9.80487823486328</v>
      </c>
      <c r="F142" s="3">
        <v>1.45329129695892</v>
      </c>
      <c r="G142" s="3">
        <v>1.87967729568481</v>
      </c>
      <c r="H142" s="3">
        <v>7.39490509033203</v>
      </c>
      <c r="I142" t="s">
        <v>26</v>
      </c>
    </row>
    <row r="143" spans="1:9">
      <c r="A143" t="s">
        <v>351</v>
      </c>
      <c r="B143" t="s">
        <v>352</v>
      </c>
      <c r="C143" t="s">
        <v>47</v>
      </c>
      <c r="D143" s="2">
        <f>301070624/(10^6)</f>
        <v>301.070624</v>
      </c>
      <c r="E143" s="3">
        <v>11.2608699798584</v>
      </c>
      <c r="F143" s="3">
        <v>1.48829114437103</v>
      </c>
      <c r="G143" s="3">
        <v>0.459468811750412</v>
      </c>
      <c r="H143" s="3">
        <v>11.8387823104858</v>
      </c>
      <c r="I143" t="s">
        <v>26</v>
      </c>
    </row>
    <row r="144" spans="1:9">
      <c r="A144" t="s">
        <v>353</v>
      </c>
      <c r="B144" t="s">
        <v>354</v>
      </c>
      <c r="C144" t="s">
        <v>45</v>
      </c>
      <c r="D144" s="2">
        <f>293164928/(10^6)</f>
        <v>293.164928</v>
      </c>
      <c r="E144" s="3">
        <v>10.5583381652832</v>
      </c>
      <c r="F144" s="3">
        <v>0.931134104728699</v>
      </c>
      <c r="G144" s="3">
        <v>6.77043437957764</v>
      </c>
      <c r="H144" s="3" t="s">
        <v>86</v>
      </c>
      <c r="I144" t="s">
        <v>26</v>
      </c>
    </row>
    <row r="145" spans="1:9">
      <c r="A145" t="s">
        <v>355</v>
      </c>
      <c r="B145" t="s">
        <v>356</v>
      </c>
      <c r="C145" t="s">
        <v>37</v>
      </c>
      <c r="D145" s="2">
        <f>291532704/(10^6)</f>
        <v>291.532704</v>
      </c>
      <c r="E145" s="3">
        <v>10.7097120285034</v>
      </c>
      <c r="F145" s="3">
        <v>0.90703147649765</v>
      </c>
      <c r="G145" s="3">
        <v>0.893414795398712</v>
      </c>
      <c r="H145" s="3">
        <v>7.0698676109314</v>
      </c>
      <c r="I145" t="s">
        <v>26</v>
      </c>
    </row>
    <row r="146" spans="1:9">
      <c r="A146" t="s">
        <v>357</v>
      </c>
      <c r="B146" t="s">
        <v>358</v>
      </c>
      <c r="C146" t="s">
        <v>47</v>
      </c>
      <c r="D146" s="2">
        <f>289792928/(10^6)</f>
        <v>289.792928</v>
      </c>
      <c r="E146" s="3">
        <v>4.82634973526001</v>
      </c>
      <c r="F146" s="3">
        <v>0.561738014221191</v>
      </c>
      <c r="G146" s="3">
        <v>0.622873544692993</v>
      </c>
      <c r="H146" s="3">
        <v>1.79765152931213</v>
      </c>
      <c r="I146" t="s">
        <v>26</v>
      </c>
    </row>
    <row r="147" spans="1:9">
      <c r="A147" t="s">
        <v>359</v>
      </c>
      <c r="B147" t="s">
        <v>360</v>
      </c>
      <c r="C147" t="s">
        <v>41</v>
      </c>
      <c r="D147" s="2">
        <f>286274976/(10^6)</f>
        <v>286.274976</v>
      </c>
      <c r="E147" s="3" t="s">
        <v>86</v>
      </c>
      <c r="F147" s="3">
        <v>1.05327451229096</v>
      </c>
      <c r="G147" s="3">
        <v>3.04179763793945</v>
      </c>
      <c r="H147" s="3">
        <v>23.0819110870361</v>
      </c>
      <c r="I147" t="s">
        <v>26</v>
      </c>
    </row>
    <row r="148" spans="1:9">
      <c r="A148" t="s">
        <v>361</v>
      </c>
      <c r="B148" t="s">
        <v>362</v>
      </c>
      <c r="C148" t="s">
        <v>31</v>
      </c>
      <c r="D148" s="2">
        <f>283455360/(10^6)</f>
        <v>283.45536</v>
      </c>
      <c r="E148" s="3">
        <v>9.22679424285889</v>
      </c>
      <c r="F148" s="3">
        <v>2.79236602783203</v>
      </c>
      <c r="G148" s="3">
        <v>1.1120662689209</v>
      </c>
      <c r="H148" s="3">
        <v>6.75048780441284</v>
      </c>
      <c r="I148" t="s">
        <v>26</v>
      </c>
    </row>
    <row r="149" spans="1:9">
      <c r="A149" t="s">
        <v>363</v>
      </c>
      <c r="B149" t="s">
        <v>364</v>
      </c>
      <c r="C149" t="s">
        <v>39</v>
      </c>
      <c r="D149" s="2">
        <f>276384160/(10^6)</f>
        <v>276.38416</v>
      </c>
      <c r="E149" s="3">
        <v>4.22259521484375</v>
      </c>
      <c r="F149" s="3">
        <v>0.583232641220093</v>
      </c>
      <c r="G149" s="3">
        <v>1.44506776332855</v>
      </c>
      <c r="H149" s="3">
        <v>6.33189678192139</v>
      </c>
      <c r="I149" t="s">
        <v>26</v>
      </c>
    </row>
    <row r="150" spans="1:9">
      <c r="A150" t="s">
        <v>365</v>
      </c>
      <c r="B150" t="s">
        <v>366</v>
      </c>
      <c r="C150" t="s">
        <v>41</v>
      </c>
      <c r="D150" s="2">
        <f>275516128/(10^6)</f>
        <v>275.516128</v>
      </c>
      <c r="E150" s="3">
        <v>36.2758979797363</v>
      </c>
      <c r="F150" s="3">
        <v>2.27138829231262</v>
      </c>
      <c r="G150" s="3">
        <v>2.32851886749268</v>
      </c>
      <c r="H150" s="3">
        <v>14.5241765975952</v>
      </c>
      <c r="I150" t="s">
        <v>26</v>
      </c>
    </row>
    <row r="151" spans="1:9">
      <c r="A151" t="s">
        <v>367</v>
      </c>
      <c r="B151" t="s">
        <v>368</v>
      </c>
      <c r="C151" t="s">
        <v>45</v>
      </c>
      <c r="D151" s="2">
        <f>272445600/(10^6)</f>
        <v>272.4456</v>
      </c>
      <c r="E151" s="3">
        <v>11.4346494674683</v>
      </c>
      <c r="F151" s="3">
        <v>1.28720080852509</v>
      </c>
      <c r="G151" s="3">
        <v>8.32015991210938</v>
      </c>
      <c r="H151" s="3" t="s">
        <v>86</v>
      </c>
      <c r="I151" t="s">
        <v>26</v>
      </c>
    </row>
    <row r="152" spans="1:9">
      <c r="A152" t="s">
        <v>369</v>
      </c>
      <c r="B152" t="s">
        <v>370</v>
      </c>
      <c r="C152" t="s">
        <v>33</v>
      </c>
      <c r="D152" s="2">
        <f>269758272/(10^6)</f>
        <v>269.758272</v>
      </c>
      <c r="E152" s="3">
        <v>23.4969310760498</v>
      </c>
      <c r="F152" s="3">
        <v>5.15355539321899</v>
      </c>
      <c r="G152" s="3">
        <v>2.3649263381958</v>
      </c>
      <c r="H152" s="3">
        <v>7.60845136642456</v>
      </c>
      <c r="I152" t="s">
        <v>26</v>
      </c>
    </row>
    <row r="153" spans="1:9">
      <c r="A153" t="s">
        <v>371</v>
      </c>
      <c r="B153" t="s">
        <v>372</v>
      </c>
      <c r="C153" t="s">
        <v>47</v>
      </c>
      <c r="D153" s="2">
        <f>258765888/(10^6)</f>
        <v>258.765888</v>
      </c>
      <c r="E153" s="3">
        <v>12.306679725647</v>
      </c>
      <c r="F153" s="3">
        <v>0.924214780330658</v>
      </c>
      <c r="G153" s="3">
        <v>3.16786813735962</v>
      </c>
      <c r="H153" s="3">
        <v>5.31064367294312</v>
      </c>
      <c r="I153" t="s">
        <v>26</v>
      </c>
    </row>
    <row r="154" spans="1:9">
      <c r="A154" t="s">
        <v>373</v>
      </c>
      <c r="B154" t="s">
        <v>374</v>
      </c>
      <c r="C154" t="s">
        <v>37</v>
      </c>
      <c r="D154" s="2">
        <f>256316032/(10^6)</f>
        <v>256.316032</v>
      </c>
      <c r="E154" s="3">
        <v>3.26453256607056</v>
      </c>
      <c r="F154" s="3">
        <v>0.662373721599579</v>
      </c>
      <c r="G154" s="3">
        <v>0.581540286540985</v>
      </c>
      <c r="H154" s="3">
        <v>3.43917512893677</v>
      </c>
      <c r="I154" t="s">
        <v>26</v>
      </c>
    </row>
    <row r="155" spans="1:9">
      <c r="A155" t="s">
        <v>375</v>
      </c>
      <c r="B155" t="s">
        <v>376</v>
      </c>
      <c r="C155" t="s">
        <v>45</v>
      </c>
      <c r="D155" s="2">
        <f>256056896/(10^6)</f>
        <v>256.056896</v>
      </c>
      <c r="E155" s="3">
        <v>7.07531547546387</v>
      </c>
      <c r="F155" s="3">
        <v>0.461110949516296</v>
      </c>
      <c r="G155" s="3">
        <v>0.658836543560028</v>
      </c>
      <c r="H155" s="3">
        <v>14.2457113265991</v>
      </c>
      <c r="I155" t="s">
        <v>26</v>
      </c>
    </row>
    <row r="156" spans="1:9">
      <c r="A156" t="s">
        <v>377</v>
      </c>
      <c r="B156" t="s">
        <v>378</v>
      </c>
      <c r="C156" t="s">
        <v>31</v>
      </c>
      <c r="D156" s="2">
        <f>252335024/(10^6)</f>
        <v>252.335024</v>
      </c>
      <c r="E156" s="3">
        <v>23.6350479125977</v>
      </c>
      <c r="F156" s="3">
        <v>0.272072106599808</v>
      </c>
      <c r="G156" s="3">
        <v>0.333712488412857</v>
      </c>
      <c r="H156" s="3">
        <v>6.84636449813843</v>
      </c>
      <c r="I156" t="s">
        <v>26</v>
      </c>
    </row>
    <row r="157" spans="1:9">
      <c r="A157" t="s">
        <v>379</v>
      </c>
      <c r="B157" t="s">
        <v>380</v>
      </c>
      <c r="C157" t="s">
        <v>45</v>
      </c>
      <c r="D157" s="2">
        <f>249379920/(10^6)</f>
        <v>249.37992</v>
      </c>
      <c r="E157" s="3">
        <v>2.71983933448792</v>
      </c>
      <c r="F157" s="3">
        <v>0.853465735912323</v>
      </c>
      <c r="G157" s="3">
        <v>0.623763799667358</v>
      </c>
      <c r="H157" s="3">
        <v>4.80582809448242</v>
      </c>
      <c r="I157" t="s">
        <v>26</v>
      </c>
    </row>
    <row r="158" spans="1:9">
      <c r="A158" t="s">
        <v>381</v>
      </c>
      <c r="B158" t="s">
        <v>382</v>
      </c>
      <c r="C158" t="s">
        <v>45</v>
      </c>
      <c r="D158" s="2">
        <f>246864464/(10^6)</f>
        <v>246.864464</v>
      </c>
      <c r="E158" s="3">
        <v>3.382568359375</v>
      </c>
      <c r="F158" s="3">
        <v>0.273782581090927</v>
      </c>
      <c r="G158" s="3">
        <v>0.333136558532715</v>
      </c>
      <c r="H158" s="3">
        <v>22.7474575042725</v>
      </c>
      <c r="I158" t="s">
        <v>26</v>
      </c>
    </row>
    <row r="159" spans="1:9">
      <c r="A159" t="s">
        <v>383</v>
      </c>
      <c r="B159" t="s">
        <v>384</v>
      </c>
      <c r="C159" t="s">
        <v>45</v>
      </c>
      <c r="D159" s="2">
        <f>245476128/(10^6)</f>
        <v>245.476128</v>
      </c>
      <c r="E159" s="3">
        <v>3.953857421875</v>
      </c>
      <c r="F159" s="3">
        <v>0.593921005725861</v>
      </c>
      <c r="G159" s="3">
        <v>5.5054235458374</v>
      </c>
      <c r="H159" s="3">
        <v>28.45631980896</v>
      </c>
      <c r="I159" t="s">
        <v>26</v>
      </c>
    </row>
    <row r="160" spans="1:9">
      <c r="A160" t="s">
        <v>385</v>
      </c>
      <c r="B160" t="s">
        <v>386</v>
      </c>
      <c r="C160" t="s">
        <v>45</v>
      </c>
      <c r="D160" s="2">
        <f>242846432/(10^6)</f>
        <v>242.846432</v>
      </c>
      <c r="E160" s="3">
        <v>8.90388202667236</v>
      </c>
      <c r="F160" s="3">
        <v>0.84250944852829</v>
      </c>
      <c r="G160" s="3">
        <v>6.44863128662109</v>
      </c>
      <c r="H160" s="3" t="s">
        <v>86</v>
      </c>
      <c r="I160" t="s">
        <v>26</v>
      </c>
    </row>
    <row r="161" spans="1:9">
      <c r="A161" t="s">
        <v>387</v>
      </c>
      <c r="B161" t="s">
        <v>388</v>
      </c>
      <c r="C161" t="s">
        <v>45</v>
      </c>
      <c r="D161" s="2">
        <f>241433184/(10^6)</f>
        <v>241.433184</v>
      </c>
      <c r="E161" s="3">
        <v>11.7739400863647</v>
      </c>
      <c r="F161" s="3">
        <v>1.22808015346527</v>
      </c>
      <c r="G161" s="3">
        <v>8.05424499511719</v>
      </c>
      <c r="H161" s="3">
        <v>14.6112852096558</v>
      </c>
      <c r="I161" t="s">
        <v>26</v>
      </c>
    </row>
    <row r="162" spans="1:9">
      <c r="A162" t="s">
        <v>389</v>
      </c>
      <c r="B162" t="s">
        <v>390</v>
      </c>
      <c r="C162" t="s">
        <v>35</v>
      </c>
      <c r="D162" s="2">
        <f>238125872/(10^6)</f>
        <v>238.125872</v>
      </c>
      <c r="E162" s="3">
        <v>17.7909183502197</v>
      </c>
      <c r="F162" s="3">
        <v>3.34009504318237</v>
      </c>
      <c r="G162" s="3">
        <v>2.73413348197937</v>
      </c>
      <c r="H162" s="3">
        <v>10.7523002624512</v>
      </c>
      <c r="I162" t="s">
        <v>26</v>
      </c>
    </row>
    <row r="163" spans="1:9">
      <c r="A163" t="s">
        <v>391</v>
      </c>
      <c r="B163" t="s">
        <v>392</v>
      </c>
      <c r="C163" t="s">
        <v>35</v>
      </c>
      <c r="D163" s="2">
        <f>236138864/(10^6)</f>
        <v>236.138864</v>
      </c>
      <c r="E163" s="3" t="s">
        <v>86</v>
      </c>
      <c r="F163" s="3">
        <v>0.875244319438934</v>
      </c>
      <c r="G163" s="3">
        <v>0.655234277248383</v>
      </c>
      <c r="H163" s="3">
        <v>16.8395576477051</v>
      </c>
      <c r="I163" t="s">
        <v>26</v>
      </c>
    </row>
    <row r="164" spans="1:9">
      <c r="A164" t="s">
        <v>393</v>
      </c>
      <c r="B164" t="s">
        <v>394</v>
      </c>
      <c r="C164" t="s">
        <v>45</v>
      </c>
      <c r="D164" s="2">
        <f>230388128/(10^6)</f>
        <v>230.388128</v>
      </c>
      <c r="E164" s="3">
        <v>3.7126567363739</v>
      </c>
      <c r="F164" s="3">
        <v>0.448769450187683</v>
      </c>
      <c r="G164" s="3">
        <v>0.426566749811172</v>
      </c>
      <c r="H164" s="3">
        <v>10.2703132629395</v>
      </c>
      <c r="I164" t="s">
        <v>26</v>
      </c>
    </row>
    <row r="165" spans="1:9">
      <c r="A165" t="s">
        <v>395</v>
      </c>
      <c r="B165" t="s">
        <v>396</v>
      </c>
      <c r="C165" t="s">
        <v>47</v>
      </c>
      <c r="D165" s="2">
        <f>227346512/(10^6)</f>
        <v>227.346512</v>
      </c>
      <c r="E165" s="3">
        <v>9.81721496582031</v>
      </c>
      <c r="F165" s="3">
        <v>1.13452291488648</v>
      </c>
      <c r="G165" s="3">
        <v>0.710774660110474</v>
      </c>
      <c r="H165" s="3">
        <v>5.0127534866333</v>
      </c>
      <c r="I165" t="s">
        <v>26</v>
      </c>
    </row>
    <row r="166" spans="1:9">
      <c r="A166" t="s">
        <v>397</v>
      </c>
      <c r="B166" t="s">
        <v>398</v>
      </c>
      <c r="C166" t="s">
        <v>43</v>
      </c>
      <c r="D166" s="2">
        <f>219578864/(10^6)</f>
        <v>219.578864</v>
      </c>
      <c r="E166" s="3">
        <v>7.28330659866333</v>
      </c>
      <c r="F166" s="3">
        <v>1.156374335289</v>
      </c>
      <c r="G166" s="3">
        <v>2.15212798118591</v>
      </c>
      <c r="H166" s="3">
        <v>4.84014129638672</v>
      </c>
      <c r="I166" t="s">
        <v>26</v>
      </c>
    </row>
    <row r="167" spans="1:9">
      <c r="A167" t="s">
        <v>399</v>
      </c>
      <c r="B167" t="s">
        <v>400</v>
      </c>
      <c r="C167" t="s">
        <v>39</v>
      </c>
      <c r="D167" s="2">
        <f>217738976/(10^6)</f>
        <v>217.738976</v>
      </c>
      <c r="E167" s="3">
        <v>3.89409828186035</v>
      </c>
      <c r="F167" s="3">
        <v>0.51480495929718</v>
      </c>
      <c r="G167" s="3">
        <v>0.577721118927002</v>
      </c>
      <c r="H167" s="3">
        <v>7.21776390075684</v>
      </c>
      <c r="I167" t="s">
        <v>26</v>
      </c>
    </row>
    <row r="168" spans="1:9">
      <c r="A168" t="s">
        <v>401</v>
      </c>
      <c r="B168" t="s">
        <v>402</v>
      </c>
      <c r="C168" t="s">
        <v>31</v>
      </c>
      <c r="D168" s="2">
        <f>213898944/(10^6)</f>
        <v>213.898944</v>
      </c>
      <c r="E168" s="3" t="s">
        <v>86</v>
      </c>
      <c r="F168" s="3">
        <v>0.587846994400024</v>
      </c>
      <c r="G168" s="3">
        <v>0.038018148392439</v>
      </c>
      <c r="H168" s="3">
        <v>24.1118927001953</v>
      </c>
      <c r="I168" t="s">
        <v>26</v>
      </c>
    </row>
    <row r="169" spans="1:9">
      <c r="A169" t="s">
        <v>403</v>
      </c>
      <c r="B169" t="s">
        <v>404</v>
      </c>
      <c r="C169" t="s">
        <v>45</v>
      </c>
      <c r="D169" s="2">
        <f>211457792/(10^6)</f>
        <v>211.457792</v>
      </c>
      <c r="E169" s="3">
        <v>16.4357204437256</v>
      </c>
      <c r="F169" s="3">
        <v>1.38783776760101</v>
      </c>
      <c r="G169" s="3">
        <v>10.8967552185059</v>
      </c>
      <c r="H169" s="3" t="s">
        <v>86</v>
      </c>
      <c r="I169" t="s">
        <v>26</v>
      </c>
    </row>
    <row r="170" spans="1:9">
      <c r="A170" t="s">
        <v>405</v>
      </c>
      <c r="B170" t="s">
        <v>406</v>
      </c>
      <c r="C170" t="s">
        <v>35</v>
      </c>
      <c r="D170" s="2">
        <f>211299952/(10^6)</f>
        <v>211.299952</v>
      </c>
      <c r="E170" s="3">
        <v>19.4066467285156</v>
      </c>
      <c r="F170" s="3">
        <v>3.31959724426269</v>
      </c>
      <c r="G170" s="3">
        <v>1.34914624691009</v>
      </c>
      <c r="H170" s="3">
        <v>13.5267038345337</v>
      </c>
      <c r="I170" t="s">
        <v>26</v>
      </c>
    </row>
    <row r="171" spans="1:9">
      <c r="A171" t="s">
        <v>407</v>
      </c>
      <c r="B171" t="s">
        <v>408</v>
      </c>
      <c r="C171" t="s">
        <v>47</v>
      </c>
      <c r="D171" s="2">
        <f>209217584/(10^6)</f>
        <v>209.217584</v>
      </c>
      <c r="E171" s="3">
        <v>81.9447250366211</v>
      </c>
      <c r="F171" s="3">
        <v>1.42937135696411</v>
      </c>
      <c r="G171" s="3">
        <v>1.30587494373321</v>
      </c>
      <c r="H171" s="3">
        <v>7.57020044326782</v>
      </c>
      <c r="I171" t="s">
        <v>26</v>
      </c>
    </row>
    <row r="172" spans="1:9">
      <c r="A172" t="s">
        <v>409</v>
      </c>
      <c r="B172" t="s">
        <v>410</v>
      </c>
      <c r="C172" t="s">
        <v>47</v>
      </c>
      <c r="D172" s="2">
        <f>205818416/(10^6)</f>
        <v>205.818416</v>
      </c>
      <c r="E172" s="3">
        <v>29.7826080322266</v>
      </c>
      <c r="F172" s="3">
        <v>3.54006624221802</v>
      </c>
      <c r="G172" s="3">
        <v>5.8791618347168</v>
      </c>
      <c r="H172" s="3">
        <v>16.8538246154785</v>
      </c>
      <c r="I172" t="s">
        <v>26</v>
      </c>
    </row>
    <row r="173" spans="1:9">
      <c r="A173" t="s">
        <v>411</v>
      </c>
      <c r="B173" t="s">
        <v>412</v>
      </c>
      <c r="C173" t="s">
        <v>35</v>
      </c>
      <c r="D173" s="2">
        <f>202113008/(10^6)</f>
        <v>202.113008</v>
      </c>
      <c r="E173" s="3">
        <v>15.0909090042114</v>
      </c>
      <c r="F173" s="3">
        <v>1.71564435958862</v>
      </c>
      <c r="G173" s="3">
        <v>1.85841858386993</v>
      </c>
      <c r="H173" s="3">
        <v>8.42249393463135</v>
      </c>
      <c r="I173" t="s">
        <v>26</v>
      </c>
    </row>
    <row r="174" spans="1:9">
      <c r="A174" t="s">
        <v>413</v>
      </c>
      <c r="B174" t="s">
        <v>414</v>
      </c>
      <c r="C174" t="s">
        <v>33</v>
      </c>
      <c r="D174" s="2">
        <f>200888080/(10^6)</f>
        <v>200.88808</v>
      </c>
      <c r="E174" s="3" t="s">
        <v>86</v>
      </c>
      <c r="F174" s="3">
        <v>1.13811528682709</v>
      </c>
      <c r="G174" s="3">
        <v>0.77014034986496</v>
      </c>
      <c r="H174" s="3">
        <v>2.73373699188232</v>
      </c>
      <c r="I174" t="s">
        <v>26</v>
      </c>
    </row>
    <row r="175" spans="1:9">
      <c r="A175" t="s">
        <v>415</v>
      </c>
      <c r="B175" t="s">
        <v>416</v>
      </c>
      <c r="C175" t="s">
        <v>35</v>
      </c>
      <c r="D175" s="2">
        <f>198531376/(10^6)</f>
        <v>198.531376</v>
      </c>
      <c r="E175" s="3">
        <v>6.85970973968506</v>
      </c>
      <c r="F175" s="3">
        <v>0.341866105794907</v>
      </c>
      <c r="G175" s="3">
        <v>0.361508548259735</v>
      </c>
      <c r="H175" s="3">
        <v>9.34687900543213</v>
      </c>
      <c r="I175" t="s">
        <v>26</v>
      </c>
    </row>
    <row r="176" spans="1:9">
      <c r="A176" t="s">
        <v>417</v>
      </c>
      <c r="B176" t="s">
        <v>418</v>
      </c>
      <c r="C176" t="s">
        <v>41</v>
      </c>
      <c r="D176" s="2">
        <f>197213296/(10^6)</f>
        <v>197.213296</v>
      </c>
      <c r="E176" s="3">
        <v>15.3025360107422</v>
      </c>
      <c r="F176" s="3">
        <v>2.894127368927</v>
      </c>
      <c r="G176" s="3">
        <v>2.80970740318298</v>
      </c>
      <c r="H176" s="3">
        <v>9.82358169555664</v>
      </c>
      <c r="I176" t="s">
        <v>26</v>
      </c>
    </row>
    <row r="177" spans="1:9">
      <c r="A177" t="s">
        <v>419</v>
      </c>
      <c r="B177" t="s">
        <v>420</v>
      </c>
      <c r="C177" t="s">
        <v>35</v>
      </c>
      <c r="D177" s="2">
        <f>192926064/(10^6)</f>
        <v>192.926064</v>
      </c>
      <c r="E177" s="3">
        <v>18.0147094726562</v>
      </c>
      <c r="F177" s="3">
        <v>0.699169039726257</v>
      </c>
      <c r="G177" s="3">
        <v>3.19277906417847</v>
      </c>
      <c r="H177" s="3">
        <v>180.337051391602</v>
      </c>
      <c r="I177" t="s">
        <v>26</v>
      </c>
    </row>
    <row r="178" spans="1:9">
      <c r="A178" t="s">
        <v>421</v>
      </c>
      <c r="B178" t="s">
        <v>422</v>
      </c>
      <c r="C178" t="s">
        <v>51</v>
      </c>
      <c r="D178" s="2">
        <f>189689648/(10^6)</f>
        <v>189.689648</v>
      </c>
      <c r="E178" s="3">
        <v>14.6698741912842</v>
      </c>
      <c r="F178" s="3">
        <v>0.385535180568695</v>
      </c>
      <c r="G178" s="3">
        <v>0.060362368822098</v>
      </c>
      <c r="H178" s="3">
        <v>5.15436553955078</v>
      </c>
      <c r="I178" t="s">
        <v>26</v>
      </c>
    </row>
    <row r="179" spans="1:9">
      <c r="A179" t="s">
        <v>423</v>
      </c>
      <c r="B179" t="s">
        <v>424</v>
      </c>
      <c r="C179" t="s">
        <v>45</v>
      </c>
      <c r="D179" s="2">
        <f>186142848/(10^6)</f>
        <v>186.142848</v>
      </c>
      <c r="E179" s="3">
        <v>9.25830078125</v>
      </c>
      <c r="F179" s="3">
        <v>0.925012052059174</v>
      </c>
      <c r="G179" s="3">
        <v>7.80957365036011</v>
      </c>
      <c r="H179" s="3" t="s">
        <v>86</v>
      </c>
      <c r="I179" t="s">
        <v>26</v>
      </c>
    </row>
    <row r="180" spans="1:9">
      <c r="A180" t="s">
        <v>425</v>
      </c>
      <c r="B180" t="s">
        <v>426</v>
      </c>
      <c r="C180" t="s">
        <v>47</v>
      </c>
      <c r="D180" s="2">
        <f>182207936/(10^6)</f>
        <v>182.207936</v>
      </c>
      <c r="E180" s="3">
        <v>18.2519130706787</v>
      </c>
      <c r="F180" s="3">
        <v>1.2431937456131</v>
      </c>
      <c r="G180" s="3">
        <v>1.40138900279999</v>
      </c>
      <c r="H180" s="3">
        <v>7.91359710693359</v>
      </c>
      <c r="I180" t="s">
        <v>26</v>
      </c>
    </row>
    <row r="181" spans="1:9">
      <c r="A181" t="s">
        <v>427</v>
      </c>
      <c r="B181" t="s">
        <v>428</v>
      </c>
      <c r="C181" t="s">
        <v>45</v>
      </c>
      <c r="D181" s="2">
        <f>179353136/(10^6)</f>
        <v>179.353136</v>
      </c>
      <c r="E181" s="3">
        <v>9.74281406402588</v>
      </c>
      <c r="F181" s="3">
        <v>0.991785049438477</v>
      </c>
      <c r="G181" s="3">
        <v>4.4664740562439</v>
      </c>
      <c r="H181" s="3">
        <v>11.0155715942383</v>
      </c>
      <c r="I181" t="s">
        <v>26</v>
      </c>
    </row>
    <row r="182" spans="1:9">
      <c r="A182" t="s">
        <v>429</v>
      </c>
      <c r="B182" t="s">
        <v>430</v>
      </c>
      <c r="C182" t="s">
        <v>47</v>
      </c>
      <c r="D182" s="2">
        <f>178860112/(10^6)</f>
        <v>178.860112</v>
      </c>
      <c r="E182" s="3">
        <v>12.5172672271729</v>
      </c>
      <c r="F182" s="3">
        <v>0.966154158115387</v>
      </c>
      <c r="G182" s="3">
        <v>0.874520897865295</v>
      </c>
      <c r="H182" s="3">
        <v>8.14916896820068</v>
      </c>
      <c r="I182" t="s">
        <v>26</v>
      </c>
    </row>
    <row r="183" spans="1:9">
      <c r="A183" t="s">
        <v>431</v>
      </c>
      <c r="B183" t="s">
        <v>432</v>
      </c>
      <c r="C183" t="s">
        <v>33</v>
      </c>
      <c r="D183" s="2">
        <f>175766288/(10^6)</f>
        <v>175.766288</v>
      </c>
      <c r="E183" s="3">
        <v>16.4361591339111</v>
      </c>
      <c r="F183" s="3">
        <v>4.76828956604004</v>
      </c>
      <c r="G183" s="3">
        <v>0.844513118267059</v>
      </c>
      <c r="H183" s="3">
        <v>8.05263805389404</v>
      </c>
      <c r="I183" t="s">
        <v>26</v>
      </c>
    </row>
    <row r="184" spans="1:9">
      <c r="A184" t="s">
        <v>433</v>
      </c>
      <c r="B184" t="s">
        <v>434</v>
      </c>
      <c r="C184" t="s">
        <v>45</v>
      </c>
      <c r="D184" s="2">
        <f>174919616/(10^6)</f>
        <v>174.919616</v>
      </c>
      <c r="E184" s="3">
        <v>7.95191049575806</v>
      </c>
      <c r="F184" s="3">
        <v>0.63288402557373</v>
      </c>
      <c r="G184" s="3">
        <v>2.42420172691345</v>
      </c>
      <c r="H184" s="3">
        <v>1.48766767978668</v>
      </c>
      <c r="I184" t="s">
        <v>26</v>
      </c>
    </row>
    <row r="185" spans="1:9">
      <c r="A185" t="s">
        <v>435</v>
      </c>
      <c r="B185" t="s">
        <v>436</v>
      </c>
      <c r="C185" t="s">
        <v>47</v>
      </c>
      <c r="D185" s="2">
        <f>174552128/(10^6)</f>
        <v>174.552128</v>
      </c>
      <c r="E185" s="3">
        <v>16.9862651824951</v>
      </c>
      <c r="F185" s="3">
        <v>0.989893853664398</v>
      </c>
      <c r="G185" s="3">
        <v>1.16775846481323</v>
      </c>
      <c r="H185" s="3">
        <v>13.0162992477417</v>
      </c>
      <c r="I185" t="s">
        <v>26</v>
      </c>
    </row>
    <row r="186" spans="1:9">
      <c r="A186" t="s">
        <v>437</v>
      </c>
      <c r="B186" t="s">
        <v>438</v>
      </c>
      <c r="C186" t="s">
        <v>41</v>
      </c>
      <c r="D186" s="2">
        <f>173633456/(10^6)</f>
        <v>173.633456</v>
      </c>
      <c r="E186" s="3">
        <v>14.140251159668</v>
      </c>
      <c r="F186" s="3">
        <v>4.01915454864502</v>
      </c>
      <c r="G186" s="3">
        <v>3.16799473762512</v>
      </c>
      <c r="H186" s="3">
        <v>9.31892681121826</v>
      </c>
      <c r="I186" t="s">
        <v>26</v>
      </c>
    </row>
    <row r="187" spans="1:9">
      <c r="A187" t="s">
        <v>439</v>
      </c>
      <c r="B187" t="s">
        <v>440</v>
      </c>
      <c r="C187" t="s">
        <v>47</v>
      </c>
      <c r="D187" s="2">
        <f>173457360/(10^6)</f>
        <v>173.45736</v>
      </c>
      <c r="E187" s="3">
        <v>13.5502948760986</v>
      </c>
      <c r="F187" s="3">
        <v>3.00641083717346</v>
      </c>
      <c r="G187" s="3">
        <v>1.70585060119629</v>
      </c>
      <c r="H187" s="3">
        <v>10.5251350402832</v>
      </c>
      <c r="I187" t="s">
        <v>26</v>
      </c>
    </row>
    <row r="188" spans="1:9">
      <c r="A188" t="s">
        <v>441</v>
      </c>
      <c r="B188" t="s">
        <v>442</v>
      </c>
      <c r="C188" t="s">
        <v>43</v>
      </c>
      <c r="D188" s="2">
        <f>173020976/(10^6)</f>
        <v>173.020976</v>
      </c>
      <c r="E188" s="3">
        <v>8.33008289337158</v>
      </c>
      <c r="F188" s="3">
        <v>0.858821213245392</v>
      </c>
      <c r="G188" s="3">
        <v>0.514102637767792</v>
      </c>
      <c r="H188" s="3" t="s">
        <v>86</v>
      </c>
      <c r="I188" t="s">
        <v>26</v>
      </c>
    </row>
    <row r="189" spans="1:9">
      <c r="A189" t="s">
        <v>443</v>
      </c>
      <c r="B189" t="s">
        <v>444</v>
      </c>
      <c r="C189" t="s">
        <v>37</v>
      </c>
      <c r="D189" s="2">
        <f>170846224/(10^6)</f>
        <v>170.846224</v>
      </c>
      <c r="E189" s="3">
        <v>60.555549621582</v>
      </c>
      <c r="F189" s="3">
        <v>0.583832681179047</v>
      </c>
      <c r="G189" s="3">
        <v>0.427354335784912</v>
      </c>
      <c r="H189" s="3">
        <v>5.53411054611206</v>
      </c>
      <c r="I189" t="s">
        <v>26</v>
      </c>
    </row>
    <row r="190" spans="1:9">
      <c r="A190" t="s">
        <v>445</v>
      </c>
      <c r="B190" t="s">
        <v>446</v>
      </c>
      <c r="C190" t="s">
        <v>43</v>
      </c>
      <c r="D190" s="2">
        <f>169185792/(10^6)</f>
        <v>169.185792</v>
      </c>
      <c r="E190" s="3">
        <v>6.1838698387146</v>
      </c>
      <c r="F190" s="3">
        <v>0.992633640766144</v>
      </c>
      <c r="G190" s="3">
        <v>1.60915434360504</v>
      </c>
      <c r="H190" s="3">
        <v>20.5746440887451</v>
      </c>
      <c r="I190" t="s">
        <v>26</v>
      </c>
    </row>
    <row r="191" spans="1:9">
      <c r="A191" t="s">
        <v>447</v>
      </c>
      <c r="B191" t="s">
        <v>448</v>
      </c>
      <c r="C191" t="s">
        <v>37</v>
      </c>
      <c r="D191" s="2">
        <f>169175552/(10^6)</f>
        <v>169.175552</v>
      </c>
      <c r="E191" s="3">
        <v>2.61239910125732</v>
      </c>
      <c r="F191" s="3">
        <v>0.631382644176483</v>
      </c>
      <c r="G191" s="3">
        <v>2.31238675117493</v>
      </c>
      <c r="H191" s="3">
        <v>1.89742124080658</v>
      </c>
      <c r="I191" t="s">
        <v>26</v>
      </c>
    </row>
    <row r="192" spans="1:9">
      <c r="A192" t="s">
        <v>449</v>
      </c>
      <c r="B192" t="s">
        <v>450</v>
      </c>
      <c r="C192" t="s">
        <v>41</v>
      </c>
      <c r="D192" s="2">
        <f>168785216/(10^6)</f>
        <v>168.785216</v>
      </c>
      <c r="E192" s="3">
        <v>33.1181449890137</v>
      </c>
      <c r="F192" s="3">
        <v>1.49703848361969</v>
      </c>
      <c r="G192" s="3">
        <v>1.43530809879303</v>
      </c>
      <c r="H192" s="3">
        <v>14.8125486373901</v>
      </c>
      <c r="I192" t="s">
        <v>26</v>
      </c>
    </row>
    <row r="193" spans="1:9">
      <c r="A193" t="s">
        <v>451</v>
      </c>
      <c r="B193" t="s">
        <v>452</v>
      </c>
      <c r="C193" t="s">
        <v>39</v>
      </c>
      <c r="D193" s="2">
        <f>167995712/(10^6)</f>
        <v>167.995712</v>
      </c>
      <c r="E193" s="3">
        <v>9.98137855529785</v>
      </c>
      <c r="F193" s="3">
        <v>1.45243978500366</v>
      </c>
      <c r="G193" s="3">
        <v>3.72277522087097</v>
      </c>
      <c r="H193" s="3">
        <v>12.4651317596436</v>
      </c>
      <c r="I193" t="s">
        <v>26</v>
      </c>
    </row>
    <row r="194" spans="1:9">
      <c r="A194" t="s">
        <v>453</v>
      </c>
      <c r="B194" t="s">
        <v>454</v>
      </c>
      <c r="C194" t="s">
        <v>45</v>
      </c>
      <c r="D194" s="2">
        <f>167298272/(10^6)</f>
        <v>167.298272</v>
      </c>
      <c r="E194" s="3" t="s">
        <v>86</v>
      </c>
      <c r="F194" s="3" t="s">
        <v>86</v>
      </c>
      <c r="G194" s="3" t="s">
        <v>86</v>
      </c>
      <c r="H194" s="3" t="s">
        <v>86</v>
      </c>
      <c r="I194" t="s">
        <v>26</v>
      </c>
    </row>
    <row r="195" spans="1:9">
      <c r="A195" t="s">
        <v>455</v>
      </c>
      <c r="B195" t="s">
        <v>456</v>
      </c>
      <c r="C195" t="s">
        <v>47</v>
      </c>
      <c r="D195" s="2">
        <f>165073040/(10^6)</f>
        <v>165.07304</v>
      </c>
      <c r="E195" s="3" t="s">
        <v>86</v>
      </c>
      <c r="F195" s="3" t="s">
        <v>86</v>
      </c>
      <c r="G195" s="3">
        <v>0.936840176582336</v>
      </c>
      <c r="H195" s="3">
        <v>14.9335603713989</v>
      </c>
      <c r="I195" t="s">
        <v>26</v>
      </c>
    </row>
    <row r="196" spans="1:9">
      <c r="A196" t="s">
        <v>457</v>
      </c>
      <c r="B196" t="s">
        <v>458</v>
      </c>
      <c r="C196" t="s">
        <v>47</v>
      </c>
      <c r="D196" s="2">
        <f>164924208/(10^6)</f>
        <v>164.924208</v>
      </c>
      <c r="E196" s="3">
        <v>17.4395656585693</v>
      </c>
      <c r="F196" s="3">
        <v>1.46572947502136</v>
      </c>
      <c r="G196" s="3">
        <v>1.46004784107208</v>
      </c>
      <c r="H196" s="3">
        <v>10.2412872314453</v>
      </c>
      <c r="I196" t="s">
        <v>26</v>
      </c>
    </row>
    <row r="197" spans="1:9">
      <c r="A197" t="s">
        <v>459</v>
      </c>
      <c r="B197" t="s">
        <v>460</v>
      </c>
      <c r="C197" t="s">
        <v>35</v>
      </c>
      <c r="D197" s="2">
        <f>163221568/(10^6)</f>
        <v>163.221568</v>
      </c>
      <c r="E197" s="3">
        <v>12.2034273147583</v>
      </c>
      <c r="F197" s="3">
        <v>0.827605187892914</v>
      </c>
      <c r="G197" s="3">
        <v>0.965090334415436</v>
      </c>
      <c r="H197" s="3">
        <v>6.02190399169922</v>
      </c>
      <c r="I197" t="s">
        <v>26</v>
      </c>
    </row>
    <row r="198" spans="1:9">
      <c r="A198" t="s">
        <v>461</v>
      </c>
      <c r="B198" t="s">
        <v>462</v>
      </c>
      <c r="C198" t="s">
        <v>37</v>
      </c>
      <c r="D198" s="2">
        <f>162685552/(10^6)</f>
        <v>162.685552</v>
      </c>
      <c r="E198" s="3">
        <v>10</v>
      </c>
      <c r="F198" s="3">
        <v>1.07194375991821</v>
      </c>
      <c r="G198" s="3">
        <v>0.456725567579269</v>
      </c>
      <c r="H198" s="3">
        <v>6.38690280914307</v>
      </c>
      <c r="I198" t="s">
        <v>26</v>
      </c>
    </row>
    <row r="199" spans="1:9">
      <c r="A199" t="s">
        <v>463</v>
      </c>
      <c r="B199" t="s">
        <v>464</v>
      </c>
      <c r="C199" t="s">
        <v>31</v>
      </c>
      <c r="D199" s="2">
        <f>161889456/(10^6)</f>
        <v>161.889456</v>
      </c>
      <c r="E199" s="3" t="s">
        <v>86</v>
      </c>
      <c r="F199" s="3">
        <v>0.255341470241547</v>
      </c>
      <c r="G199" s="3">
        <v>0.126740097999573</v>
      </c>
      <c r="H199" s="3">
        <v>24.5045623779297</v>
      </c>
      <c r="I199" t="s">
        <v>26</v>
      </c>
    </row>
    <row r="200" spans="1:9">
      <c r="A200" t="s">
        <v>465</v>
      </c>
      <c r="B200" t="s">
        <v>466</v>
      </c>
      <c r="C200" t="s">
        <v>47</v>
      </c>
      <c r="D200" s="2">
        <f>161819952/(10^6)</f>
        <v>161.819952</v>
      </c>
      <c r="E200" s="3" t="s">
        <v>86</v>
      </c>
      <c r="F200" s="3">
        <v>20.0345649719238</v>
      </c>
      <c r="G200" s="3">
        <v>4.06112337112427</v>
      </c>
      <c r="H200" s="3" t="s">
        <v>86</v>
      </c>
      <c r="I200" t="s">
        <v>26</v>
      </c>
    </row>
    <row r="201" spans="1:9">
      <c r="A201" t="s">
        <v>467</v>
      </c>
      <c r="B201" t="s">
        <v>468</v>
      </c>
      <c r="C201" t="s">
        <v>33</v>
      </c>
      <c r="D201" s="2">
        <f>160505040/(10^6)</f>
        <v>160.50504</v>
      </c>
      <c r="E201" s="3" t="s">
        <v>86</v>
      </c>
      <c r="F201" s="3">
        <v>2.63993382453919</v>
      </c>
      <c r="G201" s="3">
        <v>2.46960997581482</v>
      </c>
      <c r="H201" s="3">
        <v>10.4939384460449</v>
      </c>
      <c r="I201" t="s">
        <v>26</v>
      </c>
    </row>
    <row r="202" spans="1:9">
      <c r="A202" t="s">
        <v>469</v>
      </c>
      <c r="B202" t="s">
        <v>470</v>
      </c>
      <c r="C202" t="s">
        <v>31</v>
      </c>
      <c r="D202" s="2">
        <f>159301792/(10^6)</f>
        <v>159.301792</v>
      </c>
      <c r="E202" s="3">
        <v>14.0108098983765</v>
      </c>
      <c r="F202" s="3">
        <v>1.63526105880737</v>
      </c>
      <c r="G202" s="3">
        <v>1.44595980644226</v>
      </c>
      <c r="H202" s="3">
        <v>14.1152305603027</v>
      </c>
      <c r="I202" t="s">
        <v>26</v>
      </c>
    </row>
    <row r="203" spans="1:9">
      <c r="A203" t="s">
        <v>471</v>
      </c>
      <c r="B203" t="s">
        <v>472</v>
      </c>
      <c r="C203" t="s">
        <v>37</v>
      </c>
      <c r="D203" s="2">
        <f>158750528/(10^6)</f>
        <v>158.750528</v>
      </c>
      <c r="E203" s="3">
        <v>9.74267292022705</v>
      </c>
      <c r="F203" s="3">
        <v>0.940644502639771</v>
      </c>
      <c r="G203" s="3">
        <v>0.943125188350677</v>
      </c>
      <c r="H203" s="3">
        <v>3.47109580039978</v>
      </c>
      <c r="I203" t="s">
        <v>26</v>
      </c>
    </row>
    <row r="204" spans="1:9">
      <c r="A204" t="s">
        <v>473</v>
      </c>
      <c r="B204" t="s">
        <v>474</v>
      </c>
      <c r="C204" t="s">
        <v>47</v>
      </c>
      <c r="D204" s="2">
        <f>157777696/(10^6)</f>
        <v>157.777696</v>
      </c>
      <c r="E204" s="3">
        <v>16.6005325317383</v>
      </c>
      <c r="F204" s="3">
        <v>2.1094822883606</v>
      </c>
      <c r="G204" s="3">
        <v>0.71827244758606</v>
      </c>
      <c r="H204" s="3">
        <v>6.30682706832886</v>
      </c>
      <c r="I204" t="s">
        <v>26</v>
      </c>
    </row>
    <row r="205" spans="1:9">
      <c r="A205" t="s">
        <v>475</v>
      </c>
      <c r="B205" t="s">
        <v>476</v>
      </c>
      <c r="C205" t="s">
        <v>45</v>
      </c>
      <c r="D205" s="2">
        <f>151881088/(10^6)</f>
        <v>151.881088</v>
      </c>
      <c r="E205" s="3" t="s">
        <v>86</v>
      </c>
      <c r="F205" s="3">
        <v>1.06109809875488</v>
      </c>
      <c r="G205" s="3">
        <v>10.7872934341431</v>
      </c>
      <c r="H205" s="3" t="s">
        <v>86</v>
      </c>
      <c r="I205" t="s">
        <v>26</v>
      </c>
    </row>
    <row r="206" spans="1:9">
      <c r="A206" t="s">
        <v>477</v>
      </c>
      <c r="B206" t="s">
        <v>478</v>
      </c>
      <c r="C206" t="s">
        <v>47</v>
      </c>
      <c r="D206" s="2">
        <f>150578464/(10^6)</f>
        <v>150.578464</v>
      </c>
      <c r="E206" s="3">
        <v>13.4367275238037</v>
      </c>
      <c r="F206" s="3">
        <v>0.40729433298111</v>
      </c>
      <c r="G206" s="3">
        <v>0.817398846149445</v>
      </c>
      <c r="H206" s="3">
        <v>9.59993839263916</v>
      </c>
      <c r="I206" t="s">
        <v>26</v>
      </c>
    </row>
    <row r="207" spans="1:9">
      <c r="A207" t="s">
        <v>479</v>
      </c>
      <c r="B207" t="s">
        <v>480</v>
      </c>
      <c r="C207" t="s">
        <v>51</v>
      </c>
      <c r="D207" s="2">
        <f>150381776/(10^6)</f>
        <v>150.381776</v>
      </c>
      <c r="E207" s="3">
        <v>15.2215013504028</v>
      </c>
      <c r="F207" s="3">
        <v>3.31286978721619</v>
      </c>
      <c r="G207" s="3">
        <v>0.764368534088135</v>
      </c>
      <c r="H207" s="3">
        <v>6.34363603591919</v>
      </c>
      <c r="I207" t="s">
        <v>26</v>
      </c>
    </row>
    <row r="208" spans="1:9">
      <c r="A208" t="s">
        <v>481</v>
      </c>
      <c r="B208" t="s">
        <v>482</v>
      </c>
      <c r="C208" t="s">
        <v>45</v>
      </c>
      <c r="D208" s="2">
        <f>149571024/(10^6)</f>
        <v>149.571024</v>
      </c>
      <c r="E208" s="3">
        <v>1.60552072525024</v>
      </c>
      <c r="F208" s="3">
        <v>0.8998082280159</v>
      </c>
      <c r="G208" s="3">
        <v>0.330509662628174</v>
      </c>
      <c r="H208" s="3">
        <v>3.26819252967835</v>
      </c>
      <c r="I208" t="s">
        <v>26</v>
      </c>
    </row>
    <row r="209" spans="1:9">
      <c r="A209" t="s">
        <v>483</v>
      </c>
      <c r="B209" t="s">
        <v>484</v>
      </c>
      <c r="C209" t="s">
        <v>41</v>
      </c>
      <c r="D209" s="2">
        <f>149289856/(10^6)</f>
        <v>149.289856</v>
      </c>
      <c r="E209" s="3">
        <v>17.2222213745117</v>
      </c>
      <c r="F209" s="3">
        <v>1.20701158046722</v>
      </c>
      <c r="G209" s="3">
        <v>1.71143579483032</v>
      </c>
      <c r="H209" s="3">
        <v>6.73664140701294</v>
      </c>
      <c r="I209" t="s">
        <v>26</v>
      </c>
    </row>
    <row r="210" spans="1:9">
      <c r="A210" t="s">
        <v>485</v>
      </c>
      <c r="B210" t="s">
        <v>486</v>
      </c>
      <c r="C210" t="s">
        <v>49</v>
      </c>
      <c r="D210" s="2">
        <f>149035376/(10^6)</f>
        <v>149.035376</v>
      </c>
      <c r="E210" s="3" t="s">
        <v>86</v>
      </c>
      <c r="F210" s="3" t="s">
        <v>86</v>
      </c>
      <c r="G210" s="3" t="s">
        <v>86</v>
      </c>
      <c r="H210" s="3" t="s">
        <v>86</v>
      </c>
      <c r="I210" t="s">
        <v>26</v>
      </c>
    </row>
    <row r="211" spans="1:9">
      <c r="A211" t="s">
        <v>487</v>
      </c>
      <c r="B211" t="s">
        <v>488</v>
      </c>
      <c r="C211" t="s">
        <v>45</v>
      </c>
      <c r="D211" s="2">
        <f>145239040/(10^6)</f>
        <v>145.23904</v>
      </c>
      <c r="E211" s="3">
        <v>5.94539737701416</v>
      </c>
      <c r="F211" s="3">
        <v>0.704379737377167</v>
      </c>
      <c r="G211" s="3">
        <v>5.8627872467041</v>
      </c>
      <c r="H211" s="3" t="s">
        <v>86</v>
      </c>
      <c r="I211" t="s">
        <v>26</v>
      </c>
    </row>
    <row r="212" spans="1:9">
      <c r="A212" t="s">
        <v>489</v>
      </c>
      <c r="B212" t="s">
        <v>490</v>
      </c>
      <c r="C212" t="s">
        <v>45</v>
      </c>
      <c r="D212" s="2">
        <f>144051456/(10^6)</f>
        <v>144.051456</v>
      </c>
      <c r="E212" s="3" t="s">
        <v>86</v>
      </c>
      <c r="F212" s="3">
        <v>1.3707230091095</v>
      </c>
      <c r="G212" s="3">
        <v>1.62621462345123</v>
      </c>
      <c r="H212" s="3">
        <v>410.328002929688</v>
      </c>
      <c r="I212" t="s">
        <v>26</v>
      </c>
    </row>
    <row r="213" spans="1:9">
      <c r="A213" t="s">
        <v>491</v>
      </c>
      <c r="B213" t="s">
        <v>492</v>
      </c>
      <c r="C213" t="s">
        <v>35</v>
      </c>
      <c r="D213" s="2">
        <f>142611696/(10^6)</f>
        <v>142.611696</v>
      </c>
      <c r="E213" s="3">
        <v>11.3194255828857</v>
      </c>
      <c r="F213" s="3">
        <v>1.73616147041321</v>
      </c>
      <c r="G213" s="3">
        <v>1.39295661449432</v>
      </c>
      <c r="H213" s="3">
        <v>4.72112846374512</v>
      </c>
      <c r="I213" t="s">
        <v>26</v>
      </c>
    </row>
    <row r="214" spans="1:9">
      <c r="A214" t="s">
        <v>493</v>
      </c>
      <c r="B214" t="s">
        <v>494</v>
      </c>
      <c r="C214" t="s">
        <v>47</v>
      </c>
      <c r="D214" s="2">
        <f>142091568/(10^6)</f>
        <v>142.091568</v>
      </c>
      <c r="E214" s="3">
        <v>33.9758377075195</v>
      </c>
      <c r="F214" s="3">
        <v>2.92538952827454</v>
      </c>
      <c r="G214" s="3">
        <v>0.966835796833038</v>
      </c>
      <c r="H214" s="3">
        <v>12.6201581954956</v>
      </c>
      <c r="I214" t="s">
        <v>26</v>
      </c>
    </row>
    <row r="215" spans="1:9">
      <c r="A215" t="s">
        <v>495</v>
      </c>
      <c r="B215" t="s">
        <v>496</v>
      </c>
      <c r="C215" t="s">
        <v>37</v>
      </c>
      <c r="D215" s="2">
        <f>141083888/(10^6)</f>
        <v>141.083888</v>
      </c>
      <c r="E215" s="3">
        <v>8.11379241943359</v>
      </c>
      <c r="F215" s="3">
        <v>2.05614876747131</v>
      </c>
      <c r="G215" s="3">
        <v>0.979012787342072</v>
      </c>
      <c r="H215" s="3">
        <v>5.32559251785278</v>
      </c>
      <c r="I215" t="s">
        <v>26</v>
      </c>
    </row>
    <row r="216" spans="1:9">
      <c r="A216" t="s">
        <v>497</v>
      </c>
      <c r="B216" t="s">
        <v>498</v>
      </c>
      <c r="C216" t="s">
        <v>45</v>
      </c>
      <c r="D216" s="2">
        <f>140721728/(10^6)</f>
        <v>140.721728</v>
      </c>
      <c r="E216" s="3">
        <v>3.68909525871277</v>
      </c>
      <c r="F216" s="3">
        <v>0.352056533098221</v>
      </c>
      <c r="G216" s="3">
        <v>0.464971572160721</v>
      </c>
      <c r="H216" s="3">
        <v>7.05033826828003</v>
      </c>
      <c r="I216" t="s">
        <v>26</v>
      </c>
    </row>
    <row r="217" spans="1:9">
      <c r="A217" t="s">
        <v>499</v>
      </c>
      <c r="B217" t="s">
        <v>500</v>
      </c>
      <c r="C217" t="s">
        <v>47</v>
      </c>
      <c r="D217" s="2">
        <f>140670656/(10^6)</f>
        <v>140.670656</v>
      </c>
      <c r="E217" s="3">
        <v>12.1191682815552</v>
      </c>
      <c r="F217" s="3">
        <v>0.846946060657501</v>
      </c>
      <c r="G217" s="3">
        <v>0.582065045833588</v>
      </c>
      <c r="H217" s="3">
        <v>32.6676330566406</v>
      </c>
      <c r="I217" t="s">
        <v>26</v>
      </c>
    </row>
    <row r="218" spans="1:9">
      <c r="A218" t="s">
        <v>501</v>
      </c>
      <c r="B218" t="s">
        <v>502</v>
      </c>
      <c r="C218" t="s">
        <v>51</v>
      </c>
      <c r="D218" s="2">
        <f>140549920/(10^6)</f>
        <v>140.54992</v>
      </c>
      <c r="E218" s="3" t="s">
        <v>86</v>
      </c>
      <c r="F218" s="3">
        <v>0.617124795913696</v>
      </c>
      <c r="G218" s="3" t="s">
        <v>86</v>
      </c>
      <c r="H218" s="3" t="s">
        <v>86</v>
      </c>
      <c r="I218" t="s">
        <v>26</v>
      </c>
    </row>
    <row r="219" spans="1:9">
      <c r="A219" t="s">
        <v>503</v>
      </c>
      <c r="B219" t="s">
        <v>504</v>
      </c>
      <c r="C219" t="s">
        <v>31</v>
      </c>
      <c r="D219" s="2">
        <f>138771776/(10^6)</f>
        <v>138.771776</v>
      </c>
      <c r="E219" s="3">
        <v>26.6666679382324</v>
      </c>
      <c r="F219" s="3">
        <v>0.560848593711853</v>
      </c>
      <c r="G219" s="3">
        <v>0.430741369724274</v>
      </c>
      <c r="H219" s="3">
        <v>5.5233359336853</v>
      </c>
      <c r="I219" t="s">
        <v>26</v>
      </c>
    </row>
    <row r="220" spans="1:9">
      <c r="A220" t="s">
        <v>505</v>
      </c>
      <c r="B220" t="s">
        <v>506</v>
      </c>
      <c r="C220" t="s">
        <v>51</v>
      </c>
      <c r="D220" s="2">
        <f>138260960/(10^6)</f>
        <v>138.26096</v>
      </c>
      <c r="E220" s="3">
        <v>9.19995212554932</v>
      </c>
      <c r="F220" s="3">
        <v>1.33897066116333</v>
      </c>
      <c r="G220" s="3">
        <v>0.509161472320557</v>
      </c>
      <c r="H220" s="3" t="s">
        <v>86</v>
      </c>
      <c r="I220" t="s">
        <v>26</v>
      </c>
    </row>
    <row r="221" spans="1:9">
      <c r="A221" t="s">
        <v>507</v>
      </c>
      <c r="B221" t="s">
        <v>508</v>
      </c>
      <c r="C221" t="s">
        <v>37</v>
      </c>
      <c r="D221" s="2">
        <f>137344976/(10^6)</f>
        <v>137.344976</v>
      </c>
      <c r="E221" s="3">
        <v>5.16091823577881</v>
      </c>
      <c r="F221" s="3">
        <v>1.4034743309021</v>
      </c>
      <c r="G221" s="3">
        <v>1.29869186878204</v>
      </c>
      <c r="H221" s="3">
        <v>3.45984959602356</v>
      </c>
      <c r="I221" t="s">
        <v>26</v>
      </c>
    </row>
    <row r="222" spans="1:9">
      <c r="A222" t="s">
        <v>509</v>
      </c>
      <c r="B222" t="s">
        <v>510</v>
      </c>
      <c r="C222" t="s">
        <v>45</v>
      </c>
      <c r="D222" s="2">
        <f>137168560/(10^6)</f>
        <v>137.16856</v>
      </c>
      <c r="E222" s="3">
        <v>9.63285064697266</v>
      </c>
      <c r="F222" s="3">
        <v>0.873633861541748</v>
      </c>
      <c r="G222" s="3">
        <v>4.6455249786377</v>
      </c>
      <c r="H222" s="3" t="s">
        <v>86</v>
      </c>
      <c r="I222" t="s">
        <v>26</v>
      </c>
    </row>
    <row r="223" spans="1:9">
      <c r="A223" t="s">
        <v>511</v>
      </c>
      <c r="B223" t="s">
        <v>512</v>
      </c>
      <c r="C223" t="s">
        <v>45</v>
      </c>
      <c r="D223" s="2">
        <f>136809072/(10^6)</f>
        <v>136.809072</v>
      </c>
      <c r="E223" s="3" t="s">
        <v>86</v>
      </c>
      <c r="F223" s="3">
        <v>1.0993926525116</v>
      </c>
      <c r="G223" s="3">
        <v>8.69976806640625</v>
      </c>
      <c r="H223" s="3" t="s">
        <v>86</v>
      </c>
      <c r="I223" t="s">
        <v>26</v>
      </c>
    </row>
    <row r="224" spans="1:9">
      <c r="A224" t="s">
        <v>513</v>
      </c>
      <c r="B224" t="s">
        <v>514</v>
      </c>
      <c r="C224" t="s">
        <v>45</v>
      </c>
      <c r="D224" s="2">
        <f>135834320/(10^6)</f>
        <v>135.83432</v>
      </c>
      <c r="E224" s="3">
        <v>3.01583027839661</v>
      </c>
      <c r="F224" s="3">
        <v>0.399150967597961</v>
      </c>
      <c r="G224" s="3" t="s">
        <v>86</v>
      </c>
      <c r="H224" s="3">
        <v>1.89392852783203</v>
      </c>
      <c r="I224" t="s">
        <v>26</v>
      </c>
    </row>
    <row r="225" spans="1:9">
      <c r="A225" t="s">
        <v>515</v>
      </c>
      <c r="B225" t="s">
        <v>516</v>
      </c>
      <c r="C225" t="s">
        <v>39</v>
      </c>
      <c r="D225" s="2">
        <f>135446000/(10^6)</f>
        <v>135.446</v>
      </c>
      <c r="E225" s="3">
        <v>4.47167825698853</v>
      </c>
      <c r="F225" s="3">
        <v>0.673545122146606</v>
      </c>
      <c r="G225" s="3">
        <v>2.55277156829834</v>
      </c>
      <c r="H225" s="3">
        <v>21.1286869049072</v>
      </c>
      <c r="I225" t="s">
        <v>26</v>
      </c>
    </row>
    <row r="226" spans="1:9">
      <c r="A226" t="s">
        <v>517</v>
      </c>
      <c r="B226" t="s">
        <v>518</v>
      </c>
      <c r="C226" t="s">
        <v>33</v>
      </c>
      <c r="D226" s="2">
        <f>134663456/(10^6)</f>
        <v>134.663456</v>
      </c>
      <c r="E226" s="3" t="s">
        <v>86</v>
      </c>
      <c r="F226" s="3">
        <v>1.36772656440735</v>
      </c>
      <c r="G226" s="3">
        <v>1.52675724029541</v>
      </c>
      <c r="H226" s="3">
        <v>5.7288556098938</v>
      </c>
      <c r="I226" t="s">
        <v>26</v>
      </c>
    </row>
    <row r="227" spans="1:9">
      <c r="A227" t="s">
        <v>519</v>
      </c>
      <c r="B227" t="s">
        <v>520</v>
      </c>
      <c r="C227" t="s">
        <v>31</v>
      </c>
      <c r="D227" s="2">
        <f>133078720/(10^6)</f>
        <v>133.07872</v>
      </c>
      <c r="E227" s="3">
        <v>6.01143074035645</v>
      </c>
      <c r="F227" s="3">
        <v>0.538810551166534</v>
      </c>
      <c r="G227" s="3">
        <v>0.364608138799667</v>
      </c>
      <c r="H227" s="3">
        <v>5.73192501068115</v>
      </c>
      <c r="I227" t="s">
        <v>26</v>
      </c>
    </row>
    <row r="228" spans="1:9">
      <c r="A228" t="s">
        <v>521</v>
      </c>
      <c r="B228" t="s">
        <v>522</v>
      </c>
      <c r="C228" t="s">
        <v>37</v>
      </c>
      <c r="D228" s="2">
        <f>132062480/(10^6)</f>
        <v>132.06248</v>
      </c>
      <c r="E228" s="3">
        <v>14.0245370864868</v>
      </c>
      <c r="F228" s="3">
        <v>0.84674459695816</v>
      </c>
      <c r="G228" s="3">
        <v>1.44838166236877</v>
      </c>
      <c r="H228" s="3">
        <v>3.7243435382843</v>
      </c>
      <c r="I228" t="s">
        <v>26</v>
      </c>
    </row>
    <row r="229" spans="1:9">
      <c r="A229" t="s">
        <v>523</v>
      </c>
      <c r="B229" t="s">
        <v>524</v>
      </c>
      <c r="C229" t="s">
        <v>51</v>
      </c>
      <c r="D229" s="2">
        <f>131876280/(10^6)</f>
        <v>131.87628</v>
      </c>
      <c r="E229" s="3">
        <v>11.081636428833</v>
      </c>
      <c r="F229" s="3">
        <v>1.26188743114471</v>
      </c>
      <c r="G229" s="3">
        <v>0.278737902641296</v>
      </c>
      <c r="H229" s="3">
        <v>7.11009502410889</v>
      </c>
      <c r="I229" t="s">
        <v>26</v>
      </c>
    </row>
    <row r="230" spans="1:9">
      <c r="A230" t="s">
        <v>525</v>
      </c>
      <c r="B230" t="s">
        <v>526</v>
      </c>
      <c r="C230" t="s">
        <v>37</v>
      </c>
      <c r="D230" s="2">
        <f>129646304/(10^6)</f>
        <v>129.646304</v>
      </c>
      <c r="E230" s="3" t="s">
        <v>86</v>
      </c>
      <c r="F230" s="3">
        <v>0.189824342727661</v>
      </c>
      <c r="G230" s="3">
        <v>0.555782556533813</v>
      </c>
      <c r="H230" s="3" t="s">
        <v>86</v>
      </c>
      <c r="I230" t="s">
        <v>26</v>
      </c>
    </row>
    <row r="231" spans="1:9">
      <c r="A231" t="s">
        <v>527</v>
      </c>
      <c r="B231" t="s">
        <v>528</v>
      </c>
      <c r="C231" t="s">
        <v>45</v>
      </c>
      <c r="D231" s="2">
        <f>128932424/(10^6)</f>
        <v>128.932424</v>
      </c>
      <c r="E231" s="3">
        <v>4.0776515007019</v>
      </c>
      <c r="F231" s="3">
        <v>0.225092515349388</v>
      </c>
      <c r="G231" s="3">
        <v>0.533916711807251</v>
      </c>
      <c r="H231" s="3">
        <v>11.1214189529419</v>
      </c>
      <c r="I231" t="s">
        <v>26</v>
      </c>
    </row>
    <row r="232" spans="1:9">
      <c r="A232" t="s">
        <v>529</v>
      </c>
      <c r="B232" t="s">
        <v>530</v>
      </c>
      <c r="C232" t="s">
        <v>43</v>
      </c>
      <c r="D232" s="2">
        <f>126473744/(10^6)</f>
        <v>126.473744</v>
      </c>
      <c r="E232" s="3">
        <v>9.5671215057373</v>
      </c>
      <c r="F232" s="3">
        <v>0.7357377409935</v>
      </c>
      <c r="G232" s="3">
        <v>0.452959179878235</v>
      </c>
      <c r="H232" s="3" t="s">
        <v>86</v>
      </c>
      <c r="I232" t="s">
        <v>26</v>
      </c>
    </row>
    <row r="233" spans="1:9">
      <c r="A233" t="s">
        <v>531</v>
      </c>
      <c r="B233" t="s">
        <v>532</v>
      </c>
      <c r="C233" t="s">
        <v>45</v>
      </c>
      <c r="D233" s="2">
        <f>126077672/(10^6)</f>
        <v>126.077672</v>
      </c>
      <c r="E233" s="3">
        <v>9.70179557800293</v>
      </c>
      <c r="F233" s="3">
        <v>0.89309424161911</v>
      </c>
      <c r="G233" s="3">
        <v>6.45835161209106</v>
      </c>
      <c r="H233" s="3" t="s">
        <v>86</v>
      </c>
      <c r="I233" t="s">
        <v>26</v>
      </c>
    </row>
    <row r="234" spans="1:9">
      <c r="A234" t="s">
        <v>533</v>
      </c>
      <c r="B234" t="s">
        <v>534</v>
      </c>
      <c r="C234" t="s">
        <v>31</v>
      </c>
      <c r="D234" s="2">
        <f>125106264/(10^6)</f>
        <v>125.106264</v>
      </c>
      <c r="E234" s="3" t="s">
        <v>86</v>
      </c>
      <c r="F234" s="3">
        <v>0.326453983783722</v>
      </c>
      <c r="G234" s="3">
        <v>0.908823609352112</v>
      </c>
      <c r="H234" s="3">
        <v>9.62738609313965</v>
      </c>
      <c r="I234" t="s">
        <v>26</v>
      </c>
    </row>
    <row r="235" spans="1:9">
      <c r="A235" t="s">
        <v>535</v>
      </c>
      <c r="B235" t="s">
        <v>536</v>
      </c>
      <c r="C235" t="s">
        <v>31</v>
      </c>
      <c r="D235" s="2">
        <f>122881656/(10^6)</f>
        <v>122.881656</v>
      </c>
      <c r="E235" s="3" t="s">
        <v>86</v>
      </c>
      <c r="F235" s="3">
        <v>0.297455757856369</v>
      </c>
      <c r="G235" s="3">
        <v>0.062793537974358</v>
      </c>
      <c r="H235" s="3">
        <v>7.83309507369995</v>
      </c>
      <c r="I235" t="s">
        <v>26</v>
      </c>
    </row>
    <row r="236" spans="1:9">
      <c r="A236" t="s">
        <v>537</v>
      </c>
      <c r="B236" t="s">
        <v>538</v>
      </c>
      <c r="C236" t="s">
        <v>43</v>
      </c>
      <c r="D236" s="2">
        <f>121463768/(10^6)</f>
        <v>121.463768</v>
      </c>
      <c r="E236" s="3" t="s">
        <v>86</v>
      </c>
      <c r="F236" s="3">
        <v>0.718064486980438</v>
      </c>
      <c r="G236" s="3">
        <v>1.56632280349731</v>
      </c>
      <c r="H236" s="3">
        <v>15.4470615386963</v>
      </c>
      <c r="I236" t="s">
        <v>26</v>
      </c>
    </row>
    <row r="237" spans="1:9">
      <c r="A237" t="s">
        <v>539</v>
      </c>
      <c r="B237" t="s">
        <v>540</v>
      </c>
      <c r="C237" t="s">
        <v>45</v>
      </c>
      <c r="D237" s="2">
        <f>120439144/(10^6)</f>
        <v>120.439144</v>
      </c>
      <c r="E237" s="3">
        <v>12.4853267669678</v>
      </c>
      <c r="F237" s="3">
        <v>0.366719424724579</v>
      </c>
      <c r="G237" s="3">
        <v>0.447222024202347</v>
      </c>
      <c r="H237" s="3">
        <v>336.331237792969</v>
      </c>
      <c r="I237" t="s">
        <v>26</v>
      </c>
    </row>
    <row r="238" spans="1:9">
      <c r="A238" t="s">
        <v>541</v>
      </c>
      <c r="B238" t="s">
        <v>542</v>
      </c>
      <c r="C238" t="s">
        <v>39</v>
      </c>
      <c r="D238" s="2">
        <f>119863016/(10^6)</f>
        <v>119.863016</v>
      </c>
      <c r="E238" s="3" t="s">
        <v>86</v>
      </c>
      <c r="F238" s="3">
        <v>1.866614818573</v>
      </c>
      <c r="G238" s="3">
        <v>11.4651508331299</v>
      </c>
      <c r="H238" s="3">
        <v>354.297088623047</v>
      </c>
      <c r="I238" t="s">
        <v>26</v>
      </c>
    </row>
    <row r="239" spans="1:9">
      <c r="A239" t="s">
        <v>543</v>
      </c>
      <c r="B239" t="s">
        <v>544</v>
      </c>
      <c r="C239" t="s">
        <v>39</v>
      </c>
      <c r="D239" s="2">
        <f>118735264/(10^6)</f>
        <v>118.735264</v>
      </c>
      <c r="E239" s="3">
        <v>30.9063243865967</v>
      </c>
      <c r="F239" s="3">
        <v>1.41967713832855</v>
      </c>
      <c r="G239" s="3">
        <v>0.871001362800598</v>
      </c>
      <c r="H239" s="3">
        <v>9.43418788909912</v>
      </c>
      <c r="I239" t="s">
        <v>26</v>
      </c>
    </row>
    <row r="240" spans="1:9">
      <c r="A240" t="s">
        <v>545</v>
      </c>
      <c r="B240" t="s">
        <v>546</v>
      </c>
      <c r="C240" t="s">
        <v>51</v>
      </c>
      <c r="D240" s="2">
        <f>116613080/(10^6)</f>
        <v>116.61308</v>
      </c>
      <c r="E240" s="3">
        <v>25.4545459747314</v>
      </c>
      <c r="F240" s="3">
        <v>3.18079161643982</v>
      </c>
      <c r="G240" s="3">
        <v>6.35882377624512</v>
      </c>
      <c r="H240" s="3">
        <v>17.265022277832</v>
      </c>
      <c r="I240" t="s">
        <v>26</v>
      </c>
    </row>
    <row r="241" spans="1:9">
      <c r="A241" t="s">
        <v>547</v>
      </c>
      <c r="B241" t="s">
        <v>548</v>
      </c>
      <c r="C241" t="s">
        <v>45</v>
      </c>
      <c r="D241" s="2">
        <f>116326448/(10^6)</f>
        <v>116.326448</v>
      </c>
      <c r="E241" s="3">
        <v>19.5129356384277</v>
      </c>
      <c r="F241" s="3">
        <v>1.02588057518005</v>
      </c>
      <c r="G241" s="3">
        <v>7.53919267654419</v>
      </c>
      <c r="H241" s="3" t="s">
        <v>86</v>
      </c>
      <c r="I241" t="s">
        <v>26</v>
      </c>
    </row>
    <row r="242" spans="1:9">
      <c r="A242" t="s">
        <v>549</v>
      </c>
      <c r="B242" t="s">
        <v>550</v>
      </c>
      <c r="C242" t="s">
        <v>47</v>
      </c>
      <c r="D242" s="2">
        <f>115212072/(10^6)</f>
        <v>115.212072</v>
      </c>
      <c r="E242" s="3">
        <v>5.63909769058228</v>
      </c>
      <c r="F242" s="3">
        <v>0.763803482055664</v>
      </c>
      <c r="G242" s="3">
        <v>0.342077016830444</v>
      </c>
      <c r="H242" s="3">
        <v>5.08697175979614</v>
      </c>
      <c r="I242" t="s">
        <v>26</v>
      </c>
    </row>
    <row r="243" spans="1:9">
      <c r="A243" t="s">
        <v>551</v>
      </c>
      <c r="B243" t="s">
        <v>552</v>
      </c>
      <c r="C243" t="s">
        <v>45</v>
      </c>
      <c r="D243" s="2">
        <f>114101984/(10^6)</f>
        <v>114.101984</v>
      </c>
      <c r="E243" s="3">
        <v>11.2072057723999</v>
      </c>
      <c r="F243" s="3">
        <v>1.74979507923126</v>
      </c>
      <c r="G243" s="3">
        <v>6.50890588760376</v>
      </c>
      <c r="H243" s="3" t="s">
        <v>86</v>
      </c>
      <c r="I243" t="s">
        <v>26</v>
      </c>
    </row>
    <row r="244" spans="1:9">
      <c r="A244" t="s">
        <v>553</v>
      </c>
      <c r="B244" t="s">
        <v>554</v>
      </c>
      <c r="C244" t="s">
        <v>45</v>
      </c>
      <c r="D244" s="2">
        <f>112885224/(10^6)</f>
        <v>112.885224</v>
      </c>
      <c r="E244" s="3">
        <v>11.7917985916138</v>
      </c>
      <c r="F244" s="3">
        <v>1.00342571735382</v>
      </c>
      <c r="G244" s="3">
        <v>9.26993751525879</v>
      </c>
      <c r="H244" s="3" t="s">
        <v>86</v>
      </c>
      <c r="I244" t="s">
        <v>26</v>
      </c>
    </row>
    <row r="245" spans="1:9">
      <c r="A245" t="s">
        <v>555</v>
      </c>
      <c r="B245" t="s">
        <v>556</v>
      </c>
      <c r="C245" t="s">
        <v>47</v>
      </c>
      <c r="D245" s="2">
        <f>112337464/(10^6)</f>
        <v>112.337464</v>
      </c>
      <c r="E245" s="3">
        <v>14.6618614196777</v>
      </c>
      <c r="F245" s="3">
        <v>3.33775591850281</v>
      </c>
      <c r="G245" s="3">
        <v>1.79003763198852</v>
      </c>
      <c r="H245" s="3">
        <v>9.52719116210938</v>
      </c>
      <c r="I245" t="s">
        <v>26</v>
      </c>
    </row>
    <row r="246" spans="1:9">
      <c r="A246" t="s">
        <v>557</v>
      </c>
      <c r="B246" t="s">
        <v>558</v>
      </c>
      <c r="C246" t="s">
        <v>35</v>
      </c>
      <c r="D246" s="2">
        <f>109484000/(10^6)</f>
        <v>109.484</v>
      </c>
      <c r="E246" s="3">
        <v>7.42823791503906</v>
      </c>
      <c r="F246" s="3">
        <v>0.916398704051971</v>
      </c>
      <c r="G246" s="3">
        <v>0.556258916854858</v>
      </c>
      <c r="H246" s="3">
        <v>4.47887802124023</v>
      </c>
      <c r="I246" t="s">
        <v>26</v>
      </c>
    </row>
    <row r="247" spans="1:9">
      <c r="A247" t="s">
        <v>559</v>
      </c>
      <c r="B247" t="s">
        <v>560</v>
      </c>
      <c r="C247" t="s">
        <v>35</v>
      </c>
      <c r="D247" s="2">
        <f>109386008/(10^6)</f>
        <v>109.386008</v>
      </c>
      <c r="E247" s="3">
        <v>15.5405416488647</v>
      </c>
      <c r="F247" s="3">
        <v>1.09792447090149</v>
      </c>
      <c r="G247" s="3">
        <v>0.767753183841705</v>
      </c>
      <c r="H247" s="3">
        <v>6.59785461425781</v>
      </c>
      <c r="I247" t="s">
        <v>26</v>
      </c>
    </row>
    <row r="248" spans="1:9">
      <c r="A248" t="s">
        <v>561</v>
      </c>
      <c r="B248" t="s">
        <v>562</v>
      </c>
      <c r="C248" t="s">
        <v>31</v>
      </c>
      <c r="D248" s="2">
        <f>108828848/(10^6)</f>
        <v>108.828848</v>
      </c>
      <c r="E248" s="3">
        <v>6.09950971603394</v>
      </c>
      <c r="F248" s="3">
        <v>0.187384128570557</v>
      </c>
      <c r="G248" s="3">
        <v>0.220897987484932</v>
      </c>
      <c r="H248" s="3">
        <v>6.31866121292114</v>
      </c>
      <c r="I248" t="s">
        <v>26</v>
      </c>
    </row>
    <row r="249" spans="1:9">
      <c r="A249" t="s">
        <v>563</v>
      </c>
      <c r="B249" t="s">
        <v>564</v>
      </c>
      <c r="C249" t="s">
        <v>45</v>
      </c>
      <c r="D249" s="2">
        <f>108773480/(10^6)</f>
        <v>108.77348</v>
      </c>
      <c r="E249" s="3">
        <v>3.98128581047058</v>
      </c>
      <c r="F249" s="3">
        <v>0.538335800170898</v>
      </c>
      <c r="G249" s="3">
        <v>0.764323890209198</v>
      </c>
      <c r="H249" s="3">
        <v>5.79021739959717</v>
      </c>
      <c r="I249" t="s">
        <v>26</v>
      </c>
    </row>
    <row r="250" spans="1:9">
      <c r="A250" t="s">
        <v>565</v>
      </c>
      <c r="B250" t="s">
        <v>566</v>
      </c>
      <c r="C250" t="s">
        <v>45</v>
      </c>
      <c r="D250" s="2">
        <f>108231512/(10^6)</f>
        <v>108.231512</v>
      </c>
      <c r="E250" s="3">
        <v>1489.85852050781</v>
      </c>
      <c r="F250" s="3">
        <v>1.40211939811706</v>
      </c>
      <c r="G250" s="3">
        <v>6.72309112548828</v>
      </c>
      <c r="H250" s="3">
        <v>36.4359169006348</v>
      </c>
      <c r="I250" t="s">
        <v>26</v>
      </c>
    </row>
    <row r="251" spans="1:9">
      <c r="A251" t="s">
        <v>567</v>
      </c>
      <c r="B251" t="s">
        <v>568</v>
      </c>
      <c r="C251" t="s">
        <v>35</v>
      </c>
      <c r="D251" s="2">
        <f>107082064/(10^6)</f>
        <v>107.082064</v>
      </c>
      <c r="E251" s="3" t="s">
        <v>86</v>
      </c>
      <c r="F251" s="3">
        <v>0.751042008399963</v>
      </c>
      <c r="G251" s="3">
        <v>4.47032451629639</v>
      </c>
      <c r="H251" s="3" t="s">
        <v>86</v>
      </c>
      <c r="I251" t="s">
        <v>26</v>
      </c>
    </row>
    <row r="252" spans="1:9">
      <c r="A252" t="s">
        <v>569</v>
      </c>
      <c r="B252" t="s">
        <v>570</v>
      </c>
      <c r="C252" t="s">
        <v>51</v>
      </c>
      <c r="D252" s="2">
        <f>105513984/(10^6)</f>
        <v>105.513984</v>
      </c>
      <c r="E252" s="3">
        <v>8.66677665710449</v>
      </c>
      <c r="F252" s="3">
        <v>1.17963945865631</v>
      </c>
      <c r="G252" s="3">
        <v>0.484781533479691</v>
      </c>
      <c r="H252" s="3">
        <v>5.96256160736084</v>
      </c>
      <c r="I252" t="s">
        <v>26</v>
      </c>
    </row>
    <row r="253" spans="1:9">
      <c r="A253" t="s">
        <v>571</v>
      </c>
      <c r="B253" t="s">
        <v>572</v>
      </c>
      <c r="C253" t="s">
        <v>43</v>
      </c>
      <c r="D253" s="2">
        <f>104884400/(10^6)</f>
        <v>104.8844</v>
      </c>
      <c r="E253" s="3">
        <v>6.54140186309815</v>
      </c>
      <c r="F253" s="3">
        <v>0.621796488761902</v>
      </c>
      <c r="G253" s="3">
        <v>0.887301206588745</v>
      </c>
      <c r="H253" s="3">
        <v>7.09867238998413</v>
      </c>
      <c r="I253" t="s">
        <v>26</v>
      </c>
    </row>
    <row r="254" spans="1:9">
      <c r="A254" t="s">
        <v>573</v>
      </c>
      <c r="B254" t="s">
        <v>574</v>
      </c>
      <c r="C254" t="s">
        <v>35</v>
      </c>
      <c r="D254" s="2">
        <f>103388040/(10^6)</f>
        <v>103.38804</v>
      </c>
      <c r="E254" s="3">
        <v>7.55018997192383</v>
      </c>
      <c r="F254" s="3">
        <v>1.14143681526184</v>
      </c>
      <c r="G254" s="3">
        <v>0.491403192281723</v>
      </c>
      <c r="H254" s="3">
        <v>4.86193037033081</v>
      </c>
      <c r="I254" t="s">
        <v>26</v>
      </c>
    </row>
    <row r="255" spans="1:9">
      <c r="A255" t="s">
        <v>575</v>
      </c>
      <c r="B255" t="s">
        <v>576</v>
      </c>
      <c r="C255" t="s">
        <v>31</v>
      </c>
      <c r="D255" s="2">
        <f>102691624/(10^6)</f>
        <v>102.691624</v>
      </c>
      <c r="E255" s="3" t="s">
        <v>86</v>
      </c>
      <c r="F255" s="3">
        <v>0.525766611099243</v>
      </c>
      <c r="G255" s="3">
        <v>0.345262587070465</v>
      </c>
      <c r="H255" s="3" t="s">
        <v>86</v>
      </c>
      <c r="I255" t="s">
        <v>26</v>
      </c>
    </row>
    <row r="256" spans="1:9">
      <c r="A256" t="s">
        <v>577</v>
      </c>
      <c r="B256" t="s">
        <v>578</v>
      </c>
      <c r="C256" t="s">
        <v>37</v>
      </c>
      <c r="D256" s="2">
        <f>102250808/(10^6)</f>
        <v>102.250808</v>
      </c>
      <c r="E256" s="3">
        <v>5.48964023590088</v>
      </c>
      <c r="F256" s="3">
        <v>1.15439593791962</v>
      </c>
      <c r="G256" s="3">
        <v>0.990752041339874</v>
      </c>
      <c r="H256" s="3">
        <v>3.76444220542908</v>
      </c>
      <c r="I256" t="s">
        <v>26</v>
      </c>
    </row>
    <row r="257" spans="1:9">
      <c r="A257" t="s">
        <v>579</v>
      </c>
      <c r="B257" t="s">
        <v>580</v>
      </c>
      <c r="C257" t="s">
        <v>51</v>
      </c>
      <c r="D257" s="2">
        <f>100681720/(10^6)</f>
        <v>100.68172</v>
      </c>
      <c r="E257" s="3">
        <v>5.84598302841187</v>
      </c>
      <c r="F257" s="3">
        <v>1.00226938724518</v>
      </c>
      <c r="G257" s="3">
        <v>0.089321054518223</v>
      </c>
      <c r="H257" s="3">
        <v>13.7127590179443</v>
      </c>
      <c r="I257" t="s">
        <v>26</v>
      </c>
    </row>
    <row r="258" spans="1:9">
      <c r="A258" t="s">
        <v>581</v>
      </c>
      <c r="B258" t="s">
        <v>582</v>
      </c>
      <c r="C258" t="s">
        <v>35</v>
      </c>
      <c r="D258" s="2">
        <f>100550768/(10^6)</f>
        <v>100.550768</v>
      </c>
      <c r="E258" s="3">
        <v>11.4795446395874</v>
      </c>
      <c r="F258" s="3">
        <v>0.82258802652359</v>
      </c>
      <c r="G258" s="3">
        <v>0.637379944324493</v>
      </c>
      <c r="H258" s="3">
        <v>5.95978593826294</v>
      </c>
      <c r="I258" t="s">
        <v>26</v>
      </c>
    </row>
    <row r="259" spans="1:9">
      <c r="A259" t="s">
        <v>583</v>
      </c>
      <c r="B259" t="s">
        <v>584</v>
      </c>
      <c r="C259" t="s">
        <v>31</v>
      </c>
      <c r="D259" s="2">
        <f>100248048/(10^6)</f>
        <v>100.248048</v>
      </c>
      <c r="E259" s="3">
        <v>8.71175003051758</v>
      </c>
      <c r="F259" s="3">
        <v>0.863357961177826</v>
      </c>
      <c r="G259" s="3">
        <v>2.30757141113281</v>
      </c>
      <c r="H259" s="3">
        <v>2.39728784561157</v>
      </c>
      <c r="I259" t="s">
        <v>26</v>
      </c>
    </row>
    <row r="260" spans="1:9">
      <c r="A260" t="s">
        <v>585</v>
      </c>
      <c r="B260" t="s">
        <v>586</v>
      </c>
      <c r="C260" t="s">
        <v>47</v>
      </c>
      <c r="D260" s="2">
        <f>99609040/(10^6)</f>
        <v>99.60904</v>
      </c>
      <c r="E260" s="3">
        <v>3.60974979400635</v>
      </c>
      <c r="F260" s="3">
        <v>0.451451510190964</v>
      </c>
      <c r="G260" s="3">
        <v>0.403652310371399</v>
      </c>
      <c r="H260" s="3">
        <v>0.83289247751236</v>
      </c>
      <c r="I260" t="s">
        <v>26</v>
      </c>
    </row>
    <row r="261" spans="1:9">
      <c r="A261" t="s">
        <v>587</v>
      </c>
      <c r="B261" t="s">
        <v>588</v>
      </c>
      <c r="C261" t="s">
        <v>47</v>
      </c>
      <c r="D261" s="2">
        <f>97611400/(10^6)</f>
        <v>97.6114</v>
      </c>
      <c r="E261" s="3">
        <v>21.9511451721191</v>
      </c>
      <c r="F261" s="3">
        <v>3.38847184181213</v>
      </c>
      <c r="G261" s="3">
        <v>3.30730605125427</v>
      </c>
      <c r="H261" s="3">
        <v>9.89862728118896</v>
      </c>
      <c r="I261" t="s">
        <v>26</v>
      </c>
    </row>
    <row r="262" spans="1:9">
      <c r="A262" t="s">
        <v>589</v>
      </c>
      <c r="B262" t="s">
        <v>590</v>
      </c>
      <c r="C262" t="s">
        <v>45</v>
      </c>
      <c r="D262" s="2">
        <f>95557120/(10^6)</f>
        <v>95.55712</v>
      </c>
      <c r="E262" s="3">
        <v>2.91951870918274</v>
      </c>
      <c r="F262" s="3">
        <v>0.228579565882683</v>
      </c>
      <c r="G262" s="3">
        <v>0.14966656267643</v>
      </c>
      <c r="H262" s="3">
        <v>11.1256723403931</v>
      </c>
      <c r="I262" t="s">
        <v>26</v>
      </c>
    </row>
    <row r="263" spans="1:9">
      <c r="A263" t="s">
        <v>591</v>
      </c>
      <c r="B263" t="s">
        <v>592</v>
      </c>
      <c r="C263" t="s">
        <v>37</v>
      </c>
      <c r="D263" s="2">
        <f>94166288/(10^6)</f>
        <v>94.166288</v>
      </c>
      <c r="E263" s="3">
        <v>9.12622737884521</v>
      </c>
      <c r="F263" s="3">
        <v>1.15780818462372</v>
      </c>
      <c r="G263" s="3">
        <v>1.47685372829437</v>
      </c>
      <c r="H263" s="3">
        <v>5.97130823135376</v>
      </c>
      <c r="I263" t="s">
        <v>26</v>
      </c>
    </row>
    <row r="264" spans="1:9">
      <c r="A264" t="s">
        <v>593</v>
      </c>
      <c r="B264" t="s">
        <v>594</v>
      </c>
      <c r="C264" t="s">
        <v>33</v>
      </c>
      <c r="D264" s="2">
        <f>93490128/(10^6)</f>
        <v>93.490128</v>
      </c>
      <c r="E264" s="3">
        <v>6.69972610473633</v>
      </c>
      <c r="F264" s="3">
        <v>0.823658466339111</v>
      </c>
      <c r="G264" s="3">
        <v>0.33237823843956</v>
      </c>
      <c r="H264" s="3">
        <v>4.0587911605835</v>
      </c>
      <c r="I264" t="s">
        <v>26</v>
      </c>
    </row>
    <row r="265" spans="1:9">
      <c r="A265" t="s">
        <v>595</v>
      </c>
      <c r="B265" t="s">
        <v>596</v>
      </c>
      <c r="C265" t="s">
        <v>37</v>
      </c>
      <c r="D265" s="2">
        <f>93104480/(10^6)</f>
        <v>93.10448</v>
      </c>
      <c r="E265" s="3" t="s">
        <v>86</v>
      </c>
      <c r="F265" s="3">
        <v>0.339532256126404</v>
      </c>
      <c r="G265" s="3">
        <v>0.211067050695419</v>
      </c>
      <c r="H265" s="3">
        <v>5.04150056838989</v>
      </c>
      <c r="I265" t="s">
        <v>26</v>
      </c>
    </row>
    <row r="266" spans="1:9">
      <c r="A266" t="s">
        <v>597</v>
      </c>
      <c r="B266" t="s">
        <v>598</v>
      </c>
      <c r="C266" t="s">
        <v>37</v>
      </c>
      <c r="D266" s="2">
        <f>92352360/(10^6)</f>
        <v>92.35236</v>
      </c>
      <c r="E266" s="3">
        <v>12.3420066833496</v>
      </c>
      <c r="F266" s="3">
        <v>0.810916185379028</v>
      </c>
      <c r="G266" s="3">
        <v>0.4244145154953</v>
      </c>
      <c r="H266" s="3">
        <v>10.9762783050537</v>
      </c>
      <c r="I266" t="s">
        <v>26</v>
      </c>
    </row>
    <row r="267" spans="1:9">
      <c r="A267" t="s">
        <v>599</v>
      </c>
      <c r="B267" t="s">
        <v>600</v>
      </c>
      <c r="C267" t="s">
        <v>37</v>
      </c>
      <c r="D267" s="2">
        <f>91728912/(10^6)</f>
        <v>91.728912</v>
      </c>
      <c r="E267" s="3">
        <v>9.83415031433105</v>
      </c>
      <c r="F267" s="3">
        <v>1.01911354064941</v>
      </c>
      <c r="G267" s="3">
        <v>0.150372788310051</v>
      </c>
      <c r="H267" s="3">
        <v>11.3278779983521</v>
      </c>
      <c r="I267" t="s">
        <v>26</v>
      </c>
    </row>
    <row r="268" spans="1:9">
      <c r="A268" t="s">
        <v>601</v>
      </c>
      <c r="B268" t="s">
        <v>602</v>
      </c>
      <c r="C268" t="s">
        <v>35</v>
      </c>
      <c r="D268" s="2">
        <f>91600880/(10^6)</f>
        <v>91.60088</v>
      </c>
      <c r="E268" s="3">
        <v>10.7914457321167</v>
      </c>
      <c r="F268" s="3">
        <v>1.7875519990921</v>
      </c>
      <c r="G268" s="3">
        <v>0.723227262496948</v>
      </c>
      <c r="H268" s="3">
        <v>6.41551208496094</v>
      </c>
      <c r="I268" t="s">
        <v>26</v>
      </c>
    </row>
    <row r="269" spans="1:9">
      <c r="A269" t="s">
        <v>603</v>
      </c>
      <c r="B269" t="s">
        <v>604</v>
      </c>
      <c r="C269" t="s">
        <v>33</v>
      </c>
      <c r="D269" s="2">
        <f>90488856/(10^6)</f>
        <v>90.488856</v>
      </c>
      <c r="E269" s="3">
        <v>17.539701461792</v>
      </c>
      <c r="F269" s="3">
        <v>0.708137571811676</v>
      </c>
      <c r="G269" s="3">
        <v>0.951988279819489</v>
      </c>
      <c r="H269" s="3">
        <v>4.39866638183594</v>
      </c>
      <c r="I269" t="s">
        <v>26</v>
      </c>
    </row>
    <row r="270" spans="1:9">
      <c r="A270" t="s">
        <v>605</v>
      </c>
      <c r="B270" t="s">
        <v>606</v>
      </c>
      <c r="C270" t="s">
        <v>43</v>
      </c>
      <c r="D270" s="2">
        <f>90056144/(10^6)</f>
        <v>90.056144</v>
      </c>
      <c r="E270" s="3">
        <v>37.8628540039062</v>
      </c>
      <c r="F270" s="3">
        <v>0.54016500711441</v>
      </c>
      <c r="G270" s="3">
        <v>3.43098974227905</v>
      </c>
      <c r="H270" s="3">
        <v>9.99951267242432</v>
      </c>
      <c r="I270" t="s">
        <v>26</v>
      </c>
    </row>
    <row r="271" spans="1:9">
      <c r="A271" t="s">
        <v>607</v>
      </c>
      <c r="B271" t="s">
        <v>608</v>
      </c>
      <c r="C271" t="s">
        <v>41</v>
      </c>
      <c r="D271" s="2">
        <f>89999488/(10^6)</f>
        <v>89.999488</v>
      </c>
      <c r="E271" s="3">
        <v>14.7379932403564</v>
      </c>
      <c r="F271" s="3">
        <v>2.27062892913818</v>
      </c>
      <c r="G271" s="3">
        <v>1.18464529514313</v>
      </c>
      <c r="H271" s="3">
        <v>7.44361352920532</v>
      </c>
      <c r="I271" t="s">
        <v>26</v>
      </c>
    </row>
    <row r="272" spans="1:9">
      <c r="A272" t="s">
        <v>609</v>
      </c>
      <c r="B272" t="s">
        <v>610</v>
      </c>
      <c r="C272" t="s">
        <v>33</v>
      </c>
      <c r="D272" s="2">
        <f>89921224/(10^6)</f>
        <v>89.921224</v>
      </c>
      <c r="E272" s="3">
        <v>18.1503295898438</v>
      </c>
      <c r="F272" s="3">
        <v>0.64506208896637</v>
      </c>
      <c r="G272" s="3">
        <v>1.04349708557129</v>
      </c>
      <c r="H272" s="3">
        <v>1.41237819194794</v>
      </c>
      <c r="I272" t="s">
        <v>26</v>
      </c>
    </row>
    <row r="273" spans="1:9">
      <c r="A273" t="s">
        <v>611</v>
      </c>
      <c r="B273" t="s">
        <v>612</v>
      </c>
      <c r="C273" t="s">
        <v>31</v>
      </c>
      <c r="D273" s="2">
        <f>87933664/(10^6)</f>
        <v>87.933664</v>
      </c>
      <c r="E273" s="3" t="s">
        <v>86</v>
      </c>
      <c r="F273" s="3" t="s">
        <v>86</v>
      </c>
      <c r="G273" s="3">
        <v>0.12041836977005</v>
      </c>
      <c r="H273" s="3" t="s">
        <v>86</v>
      </c>
      <c r="I273" t="s">
        <v>26</v>
      </c>
    </row>
    <row r="274" spans="1:9">
      <c r="A274" t="s">
        <v>613</v>
      </c>
      <c r="B274" t="s">
        <v>614</v>
      </c>
      <c r="C274" t="s">
        <v>35</v>
      </c>
      <c r="D274" s="2">
        <f>87289792/(10^6)</f>
        <v>87.289792</v>
      </c>
      <c r="E274" s="3">
        <v>16.3181667327881</v>
      </c>
      <c r="F274" s="3">
        <v>0.845750868320465</v>
      </c>
      <c r="G274" s="3">
        <v>1.04668283462524</v>
      </c>
      <c r="H274" s="3">
        <v>10.8696012496948</v>
      </c>
      <c r="I274" t="s">
        <v>26</v>
      </c>
    </row>
    <row r="275" spans="1:9">
      <c r="A275" t="s">
        <v>615</v>
      </c>
      <c r="B275" t="s">
        <v>616</v>
      </c>
      <c r="C275" t="s">
        <v>31</v>
      </c>
      <c r="D275" s="2">
        <f>86078400/(10^6)</f>
        <v>86.0784</v>
      </c>
      <c r="E275" s="3">
        <v>6.84835004806519</v>
      </c>
      <c r="F275" s="3">
        <v>1.71367263793945</v>
      </c>
      <c r="G275" s="3">
        <v>0.933984696865082</v>
      </c>
      <c r="H275" s="3">
        <v>4.81758451461792</v>
      </c>
      <c r="I275" t="s">
        <v>26</v>
      </c>
    </row>
    <row r="276" spans="1:9">
      <c r="A276" t="s">
        <v>617</v>
      </c>
      <c r="B276" t="s">
        <v>618</v>
      </c>
      <c r="C276" t="s">
        <v>45</v>
      </c>
      <c r="D276" s="2">
        <f>85388624/(10^6)</f>
        <v>85.388624</v>
      </c>
      <c r="E276" s="3">
        <v>11.4769725799561</v>
      </c>
      <c r="F276" s="3">
        <v>0.948098242282867</v>
      </c>
      <c r="G276" s="3">
        <v>4.58305501937866</v>
      </c>
      <c r="H276" s="3">
        <v>5.47802782058716</v>
      </c>
      <c r="I276" t="s">
        <v>26</v>
      </c>
    </row>
    <row r="277" spans="1:9">
      <c r="A277" t="s">
        <v>619</v>
      </c>
      <c r="B277" t="s">
        <v>620</v>
      </c>
      <c r="C277" t="s">
        <v>43</v>
      </c>
      <c r="D277" s="2">
        <f>84849488/(10^6)</f>
        <v>84.849488</v>
      </c>
      <c r="E277" s="3">
        <v>5.20526218414307</v>
      </c>
      <c r="F277" s="3">
        <v>1.05747497081757</v>
      </c>
      <c r="G277" s="3">
        <v>1.44713950157166</v>
      </c>
      <c r="H277" s="3">
        <v>4.93116188049316</v>
      </c>
      <c r="I277" t="s">
        <v>26</v>
      </c>
    </row>
    <row r="278" spans="1:9">
      <c r="A278" t="s">
        <v>621</v>
      </c>
      <c r="B278" t="s">
        <v>622</v>
      </c>
      <c r="C278" t="s">
        <v>33</v>
      </c>
      <c r="D278" s="2">
        <f>84523360/(10^6)</f>
        <v>84.52336</v>
      </c>
      <c r="E278" s="3">
        <v>12.9736032485962</v>
      </c>
      <c r="F278" s="3">
        <v>0.7805095911026</v>
      </c>
      <c r="G278" s="3">
        <v>0.711569130420685</v>
      </c>
      <c r="H278" s="3">
        <v>5.32546854019165</v>
      </c>
      <c r="I278" t="s">
        <v>26</v>
      </c>
    </row>
    <row r="279" spans="1:9">
      <c r="A279" t="s">
        <v>623</v>
      </c>
      <c r="B279" t="s">
        <v>624</v>
      </c>
      <c r="C279" t="s">
        <v>45</v>
      </c>
      <c r="D279" s="2">
        <f>81966240/(10^6)</f>
        <v>81.96624</v>
      </c>
      <c r="E279" s="3">
        <v>2.98981857299805</v>
      </c>
      <c r="F279" s="3">
        <v>0.437837064266205</v>
      </c>
      <c r="G279" s="3">
        <v>0.517447233200073</v>
      </c>
      <c r="H279" s="3">
        <v>6.04546689987183</v>
      </c>
      <c r="I279" t="s">
        <v>26</v>
      </c>
    </row>
    <row r="280" spans="1:9">
      <c r="A280" t="s">
        <v>625</v>
      </c>
      <c r="B280" t="s">
        <v>626</v>
      </c>
      <c r="C280" t="s">
        <v>37</v>
      </c>
      <c r="D280" s="2">
        <f>81114688/(10^6)</f>
        <v>81.114688</v>
      </c>
      <c r="E280" s="3">
        <v>4.79999971389771</v>
      </c>
      <c r="F280" s="3">
        <v>0.859210193157196</v>
      </c>
      <c r="G280" s="3">
        <v>0.198931187391281</v>
      </c>
      <c r="H280" s="3">
        <v>9.08784103393555</v>
      </c>
      <c r="I280" t="s">
        <v>26</v>
      </c>
    </row>
    <row r="281" spans="1:9">
      <c r="A281" t="s">
        <v>627</v>
      </c>
      <c r="B281" t="s">
        <v>628</v>
      </c>
      <c r="C281" t="s">
        <v>27</v>
      </c>
      <c r="D281" s="2">
        <f>80385808/(10^6)</f>
        <v>80.385808</v>
      </c>
      <c r="E281" s="3">
        <v>6.16866970062256</v>
      </c>
      <c r="F281" s="3">
        <v>0.594237387180328</v>
      </c>
      <c r="G281" s="3">
        <v>0.280262798070908</v>
      </c>
      <c r="H281" s="3">
        <v>3.21400809288025</v>
      </c>
      <c r="I281" t="s">
        <v>26</v>
      </c>
    </row>
    <row r="282" spans="1:9">
      <c r="A282" t="s">
        <v>629</v>
      </c>
      <c r="B282" t="s">
        <v>630</v>
      </c>
      <c r="C282" t="s">
        <v>51</v>
      </c>
      <c r="D282" s="2">
        <f>80315776/(10^6)</f>
        <v>80.315776</v>
      </c>
      <c r="E282" s="3" t="s">
        <v>86</v>
      </c>
      <c r="F282" s="3">
        <v>0.456316322088242</v>
      </c>
      <c r="G282" s="3">
        <v>0.23274202644825</v>
      </c>
      <c r="H282" s="3">
        <v>1.38091695308685</v>
      </c>
      <c r="I282" t="s">
        <v>26</v>
      </c>
    </row>
    <row r="283" spans="1:9">
      <c r="A283" t="s">
        <v>631</v>
      </c>
      <c r="B283" t="s">
        <v>632</v>
      </c>
      <c r="C283" t="s">
        <v>45</v>
      </c>
      <c r="D283" s="2">
        <f>78862168/(10^6)</f>
        <v>78.862168</v>
      </c>
      <c r="E283" s="3">
        <v>14.0866727828979</v>
      </c>
      <c r="F283" s="3">
        <v>0.382004201412201</v>
      </c>
      <c r="G283" s="3">
        <v>0.608632981777191</v>
      </c>
      <c r="H283" s="3">
        <v>10.6612024307251</v>
      </c>
      <c r="I283" t="s">
        <v>26</v>
      </c>
    </row>
    <row r="284" spans="1:9">
      <c r="A284" t="s">
        <v>633</v>
      </c>
      <c r="B284" t="s">
        <v>634</v>
      </c>
      <c r="C284" t="s">
        <v>31</v>
      </c>
      <c r="D284" s="2">
        <f>78716712/(10^6)</f>
        <v>78.716712</v>
      </c>
      <c r="E284" s="3">
        <v>53.2123870849609</v>
      </c>
      <c r="F284" s="3">
        <v>0.649540901184082</v>
      </c>
      <c r="G284" s="3">
        <v>1.18015873432159</v>
      </c>
      <c r="H284" s="3">
        <v>7.12924289703369</v>
      </c>
      <c r="I284" t="s">
        <v>26</v>
      </c>
    </row>
    <row r="285" spans="1:9">
      <c r="A285" t="s">
        <v>635</v>
      </c>
      <c r="B285" t="s">
        <v>636</v>
      </c>
      <c r="C285" t="s">
        <v>43</v>
      </c>
      <c r="D285" s="2">
        <f>78023088/(10^6)</f>
        <v>78.023088</v>
      </c>
      <c r="E285" s="3">
        <v>6.84041357040405</v>
      </c>
      <c r="F285" s="3">
        <v>0.543958425521851</v>
      </c>
      <c r="G285" s="3">
        <v>1.30985069274902</v>
      </c>
      <c r="H285" s="3">
        <v>3.37633180618286</v>
      </c>
      <c r="I285" t="s">
        <v>26</v>
      </c>
    </row>
    <row r="286" spans="1:9">
      <c r="A286" t="s">
        <v>637</v>
      </c>
      <c r="B286" t="s">
        <v>638</v>
      </c>
      <c r="C286" t="s">
        <v>37</v>
      </c>
      <c r="D286" s="2">
        <f>77604056/(10^6)</f>
        <v>77.604056</v>
      </c>
      <c r="E286" s="3" t="s">
        <v>86</v>
      </c>
      <c r="F286" s="3">
        <v>0.408096045255661</v>
      </c>
      <c r="G286" s="3">
        <v>0.135185047984123</v>
      </c>
      <c r="H286" s="3" t="s">
        <v>86</v>
      </c>
      <c r="I286" t="s">
        <v>26</v>
      </c>
    </row>
    <row r="287" spans="1:9">
      <c r="A287" t="s">
        <v>639</v>
      </c>
      <c r="B287" t="s">
        <v>640</v>
      </c>
      <c r="C287" t="s">
        <v>41</v>
      </c>
      <c r="D287" s="2">
        <f>77582000/(10^6)</f>
        <v>77.582</v>
      </c>
      <c r="E287" s="3">
        <v>25.6666641235352</v>
      </c>
      <c r="F287" s="3">
        <v>1.91464877128601</v>
      </c>
      <c r="G287" s="3">
        <v>3.08914375305176</v>
      </c>
      <c r="H287" s="3">
        <v>12.6955318450928</v>
      </c>
      <c r="I287" t="s">
        <v>26</v>
      </c>
    </row>
    <row r="288" spans="1:9">
      <c r="A288" t="s">
        <v>641</v>
      </c>
      <c r="B288" t="s">
        <v>642</v>
      </c>
      <c r="C288" t="s">
        <v>35</v>
      </c>
      <c r="D288" s="2">
        <f>77170424/(10^6)</f>
        <v>77.170424</v>
      </c>
      <c r="E288" s="3" t="s">
        <v>86</v>
      </c>
      <c r="F288" s="3">
        <v>1.5578625202179</v>
      </c>
      <c r="G288" s="3">
        <v>1.40383958816528</v>
      </c>
      <c r="H288" s="3" t="s">
        <v>86</v>
      </c>
      <c r="I288" t="s">
        <v>26</v>
      </c>
    </row>
    <row r="289" spans="1:9">
      <c r="A289" t="s">
        <v>643</v>
      </c>
      <c r="B289" t="s">
        <v>644</v>
      </c>
      <c r="C289" t="s">
        <v>45</v>
      </c>
      <c r="D289" s="2">
        <f>77002360/(10^6)</f>
        <v>77.00236</v>
      </c>
      <c r="E289" s="3">
        <v>19.996000289917</v>
      </c>
      <c r="F289" s="3">
        <v>1.04804158210754</v>
      </c>
      <c r="G289" s="3">
        <v>12.3952493667603</v>
      </c>
      <c r="H289" s="3" t="s">
        <v>86</v>
      </c>
      <c r="I289" t="s">
        <v>26</v>
      </c>
    </row>
    <row r="290" spans="1:9">
      <c r="A290" t="s">
        <v>645</v>
      </c>
      <c r="B290" t="s">
        <v>646</v>
      </c>
      <c r="C290" t="s">
        <v>33</v>
      </c>
      <c r="D290" s="2">
        <f>75859456/(10^6)</f>
        <v>75.859456</v>
      </c>
      <c r="E290" s="3" t="s">
        <v>86</v>
      </c>
      <c r="F290" s="3">
        <v>0.223308533430099</v>
      </c>
      <c r="G290" s="3">
        <v>0.52651035785675</v>
      </c>
      <c r="H290" s="3">
        <v>2.04095506668091</v>
      </c>
      <c r="I290" t="s">
        <v>26</v>
      </c>
    </row>
    <row r="291" spans="1:9">
      <c r="A291" t="s">
        <v>647</v>
      </c>
      <c r="B291" t="s">
        <v>648</v>
      </c>
      <c r="C291" t="s">
        <v>31</v>
      </c>
      <c r="D291" s="2">
        <f>75755304/(10^6)</f>
        <v>75.755304</v>
      </c>
      <c r="E291" s="3">
        <v>14.6179399490356</v>
      </c>
      <c r="F291" s="3">
        <v>1.99332940578461</v>
      </c>
      <c r="G291" s="3">
        <v>0.891199588775635</v>
      </c>
      <c r="H291" s="3">
        <v>10.2716569900513</v>
      </c>
      <c r="I291" t="s">
        <v>26</v>
      </c>
    </row>
    <row r="292" spans="1:9">
      <c r="A292" t="s">
        <v>649</v>
      </c>
      <c r="B292" t="s">
        <v>650</v>
      </c>
      <c r="C292" t="s">
        <v>31</v>
      </c>
      <c r="D292" s="2">
        <f>74377568/(10^6)</f>
        <v>74.377568</v>
      </c>
      <c r="E292" s="3">
        <v>10.1182746887207</v>
      </c>
      <c r="F292" s="3">
        <v>1.42895925045013</v>
      </c>
      <c r="G292" s="3">
        <v>0.875848889350891</v>
      </c>
      <c r="H292" s="3">
        <v>5.62514305114746</v>
      </c>
      <c r="I292" t="s">
        <v>26</v>
      </c>
    </row>
    <row r="293" spans="1:9">
      <c r="A293" t="s">
        <v>651</v>
      </c>
      <c r="B293" t="s">
        <v>652</v>
      </c>
      <c r="C293" t="s">
        <v>31</v>
      </c>
      <c r="D293" s="2">
        <f>73940312/(10^6)</f>
        <v>73.940312</v>
      </c>
      <c r="E293" s="3">
        <v>2.63436245918274</v>
      </c>
      <c r="F293" s="3">
        <v>0.859937191009521</v>
      </c>
      <c r="G293" s="3">
        <v>1.91116428375244</v>
      </c>
      <c r="H293" s="3">
        <v>14.6878261566162</v>
      </c>
      <c r="I293" t="s">
        <v>26</v>
      </c>
    </row>
    <row r="294" spans="1:9">
      <c r="A294" t="s">
        <v>653</v>
      </c>
      <c r="B294" t="s">
        <v>654</v>
      </c>
      <c r="C294" t="s">
        <v>31</v>
      </c>
      <c r="D294" s="2">
        <f>73794216/(10^6)</f>
        <v>73.794216</v>
      </c>
      <c r="E294" s="3">
        <v>14.297571182251</v>
      </c>
      <c r="F294" s="3">
        <v>1.270103931427</v>
      </c>
      <c r="G294" s="3">
        <v>2.26181125640869</v>
      </c>
      <c r="H294" s="3">
        <v>4.67461156845093</v>
      </c>
      <c r="I294" t="s">
        <v>26</v>
      </c>
    </row>
    <row r="295" spans="1:9">
      <c r="A295" t="s">
        <v>655</v>
      </c>
      <c r="B295" t="s">
        <v>656</v>
      </c>
      <c r="C295" t="s">
        <v>43</v>
      </c>
      <c r="D295" s="2">
        <f>73766256/(10^6)</f>
        <v>73.766256</v>
      </c>
      <c r="E295" s="3">
        <v>9.66323566436768</v>
      </c>
      <c r="F295" s="3">
        <v>0.56048309803009</v>
      </c>
      <c r="G295" s="3">
        <v>0.840218901634216</v>
      </c>
      <c r="H295" s="3">
        <v>10.4363956451416</v>
      </c>
      <c r="I295" t="s">
        <v>26</v>
      </c>
    </row>
    <row r="296" spans="1:9">
      <c r="A296" t="s">
        <v>657</v>
      </c>
      <c r="B296" t="s">
        <v>658</v>
      </c>
      <c r="C296" t="s">
        <v>27</v>
      </c>
      <c r="D296" s="2">
        <f>73740520/(10^6)</f>
        <v>73.74052</v>
      </c>
      <c r="E296" s="3">
        <v>7.89563083648682</v>
      </c>
      <c r="F296" s="3">
        <v>1.05783271789551</v>
      </c>
      <c r="G296" s="3">
        <v>0.792598247528076</v>
      </c>
      <c r="H296" s="3">
        <v>9.33445644378662</v>
      </c>
      <c r="I296" t="s">
        <v>26</v>
      </c>
    </row>
    <row r="297" spans="1:9">
      <c r="A297" t="s">
        <v>659</v>
      </c>
      <c r="B297" t="s">
        <v>660</v>
      </c>
      <c r="C297" t="s">
        <v>35</v>
      </c>
      <c r="D297" s="2">
        <f>73334712/(10^6)</f>
        <v>73.334712</v>
      </c>
      <c r="E297" s="3">
        <v>34.7980690002441</v>
      </c>
      <c r="F297" s="3">
        <v>0.480468839406967</v>
      </c>
      <c r="G297" s="3">
        <v>0.329421252012253</v>
      </c>
      <c r="H297" s="3">
        <v>3.69175958633423</v>
      </c>
      <c r="I297" t="s">
        <v>26</v>
      </c>
    </row>
    <row r="298" spans="1:9">
      <c r="A298" t="s">
        <v>661</v>
      </c>
      <c r="B298" t="s">
        <v>662</v>
      </c>
      <c r="C298" t="s">
        <v>45</v>
      </c>
      <c r="D298" s="2">
        <f>72255400/(10^6)</f>
        <v>72.2554</v>
      </c>
      <c r="E298" s="3">
        <v>7.25963354110718</v>
      </c>
      <c r="F298" s="3">
        <v>0.593195378780365</v>
      </c>
      <c r="G298" s="3">
        <v>5.78073406219482</v>
      </c>
      <c r="H298" s="3">
        <v>7.86091089248657</v>
      </c>
      <c r="I298" t="s">
        <v>26</v>
      </c>
    </row>
    <row r="299" spans="1:9">
      <c r="A299" t="s">
        <v>663</v>
      </c>
      <c r="B299" t="s">
        <v>664</v>
      </c>
      <c r="C299" t="s">
        <v>41</v>
      </c>
      <c r="D299" s="2">
        <f>71658248/(10^6)</f>
        <v>71.658248</v>
      </c>
      <c r="E299" s="3">
        <v>14.4406490325928</v>
      </c>
      <c r="F299" s="3">
        <v>2.55526256561279</v>
      </c>
      <c r="G299" s="3">
        <v>2.62741613388062</v>
      </c>
      <c r="H299" s="3">
        <v>8.30844402313232</v>
      </c>
      <c r="I299" t="s">
        <v>26</v>
      </c>
    </row>
    <row r="300" spans="1:9">
      <c r="A300" t="s">
        <v>665</v>
      </c>
      <c r="B300" t="s">
        <v>666</v>
      </c>
      <c r="C300" t="s">
        <v>31</v>
      </c>
      <c r="D300" s="2">
        <f>70727608/(10^6)</f>
        <v>70.727608</v>
      </c>
      <c r="E300" s="3">
        <v>8.15767955780029</v>
      </c>
      <c r="F300" s="3">
        <v>2.13628220558167</v>
      </c>
      <c r="G300" s="3">
        <v>1.46671426296234</v>
      </c>
      <c r="H300" s="3">
        <v>5.05759763717651</v>
      </c>
      <c r="I300" t="s">
        <v>26</v>
      </c>
    </row>
    <row r="301" spans="1:9">
      <c r="A301" t="s">
        <v>667</v>
      </c>
      <c r="B301" t="s">
        <v>668</v>
      </c>
      <c r="C301" t="s">
        <v>51</v>
      </c>
      <c r="D301" s="2">
        <f>70053728/(10^6)</f>
        <v>70.053728</v>
      </c>
      <c r="E301" s="3" t="s">
        <v>86</v>
      </c>
      <c r="F301" s="3">
        <v>0.479207128286362</v>
      </c>
      <c r="G301" s="3">
        <v>0.178025558590889</v>
      </c>
      <c r="H301" s="3" t="s">
        <v>86</v>
      </c>
      <c r="I301" t="s">
        <v>26</v>
      </c>
    </row>
    <row r="302" spans="1:9">
      <c r="A302" t="s">
        <v>669</v>
      </c>
      <c r="B302" t="s">
        <v>670</v>
      </c>
      <c r="C302" t="s">
        <v>47</v>
      </c>
      <c r="D302" s="2">
        <f>70011944/(10^6)</f>
        <v>70.011944</v>
      </c>
      <c r="E302" s="3">
        <v>11.8644599914551</v>
      </c>
      <c r="F302" s="3">
        <v>1.36123871803284</v>
      </c>
      <c r="G302" s="3">
        <v>0.789800584316254</v>
      </c>
      <c r="H302" s="3">
        <v>5.73711204528809</v>
      </c>
      <c r="I302" t="s">
        <v>26</v>
      </c>
    </row>
    <row r="303" spans="1:9">
      <c r="A303" t="s">
        <v>671</v>
      </c>
      <c r="B303" t="s">
        <v>672</v>
      </c>
      <c r="C303" t="s">
        <v>47</v>
      </c>
      <c r="D303" s="2">
        <f>69479480/(10^6)</f>
        <v>69.47948</v>
      </c>
      <c r="E303" s="3">
        <v>8.01763820648193</v>
      </c>
      <c r="F303" s="3">
        <v>0.662853717803955</v>
      </c>
      <c r="G303" s="3">
        <v>0.940812706947327</v>
      </c>
      <c r="H303" s="3">
        <v>5.46367835998535</v>
      </c>
      <c r="I303" t="s">
        <v>26</v>
      </c>
    </row>
    <row r="304" spans="1:9">
      <c r="A304" t="s">
        <v>673</v>
      </c>
      <c r="B304" t="s">
        <v>674</v>
      </c>
      <c r="C304" t="s">
        <v>45</v>
      </c>
      <c r="D304" s="2">
        <f>69453376/(10^6)</f>
        <v>69.453376</v>
      </c>
      <c r="E304" s="3">
        <v>7.7068452835083</v>
      </c>
      <c r="F304" s="3">
        <v>0.476166009902954</v>
      </c>
      <c r="G304" s="3">
        <v>7.50706148147583</v>
      </c>
      <c r="H304" s="3" t="s">
        <v>86</v>
      </c>
      <c r="I304" t="s">
        <v>26</v>
      </c>
    </row>
    <row r="305" spans="1:9">
      <c r="A305" t="s">
        <v>675</v>
      </c>
      <c r="B305" t="s">
        <v>676</v>
      </c>
      <c r="C305" t="s">
        <v>37</v>
      </c>
      <c r="D305" s="2">
        <f>69270632/(10^6)</f>
        <v>69.270632</v>
      </c>
      <c r="E305" s="3">
        <v>6.4900050163269</v>
      </c>
      <c r="F305" s="3">
        <v>0.631519794464111</v>
      </c>
      <c r="G305" s="3">
        <v>0.721090793609619</v>
      </c>
      <c r="H305" s="3">
        <v>2.01406574249268</v>
      </c>
      <c r="I305" t="s">
        <v>26</v>
      </c>
    </row>
    <row r="306" spans="1:9">
      <c r="A306" t="s">
        <v>677</v>
      </c>
      <c r="B306" t="s">
        <v>678</v>
      </c>
      <c r="C306" t="s">
        <v>47</v>
      </c>
      <c r="D306" s="2">
        <f>69078544/(10^6)</f>
        <v>69.078544</v>
      </c>
      <c r="E306" s="3" t="s">
        <v>86</v>
      </c>
      <c r="F306" s="3">
        <v>0.295338839292526</v>
      </c>
      <c r="G306" s="3" t="s">
        <v>86</v>
      </c>
      <c r="H306" s="3" t="s">
        <v>86</v>
      </c>
      <c r="I306" t="s">
        <v>26</v>
      </c>
    </row>
    <row r="307" spans="1:9">
      <c r="A307" t="s">
        <v>679</v>
      </c>
      <c r="B307" t="s">
        <v>680</v>
      </c>
      <c r="C307" t="s">
        <v>47</v>
      </c>
      <c r="D307" s="2">
        <f>68161960/(10^6)</f>
        <v>68.16196</v>
      </c>
      <c r="E307" s="3" t="s">
        <v>86</v>
      </c>
      <c r="F307" s="3">
        <v>0.307947188615799</v>
      </c>
      <c r="G307" s="3">
        <v>0.119539007544518</v>
      </c>
      <c r="H307" s="3">
        <v>11.0387477874756</v>
      </c>
      <c r="I307" t="s">
        <v>26</v>
      </c>
    </row>
    <row r="308" spans="1:9">
      <c r="A308" t="s">
        <v>681</v>
      </c>
      <c r="B308" t="s">
        <v>682</v>
      </c>
      <c r="C308" t="s">
        <v>27</v>
      </c>
      <c r="D308" s="2">
        <f>67983464/(10^6)</f>
        <v>67.983464</v>
      </c>
      <c r="E308" s="3">
        <v>4.33777904510498</v>
      </c>
      <c r="F308" s="3">
        <v>1.13646459579468</v>
      </c>
      <c r="G308" s="3">
        <v>0.86819189786911</v>
      </c>
      <c r="H308" s="3">
        <v>5.72665023803711</v>
      </c>
      <c r="I308" t="s">
        <v>26</v>
      </c>
    </row>
    <row r="309" spans="1:9">
      <c r="A309" t="s">
        <v>683</v>
      </c>
      <c r="B309" t="s">
        <v>684</v>
      </c>
      <c r="C309" t="s">
        <v>41</v>
      </c>
      <c r="D309" s="2">
        <f>67909968/(10^6)</f>
        <v>67.909968</v>
      </c>
      <c r="E309" s="3">
        <v>19.4183444976807</v>
      </c>
      <c r="F309" s="3">
        <v>1.56261646747589</v>
      </c>
      <c r="G309" s="3">
        <v>1.40560877323151</v>
      </c>
      <c r="H309" s="3">
        <v>11.0203619003296</v>
      </c>
      <c r="I309" t="s">
        <v>26</v>
      </c>
    </row>
    <row r="310" spans="1:9">
      <c r="A310" t="s">
        <v>685</v>
      </c>
      <c r="B310" t="s">
        <v>686</v>
      </c>
      <c r="C310" t="s">
        <v>37</v>
      </c>
      <c r="D310" s="2">
        <f>67891480/(10^6)</f>
        <v>67.89148</v>
      </c>
      <c r="E310" s="3">
        <v>5.72264719009399</v>
      </c>
      <c r="F310" s="3">
        <v>1.18107163906097</v>
      </c>
      <c r="G310" s="3">
        <v>0.664457261562347</v>
      </c>
      <c r="H310" s="3">
        <v>5.94089078903198</v>
      </c>
      <c r="I310" t="s">
        <v>26</v>
      </c>
    </row>
    <row r="311" spans="1:9">
      <c r="A311" t="s">
        <v>687</v>
      </c>
      <c r="B311" t="s">
        <v>688</v>
      </c>
      <c r="C311" t="s">
        <v>45</v>
      </c>
      <c r="D311" s="2">
        <f>67858336/(10^6)</f>
        <v>67.858336</v>
      </c>
      <c r="E311" s="3" t="s">
        <v>86</v>
      </c>
      <c r="F311" s="3">
        <v>0.367125481367111</v>
      </c>
      <c r="G311" s="3">
        <v>1.46595323085785</v>
      </c>
      <c r="H311" s="3" t="s">
        <v>86</v>
      </c>
      <c r="I311" t="s">
        <v>26</v>
      </c>
    </row>
    <row r="312" spans="1:9">
      <c r="A312" t="s">
        <v>689</v>
      </c>
      <c r="B312" t="s">
        <v>690</v>
      </c>
      <c r="C312" t="s">
        <v>41</v>
      </c>
      <c r="D312" s="2">
        <f>66565128/(10^6)</f>
        <v>66.565128</v>
      </c>
      <c r="E312" s="3">
        <v>16.2388362884521</v>
      </c>
      <c r="F312" s="3">
        <v>1.33274662494659</v>
      </c>
      <c r="G312" s="3">
        <v>1.30354166030884</v>
      </c>
      <c r="H312" s="3">
        <v>6.70988607406616</v>
      </c>
      <c r="I312" t="s">
        <v>26</v>
      </c>
    </row>
    <row r="313" spans="1:9">
      <c r="A313" t="s">
        <v>691</v>
      </c>
      <c r="B313" t="s">
        <v>692</v>
      </c>
      <c r="C313" t="s">
        <v>41</v>
      </c>
      <c r="D313" s="2">
        <f>66146076/(10^6)</f>
        <v>66.146076</v>
      </c>
      <c r="E313" s="3">
        <v>9.96123313903809</v>
      </c>
      <c r="F313" s="3">
        <v>1.53129231929779</v>
      </c>
      <c r="G313" s="3">
        <v>0.86128431558609</v>
      </c>
      <c r="H313" s="3">
        <v>15.8721590042114</v>
      </c>
      <c r="I313" t="s">
        <v>26</v>
      </c>
    </row>
    <row r="314" spans="1:9">
      <c r="A314" t="s">
        <v>693</v>
      </c>
      <c r="B314" t="s">
        <v>694</v>
      </c>
      <c r="C314" t="s">
        <v>47</v>
      </c>
      <c r="D314" s="2">
        <f>65584412/(10^6)</f>
        <v>65.584412</v>
      </c>
      <c r="E314" s="3">
        <v>22.5610980987549</v>
      </c>
      <c r="F314" s="3">
        <v>1.36042499542236</v>
      </c>
      <c r="G314" s="3">
        <v>2.53236055374146</v>
      </c>
      <c r="H314" s="3">
        <v>14.7768125534058</v>
      </c>
      <c r="I314" t="s">
        <v>26</v>
      </c>
    </row>
    <row r="315" spans="1:9">
      <c r="A315" t="s">
        <v>695</v>
      </c>
      <c r="B315" t="s">
        <v>696</v>
      </c>
      <c r="C315" t="s">
        <v>49</v>
      </c>
      <c r="D315" s="2">
        <f>65380496/(10^6)</f>
        <v>65.380496</v>
      </c>
      <c r="E315" s="3">
        <v>10.8811168670654</v>
      </c>
      <c r="F315" s="3">
        <v>0.625181376934052</v>
      </c>
      <c r="G315" s="3">
        <v>8.60025215148926</v>
      </c>
      <c r="H315" s="3" t="s">
        <v>86</v>
      </c>
      <c r="I315" t="s">
        <v>26</v>
      </c>
    </row>
    <row r="316" spans="1:9">
      <c r="A316" t="s">
        <v>697</v>
      </c>
      <c r="B316" t="s">
        <v>698</v>
      </c>
      <c r="C316" t="s">
        <v>35</v>
      </c>
      <c r="D316" s="2">
        <f>63841500/(10^6)</f>
        <v>63.8415</v>
      </c>
      <c r="E316" s="3">
        <v>10.1938247680664</v>
      </c>
      <c r="F316" s="3">
        <v>0.533620059490204</v>
      </c>
      <c r="G316" s="3">
        <v>0.565417647361755</v>
      </c>
      <c r="H316" s="3" t="s">
        <v>86</v>
      </c>
      <c r="I316" t="s">
        <v>26</v>
      </c>
    </row>
    <row r="317" spans="1:9">
      <c r="A317" t="s">
        <v>699</v>
      </c>
      <c r="B317" t="s">
        <v>700</v>
      </c>
      <c r="C317" t="s">
        <v>31</v>
      </c>
      <c r="D317" s="2">
        <f>63805424/(10^6)</f>
        <v>63.805424</v>
      </c>
      <c r="E317" s="3">
        <v>7.60533905029297</v>
      </c>
      <c r="F317" s="3">
        <v>0.937993288040161</v>
      </c>
      <c r="G317" s="3">
        <v>0.481472909450531</v>
      </c>
      <c r="H317" s="3">
        <v>8.01921558380127</v>
      </c>
      <c r="I317" t="s">
        <v>26</v>
      </c>
    </row>
    <row r="318" spans="1:9">
      <c r="A318" t="s">
        <v>701</v>
      </c>
      <c r="B318" t="s">
        <v>702</v>
      </c>
      <c r="C318" t="s">
        <v>49</v>
      </c>
      <c r="D318" s="2">
        <f>63405300/(10^6)</f>
        <v>63.4053</v>
      </c>
      <c r="E318" s="3">
        <v>20</v>
      </c>
      <c r="F318" s="3">
        <v>2.47039365768433</v>
      </c>
      <c r="G318" s="3">
        <v>1.19692850112915</v>
      </c>
      <c r="H318" s="3">
        <v>12.2208623886108</v>
      </c>
      <c r="I318" t="s">
        <v>26</v>
      </c>
    </row>
    <row r="319" spans="1:9">
      <c r="A319" t="s">
        <v>703</v>
      </c>
      <c r="B319" t="s">
        <v>704</v>
      </c>
      <c r="C319" t="s">
        <v>49</v>
      </c>
      <c r="D319" s="2">
        <f>61093252/(10^6)</f>
        <v>61.093252</v>
      </c>
      <c r="E319" s="3">
        <v>13.8954877853394</v>
      </c>
      <c r="F319" s="3">
        <v>0.795681715011597</v>
      </c>
      <c r="G319" s="3">
        <v>6.42394733428955</v>
      </c>
      <c r="H319" s="3" t="s">
        <v>86</v>
      </c>
      <c r="I319" t="s">
        <v>26</v>
      </c>
    </row>
    <row r="320" spans="1:9">
      <c r="A320" t="s">
        <v>705</v>
      </c>
      <c r="B320" t="s">
        <v>706</v>
      </c>
      <c r="C320" t="s">
        <v>45</v>
      </c>
      <c r="D320" s="2">
        <f>60675376/(10^6)</f>
        <v>60.675376</v>
      </c>
      <c r="E320" s="3">
        <v>16.2936210632324</v>
      </c>
      <c r="F320" s="3">
        <v>0.601045370101929</v>
      </c>
      <c r="G320" s="3">
        <v>6.20861291885376</v>
      </c>
      <c r="H320" s="3" t="s">
        <v>86</v>
      </c>
      <c r="I320" t="s">
        <v>26</v>
      </c>
    </row>
    <row r="321" spans="1:9">
      <c r="A321" t="s">
        <v>707</v>
      </c>
      <c r="B321" t="s">
        <v>708</v>
      </c>
      <c r="C321" t="s">
        <v>31</v>
      </c>
      <c r="D321" s="2">
        <f>60446672/(10^6)</f>
        <v>60.446672</v>
      </c>
      <c r="E321" s="3">
        <v>11.0415620803833</v>
      </c>
      <c r="F321" s="3">
        <v>2.38630390167236</v>
      </c>
      <c r="G321" s="3">
        <v>1.57901704311371</v>
      </c>
      <c r="H321" s="3">
        <v>7.71559000015259</v>
      </c>
      <c r="I321" t="s">
        <v>26</v>
      </c>
    </row>
    <row r="322" spans="1:9">
      <c r="A322" t="s">
        <v>709</v>
      </c>
      <c r="B322" t="s">
        <v>710</v>
      </c>
      <c r="C322" t="s">
        <v>31</v>
      </c>
      <c r="D322" s="2">
        <f>60366708/(10^6)</f>
        <v>60.366708</v>
      </c>
      <c r="E322" s="3">
        <v>2.68697357177734</v>
      </c>
      <c r="F322" s="3">
        <v>0.602203011512756</v>
      </c>
      <c r="G322" s="3">
        <v>0.293180853128433</v>
      </c>
      <c r="H322" s="3">
        <v>1.35043883323669</v>
      </c>
      <c r="I322" t="s">
        <v>26</v>
      </c>
    </row>
    <row r="323" spans="1:9">
      <c r="A323" t="s">
        <v>711</v>
      </c>
      <c r="B323" t="s">
        <v>712</v>
      </c>
      <c r="C323" t="s">
        <v>35</v>
      </c>
      <c r="D323" s="2">
        <f>60183180/(10^6)</f>
        <v>60.18318</v>
      </c>
      <c r="E323" s="3" t="s">
        <v>86</v>
      </c>
      <c r="F323" s="3">
        <v>1.08186113834381</v>
      </c>
      <c r="G323" s="3">
        <v>0.404000848531723</v>
      </c>
      <c r="H323" s="3">
        <v>72.1400375366211</v>
      </c>
      <c r="I323" t="s">
        <v>26</v>
      </c>
    </row>
    <row r="324" spans="1:9">
      <c r="A324" t="s">
        <v>713</v>
      </c>
      <c r="B324" t="s">
        <v>714</v>
      </c>
      <c r="C324" t="s">
        <v>45</v>
      </c>
      <c r="D324" s="2">
        <f>60054128/(10^6)</f>
        <v>60.054128</v>
      </c>
      <c r="E324" s="3">
        <v>44.4130439758301</v>
      </c>
      <c r="F324" s="3">
        <v>0.313330739736557</v>
      </c>
      <c r="G324" s="3">
        <v>0.582918882369995</v>
      </c>
      <c r="H324" s="3">
        <v>8.97670078277588</v>
      </c>
      <c r="I324" t="s">
        <v>26</v>
      </c>
    </row>
    <row r="325" spans="1:9">
      <c r="A325" t="s">
        <v>715</v>
      </c>
      <c r="B325" t="s">
        <v>716</v>
      </c>
      <c r="C325" t="s">
        <v>31</v>
      </c>
      <c r="D325" s="2">
        <f>58949624/(10^6)</f>
        <v>58.949624</v>
      </c>
      <c r="E325" s="3">
        <v>8.67045116424561</v>
      </c>
      <c r="F325" s="3">
        <v>0.930486917495728</v>
      </c>
      <c r="G325" s="3">
        <v>1.0001528263092</v>
      </c>
      <c r="H325" s="3">
        <v>3.38988733291626</v>
      </c>
      <c r="I325" t="s">
        <v>26</v>
      </c>
    </row>
    <row r="326" spans="1:9">
      <c r="A326" t="s">
        <v>717</v>
      </c>
      <c r="B326" t="s">
        <v>718</v>
      </c>
      <c r="C326" t="s">
        <v>47</v>
      </c>
      <c r="D326" s="2">
        <f>58806436/(10^6)</f>
        <v>58.806436</v>
      </c>
      <c r="E326" s="3">
        <v>12.6990270614624</v>
      </c>
      <c r="F326" s="3">
        <v>0.548601627349854</v>
      </c>
      <c r="G326" s="3">
        <v>0.37658566236496</v>
      </c>
      <c r="H326" s="3">
        <v>1.2020229101181</v>
      </c>
      <c r="I326" t="s">
        <v>26</v>
      </c>
    </row>
    <row r="327" spans="1:9">
      <c r="A327" t="s">
        <v>719</v>
      </c>
      <c r="B327" t="s">
        <v>720</v>
      </c>
      <c r="C327" t="s">
        <v>35</v>
      </c>
      <c r="D327" s="2">
        <f>58796512/(10^6)</f>
        <v>58.796512</v>
      </c>
      <c r="E327" s="3">
        <v>32.0284309387207</v>
      </c>
      <c r="F327" s="3">
        <v>3.21137690544128</v>
      </c>
      <c r="G327" s="3">
        <v>7.51047229766846</v>
      </c>
      <c r="H327" s="3">
        <v>16.9076862335205</v>
      </c>
      <c r="I327" t="s">
        <v>26</v>
      </c>
    </row>
    <row r="328" spans="1:9">
      <c r="A328" t="s">
        <v>721</v>
      </c>
      <c r="B328" t="s">
        <v>722</v>
      </c>
      <c r="C328" t="s">
        <v>47</v>
      </c>
      <c r="D328" s="2">
        <f>58796512/(10^6)</f>
        <v>58.796512</v>
      </c>
      <c r="E328" s="3">
        <v>24.472541809082</v>
      </c>
      <c r="F328" s="3">
        <v>0.584826827049255</v>
      </c>
      <c r="G328" s="3">
        <v>1.35436069965363</v>
      </c>
      <c r="H328" s="3">
        <v>44.411563873291</v>
      </c>
      <c r="I328" t="s">
        <v>26</v>
      </c>
    </row>
    <row r="329" spans="1:9">
      <c r="A329" t="s">
        <v>723</v>
      </c>
      <c r="B329" t="s">
        <v>724</v>
      </c>
      <c r="C329" t="s">
        <v>51</v>
      </c>
      <c r="D329" s="2">
        <f>58446876/(10^6)</f>
        <v>58.446876</v>
      </c>
      <c r="E329" s="3">
        <v>4.3553032875061</v>
      </c>
      <c r="F329" s="3">
        <v>0.765658915042877</v>
      </c>
      <c r="G329" s="3">
        <v>0.090159483253956</v>
      </c>
      <c r="H329" s="3">
        <v>6.10045146942139</v>
      </c>
      <c r="I329" t="s">
        <v>26</v>
      </c>
    </row>
    <row r="330" spans="1:9">
      <c r="A330" t="s">
        <v>725</v>
      </c>
      <c r="B330" t="s">
        <v>726</v>
      </c>
      <c r="C330" t="s">
        <v>43</v>
      </c>
      <c r="D330" s="2">
        <f>58429032/(10^6)</f>
        <v>58.429032</v>
      </c>
      <c r="E330" s="3">
        <v>64.5208969116211</v>
      </c>
      <c r="F330" s="3">
        <v>0.923306167125702</v>
      </c>
      <c r="G330" s="3">
        <v>0.764809787273407</v>
      </c>
      <c r="H330" s="3" t="s">
        <v>86</v>
      </c>
      <c r="I330" t="s">
        <v>26</v>
      </c>
    </row>
    <row r="331" spans="1:9">
      <c r="A331" t="s">
        <v>727</v>
      </c>
      <c r="B331" t="s">
        <v>728</v>
      </c>
      <c r="C331" t="s">
        <v>47</v>
      </c>
      <c r="D331" s="2">
        <f>58337160/(10^6)</f>
        <v>58.33716</v>
      </c>
      <c r="E331" s="3">
        <v>17.0833320617676</v>
      </c>
      <c r="F331" s="3">
        <v>1.28654336929321</v>
      </c>
      <c r="G331" s="3">
        <v>0.592111766338348</v>
      </c>
      <c r="H331" s="3">
        <v>4.85688447952271</v>
      </c>
      <c r="I331" t="s">
        <v>26</v>
      </c>
    </row>
    <row r="332" spans="1:9">
      <c r="A332" t="s">
        <v>729</v>
      </c>
      <c r="B332" t="s">
        <v>730</v>
      </c>
      <c r="C332" t="s">
        <v>51</v>
      </c>
      <c r="D332" s="2">
        <f>58130464/(10^6)</f>
        <v>58.130464</v>
      </c>
      <c r="E332" s="3">
        <v>8.49995708465576</v>
      </c>
      <c r="F332" s="3">
        <v>1.03117060661316</v>
      </c>
      <c r="G332" s="3">
        <v>0.51230400800705</v>
      </c>
      <c r="H332" s="3">
        <v>5.7317214012146</v>
      </c>
      <c r="I332" t="s">
        <v>26</v>
      </c>
    </row>
    <row r="333" spans="1:9">
      <c r="A333" t="s">
        <v>731</v>
      </c>
      <c r="B333" t="s">
        <v>732</v>
      </c>
      <c r="C333" t="s">
        <v>45</v>
      </c>
      <c r="D333" s="2">
        <f>58107492/(10^6)</f>
        <v>58.107492</v>
      </c>
      <c r="E333" s="3">
        <v>11.3020343780518</v>
      </c>
      <c r="F333" s="3">
        <v>0.521945834159851</v>
      </c>
      <c r="G333" s="3">
        <v>5.57610654830933</v>
      </c>
      <c r="H333" s="3" t="s">
        <v>86</v>
      </c>
      <c r="I333" t="s">
        <v>26</v>
      </c>
    </row>
    <row r="334" spans="1:9">
      <c r="A334" t="s">
        <v>733</v>
      </c>
      <c r="B334" t="s">
        <v>734</v>
      </c>
      <c r="C334" t="s">
        <v>49</v>
      </c>
      <c r="D334" s="2">
        <f>57326600/(10^6)</f>
        <v>57.3266</v>
      </c>
      <c r="E334" s="3" t="s">
        <v>86</v>
      </c>
      <c r="F334" s="3">
        <v>0.638819992542267</v>
      </c>
      <c r="G334" s="3" t="s">
        <v>86</v>
      </c>
      <c r="H334" s="3">
        <v>1.38637065887451</v>
      </c>
      <c r="I334" t="s">
        <v>26</v>
      </c>
    </row>
    <row r="335" spans="1:9">
      <c r="A335" t="s">
        <v>735</v>
      </c>
      <c r="B335" t="s">
        <v>736</v>
      </c>
      <c r="C335" t="s">
        <v>35</v>
      </c>
      <c r="D335" s="2">
        <f>56591512/(10^6)</f>
        <v>56.591512</v>
      </c>
      <c r="E335" s="3">
        <v>6.70072031021118</v>
      </c>
      <c r="F335" s="3">
        <v>1.72479557991028</v>
      </c>
      <c r="G335" s="3">
        <v>1.16149032115936</v>
      </c>
      <c r="H335" s="3">
        <v>5.66701507568359</v>
      </c>
      <c r="I335" t="s">
        <v>26</v>
      </c>
    </row>
    <row r="336" spans="1:9">
      <c r="A336" t="s">
        <v>737</v>
      </c>
      <c r="B336" t="s">
        <v>738</v>
      </c>
      <c r="C336" t="s">
        <v>33</v>
      </c>
      <c r="D336" s="2">
        <f>56535576/(10^6)</f>
        <v>56.535576</v>
      </c>
      <c r="E336" s="3">
        <v>111.591354370117</v>
      </c>
      <c r="F336" s="3">
        <v>3.5645432472229</v>
      </c>
      <c r="G336" s="3">
        <v>4.05479097366333</v>
      </c>
      <c r="H336" s="3">
        <v>5.74531888961792</v>
      </c>
      <c r="I336" t="s">
        <v>26</v>
      </c>
    </row>
    <row r="337" spans="1:9">
      <c r="A337" t="s">
        <v>739</v>
      </c>
      <c r="B337" t="s">
        <v>740</v>
      </c>
      <c r="C337" t="s">
        <v>47</v>
      </c>
      <c r="D337" s="2">
        <f>56030028/(10^6)</f>
        <v>56.030028</v>
      </c>
      <c r="E337" s="3" t="s">
        <v>86</v>
      </c>
      <c r="F337" s="3">
        <v>0.380069851875305</v>
      </c>
      <c r="G337" s="3">
        <v>0.51586776971817</v>
      </c>
      <c r="H337" s="3">
        <v>19.8599319458008</v>
      </c>
      <c r="I337" t="s">
        <v>26</v>
      </c>
    </row>
    <row r="338" spans="1:9">
      <c r="A338" t="s">
        <v>741</v>
      </c>
      <c r="B338" t="s">
        <v>742</v>
      </c>
      <c r="C338" t="s">
        <v>43</v>
      </c>
      <c r="D338" s="2">
        <f>54521200/(10^6)</f>
        <v>54.5212</v>
      </c>
      <c r="E338" s="3">
        <v>7.16350269317627</v>
      </c>
      <c r="F338" s="3">
        <v>1.29265284538269</v>
      </c>
      <c r="G338" s="3">
        <v>2.4253945350647</v>
      </c>
      <c r="H338" s="3">
        <v>9.53414154052734</v>
      </c>
      <c r="I338" t="s">
        <v>26</v>
      </c>
    </row>
    <row r="339" spans="1:9">
      <c r="A339" t="s">
        <v>743</v>
      </c>
      <c r="B339" t="s">
        <v>744</v>
      </c>
      <c r="C339" t="s">
        <v>37</v>
      </c>
      <c r="D339" s="2">
        <f>54157820/(10^6)</f>
        <v>54.15782</v>
      </c>
      <c r="E339" s="3" t="s">
        <v>86</v>
      </c>
      <c r="F339" s="3">
        <v>0.206887662410736</v>
      </c>
      <c r="G339" s="3">
        <v>0.090536057949066</v>
      </c>
      <c r="H339" s="3">
        <v>4.17852020263672</v>
      </c>
      <c r="I339" t="s">
        <v>26</v>
      </c>
    </row>
    <row r="340" spans="1:9">
      <c r="A340" t="s">
        <v>745</v>
      </c>
      <c r="B340" t="s">
        <v>746</v>
      </c>
      <c r="C340" t="s">
        <v>27</v>
      </c>
      <c r="D340" s="2">
        <f>53697752/(10^6)</f>
        <v>53.697752</v>
      </c>
      <c r="E340" s="3">
        <v>4.47357225418091</v>
      </c>
      <c r="F340" s="3">
        <v>0.464950174093246</v>
      </c>
      <c r="G340" s="3">
        <v>0.063229791820049</v>
      </c>
      <c r="H340" s="3">
        <v>2.65430378913879</v>
      </c>
      <c r="I340" t="s">
        <v>26</v>
      </c>
    </row>
    <row r="341" spans="1:9">
      <c r="A341" t="s">
        <v>747</v>
      </c>
      <c r="B341" t="s">
        <v>748</v>
      </c>
      <c r="C341" t="s">
        <v>45</v>
      </c>
      <c r="D341" s="2">
        <f>53541572/(10^6)</f>
        <v>53.541572</v>
      </c>
      <c r="E341" s="3" t="s">
        <v>86</v>
      </c>
      <c r="F341" s="3">
        <v>0.389919757843018</v>
      </c>
      <c r="G341" s="3">
        <v>7.45397138595581</v>
      </c>
      <c r="H341" s="3" t="s">
        <v>86</v>
      </c>
      <c r="I341" t="s">
        <v>26</v>
      </c>
    </row>
    <row r="342" spans="1:9">
      <c r="A342" t="s">
        <v>749</v>
      </c>
      <c r="B342" t="s">
        <v>750</v>
      </c>
      <c r="C342" t="s">
        <v>37</v>
      </c>
      <c r="D342" s="2">
        <f>52671876/(10^6)</f>
        <v>52.671876</v>
      </c>
      <c r="E342" s="3">
        <v>9.15118312835693</v>
      </c>
      <c r="F342" s="3">
        <v>0.822889745235443</v>
      </c>
      <c r="G342" s="3">
        <v>0.797560393810272</v>
      </c>
      <c r="H342" s="3">
        <v>2.84372520446777</v>
      </c>
      <c r="I342" t="s">
        <v>26</v>
      </c>
    </row>
    <row r="343" spans="1:9">
      <c r="A343" t="s">
        <v>751</v>
      </c>
      <c r="B343" t="s">
        <v>752</v>
      </c>
      <c r="C343" t="s">
        <v>45</v>
      </c>
      <c r="D343" s="2">
        <f>52433620/(10^6)</f>
        <v>52.43362</v>
      </c>
      <c r="E343" s="3">
        <v>5.10781192779541</v>
      </c>
      <c r="F343" s="3">
        <v>0.303017646074295</v>
      </c>
      <c r="G343" s="3">
        <v>0.289779990911484</v>
      </c>
      <c r="H343" s="3">
        <v>11.0543394088745</v>
      </c>
      <c r="I343" t="s">
        <v>26</v>
      </c>
    </row>
    <row r="344" spans="1:9">
      <c r="A344" t="s">
        <v>753</v>
      </c>
      <c r="B344" t="s">
        <v>754</v>
      </c>
      <c r="C344" t="s">
        <v>31</v>
      </c>
      <c r="D344" s="2">
        <f>52372928/(10^6)</f>
        <v>52.372928</v>
      </c>
      <c r="E344" s="3">
        <v>4.2574577331543</v>
      </c>
      <c r="F344" s="3">
        <v>0.68519115447998</v>
      </c>
      <c r="G344" s="3">
        <v>0.673109173774719</v>
      </c>
      <c r="H344" s="3">
        <v>6.43243074417114</v>
      </c>
      <c r="I344" t="s">
        <v>26</v>
      </c>
    </row>
    <row r="345" spans="1:9">
      <c r="A345" t="s">
        <v>755</v>
      </c>
      <c r="B345" t="s">
        <v>756</v>
      </c>
      <c r="C345" t="s">
        <v>35</v>
      </c>
      <c r="D345" s="2">
        <f>52244172/(10^6)</f>
        <v>52.244172</v>
      </c>
      <c r="E345" s="3">
        <v>11.7078332901001</v>
      </c>
      <c r="F345" s="3">
        <v>0.65271931886673</v>
      </c>
      <c r="G345" s="3">
        <v>0.653385400772095</v>
      </c>
      <c r="H345" s="3">
        <v>2.07931733131409</v>
      </c>
      <c r="I345" t="s">
        <v>26</v>
      </c>
    </row>
    <row r="346" spans="1:9">
      <c r="A346" t="s">
        <v>757</v>
      </c>
      <c r="B346" t="s">
        <v>758</v>
      </c>
      <c r="C346" t="s">
        <v>27</v>
      </c>
      <c r="D346" s="2">
        <f>52080232/(10^6)</f>
        <v>52.080232</v>
      </c>
      <c r="E346" s="3">
        <v>5.73980283737183</v>
      </c>
      <c r="F346" s="3">
        <v>1.29105079174042</v>
      </c>
      <c r="G346" s="3">
        <v>0.116488978266716</v>
      </c>
      <c r="H346" s="3">
        <v>1.30536484718323</v>
      </c>
      <c r="I346" t="s">
        <v>26</v>
      </c>
    </row>
    <row r="347" spans="1:9">
      <c r="A347" t="s">
        <v>759</v>
      </c>
      <c r="B347" t="s">
        <v>760</v>
      </c>
      <c r="C347" t="s">
        <v>45</v>
      </c>
      <c r="D347" s="2">
        <f>51961416/(10^6)</f>
        <v>51.961416</v>
      </c>
      <c r="E347" s="3">
        <v>8.39489650726318</v>
      </c>
      <c r="F347" s="3">
        <v>0.794524013996124</v>
      </c>
      <c r="G347" s="3">
        <v>6.58698701858521</v>
      </c>
      <c r="H347" s="3" t="s">
        <v>86</v>
      </c>
      <c r="I347" t="s">
        <v>26</v>
      </c>
    </row>
    <row r="348" spans="1:9">
      <c r="A348" t="s">
        <v>761</v>
      </c>
      <c r="B348" t="s">
        <v>762</v>
      </c>
      <c r="C348" t="s">
        <v>45</v>
      </c>
      <c r="D348" s="2">
        <f>51710936/(10^6)</f>
        <v>51.710936</v>
      </c>
      <c r="E348" s="3" t="s">
        <v>86</v>
      </c>
      <c r="F348" s="3">
        <v>0.505724608898163</v>
      </c>
      <c r="G348" s="3">
        <v>3.08420991897583</v>
      </c>
      <c r="H348" s="3">
        <v>13.8149738311768</v>
      </c>
      <c r="I348" t="s">
        <v>26</v>
      </c>
    </row>
    <row r="349" spans="1:9">
      <c r="A349" t="s">
        <v>763</v>
      </c>
      <c r="B349" t="s">
        <v>764</v>
      </c>
      <c r="C349" t="s">
        <v>43</v>
      </c>
      <c r="D349" s="2">
        <f>51630612/(10^6)</f>
        <v>51.630612</v>
      </c>
      <c r="E349" s="3">
        <v>15.9605846405029</v>
      </c>
      <c r="F349" s="3">
        <v>0.546277403831482</v>
      </c>
      <c r="G349" s="3">
        <v>0.423528283834457</v>
      </c>
      <c r="H349" s="3" t="s">
        <v>86</v>
      </c>
      <c r="I349" t="s">
        <v>26</v>
      </c>
    </row>
    <row r="350" spans="1:9">
      <c r="A350" t="s">
        <v>765</v>
      </c>
      <c r="B350" t="s">
        <v>766</v>
      </c>
      <c r="C350" t="s">
        <v>31</v>
      </c>
      <c r="D350" s="2">
        <f>51446948/(10^6)</f>
        <v>51.446948</v>
      </c>
      <c r="E350" s="3">
        <v>16.4357509613037</v>
      </c>
      <c r="F350" s="3">
        <v>2.53731298446655</v>
      </c>
      <c r="G350" s="3">
        <v>4.57506418228149</v>
      </c>
      <c r="H350" s="3">
        <v>9.4747896194458</v>
      </c>
      <c r="I350" t="s">
        <v>26</v>
      </c>
    </row>
    <row r="351" spans="1:9">
      <c r="A351" t="s">
        <v>767</v>
      </c>
      <c r="B351" t="s">
        <v>768</v>
      </c>
      <c r="C351" t="s">
        <v>49</v>
      </c>
      <c r="D351" s="2">
        <f>51018224/(10^6)</f>
        <v>51.018224</v>
      </c>
      <c r="E351" s="3">
        <v>18.0669460296631</v>
      </c>
      <c r="F351" s="3">
        <v>0.85931807756424</v>
      </c>
      <c r="G351" s="3">
        <v>10.4049882888794</v>
      </c>
      <c r="H351" s="3" t="s">
        <v>86</v>
      </c>
      <c r="I351" t="s">
        <v>26</v>
      </c>
    </row>
    <row r="352" spans="1:9">
      <c r="A352" t="s">
        <v>769</v>
      </c>
      <c r="B352" t="s">
        <v>770</v>
      </c>
      <c r="C352" t="s">
        <v>31</v>
      </c>
      <c r="D352" s="2">
        <f>50202848/(10^6)</f>
        <v>50.202848</v>
      </c>
      <c r="E352" s="3">
        <v>21.4240760803223</v>
      </c>
      <c r="F352" s="3">
        <v>0.386874288320541</v>
      </c>
      <c r="G352" s="3">
        <v>0.275029212236404</v>
      </c>
      <c r="H352" s="3">
        <v>6.64580011367798</v>
      </c>
      <c r="I352" t="s">
        <v>26</v>
      </c>
    </row>
    <row r="353" spans="1:9">
      <c r="A353" t="s">
        <v>771</v>
      </c>
      <c r="B353" t="s">
        <v>772</v>
      </c>
      <c r="C353" t="s">
        <v>47</v>
      </c>
      <c r="D353" s="2">
        <f>50065076/(10^6)</f>
        <v>50.065076</v>
      </c>
      <c r="E353" s="3">
        <v>33.0943336486816</v>
      </c>
      <c r="F353" s="3">
        <v>1.25372433662415</v>
      </c>
      <c r="G353" s="3">
        <v>9.88998603820801</v>
      </c>
      <c r="H353" s="3">
        <v>21.4106369018555</v>
      </c>
      <c r="I353" t="s">
        <v>26</v>
      </c>
    </row>
    <row r="354" spans="1:9">
      <c r="A354" t="s">
        <v>773</v>
      </c>
      <c r="B354" t="s">
        <v>774</v>
      </c>
      <c r="C354" t="s">
        <v>47</v>
      </c>
      <c r="D354" s="2">
        <f>49181476/(10^6)</f>
        <v>49.181476</v>
      </c>
      <c r="E354" s="3">
        <v>8.21617317199707</v>
      </c>
      <c r="F354" s="3">
        <v>0.675017237663269</v>
      </c>
      <c r="G354" s="3">
        <v>0.8705695271492</v>
      </c>
      <c r="H354" s="3" t="s">
        <v>86</v>
      </c>
      <c r="I354" t="s">
        <v>26</v>
      </c>
    </row>
    <row r="355" spans="1:9">
      <c r="A355" t="s">
        <v>775</v>
      </c>
      <c r="B355" t="s">
        <v>776</v>
      </c>
      <c r="C355" t="s">
        <v>45</v>
      </c>
      <c r="D355" s="2">
        <f>48889912/(10^6)</f>
        <v>48.889912</v>
      </c>
      <c r="E355" s="3">
        <v>11.3638372421265</v>
      </c>
      <c r="F355" s="3">
        <v>0.910307466983795</v>
      </c>
      <c r="G355" s="3">
        <v>13.0030307769775</v>
      </c>
      <c r="H355" s="3" t="s">
        <v>86</v>
      </c>
      <c r="I355" t="s">
        <v>26</v>
      </c>
    </row>
    <row r="356" spans="1:9">
      <c r="A356" t="s">
        <v>777</v>
      </c>
      <c r="B356" t="s">
        <v>778</v>
      </c>
      <c r="C356" t="s">
        <v>33</v>
      </c>
      <c r="D356" s="2">
        <f>48682900/(10^6)</f>
        <v>48.6829</v>
      </c>
      <c r="E356" s="3">
        <v>16.5645389556885</v>
      </c>
      <c r="F356" s="3">
        <v>1.30617928504944</v>
      </c>
      <c r="G356" s="3">
        <v>2.21272706985474</v>
      </c>
      <c r="H356" s="3">
        <v>16.3702564239502</v>
      </c>
      <c r="I356" t="s">
        <v>26</v>
      </c>
    </row>
    <row r="357" spans="1:9">
      <c r="A357" t="s">
        <v>779</v>
      </c>
      <c r="B357" t="s">
        <v>780</v>
      </c>
      <c r="C357" t="s">
        <v>31</v>
      </c>
      <c r="D357" s="2">
        <f>48232972/(10^6)</f>
        <v>48.232972</v>
      </c>
      <c r="E357" s="3">
        <v>5.42636108398438</v>
      </c>
      <c r="F357" s="3">
        <v>0.27609983086586</v>
      </c>
      <c r="G357" s="3">
        <v>0.184329479932785</v>
      </c>
      <c r="H357" s="3">
        <v>2.56494498252869</v>
      </c>
      <c r="I357" t="s">
        <v>26</v>
      </c>
    </row>
    <row r="358" spans="1:9">
      <c r="A358" t="s">
        <v>781</v>
      </c>
      <c r="B358" t="s">
        <v>782</v>
      </c>
      <c r="C358" t="s">
        <v>37</v>
      </c>
      <c r="D358" s="2">
        <f>48017152/(10^6)</f>
        <v>48.017152</v>
      </c>
      <c r="E358" s="3">
        <v>6.39349889755249</v>
      </c>
      <c r="F358" s="3">
        <v>0.862680554389954</v>
      </c>
      <c r="G358" s="3">
        <v>0.515548229217529</v>
      </c>
      <c r="H358" s="3">
        <v>2.62883710861206</v>
      </c>
      <c r="I358" t="s">
        <v>26</v>
      </c>
    </row>
    <row r="359" spans="1:9">
      <c r="A359" t="s">
        <v>783</v>
      </c>
      <c r="B359" t="s">
        <v>784</v>
      </c>
      <c r="C359" t="s">
        <v>31</v>
      </c>
      <c r="D359" s="2">
        <f>47921880/(10^6)</f>
        <v>47.92188</v>
      </c>
      <c r="E359" s="3" t="s">
        <v>86</v>
      </c>
      <c r="F359" s="3">
        <v>1.02825498580933</v>
      </c>
      <c r="G359" s="3">
        <v>1.69196689128876</v>
      </c>
      <c r="H359" s="3">
        <v>43.0241432189941</v>
      </c>
      <c r="I359" t="s">
        <v>26</v>
      </c>
    </row>
    <row r="360" spans="1:9">
      <c r="A360" t="s">
        <v>785</v>
      </c>
      <c r="B360" t="s">
        <v>786</v>
      </c>
      <c r="C360" t="s">
        <v>35</v>
      </c>
      <c r="D360" s="2">
        <f>47772164/(10^6)</f>
        <v>47.772164</v>
      </c>
      <c r="E360" s="3">
        <v>18.0303020477295</v>
      </c>
      <c r="F360" s="3">
        <v>1.45439648628235</v>
      </c>
      <c r="G360" s="3">
        <v>1.02355396747589</v>
      </c>
      <c r="H360" s="3">
        <v>7.16650152206421</v>
      </c>
      <c r="I360" t="s">
        <v>26</v>
      </c>
    </row>
    <row r="361" spans="1:9">
      <c r="A361" t="s">
        <v>787</v>
      </c>
      <c r="B361" t="s">
        <v>788</v>
      </c>
      <c r="C361" t="s">
        <v>31</v>
      </c>
      <c r="D361" s="2">
        <f>47717044/(10^6)</f>
        <v>47.717044</v>
      </c>
      <c r="E361" s="3">
        <v>8.45752334594727</v>
      </c>
      <c r="F361" s="3">
        <v>0.680513322353363</v>
      </c>
      <c r="G361" s="3">
        <v>0.758574903011322</v>
      </c>
      <c r="H361" s="3">
        <v>4.53556537628174</v>
      </c>
      <c r="I361" t="s">
        <v>26</v>
      </c>
    </row>
    <row r="362" spans="1:9">
      <c r="A362" t="s">
        <v>789</v>
      </c>
      <c r="B362" t="s">
        <v>790</v>
      </c>
      <c r="C362" t="s">
        <v>43</v>
      </c>
      <c r="D362" s="2">
        <f>47699736/(10^6)</f>
        <v>47.699736</v>
      </c>
      <c r="E362" s="3">
        <v>11.893856048584</v>
      </c>
      <c r="F362" s="3">
        <v>1.4127824306488</v>
      </c>
      <c r="G362" s="3">
        <v>1.69940805435181</v>
      </c>
      <c r="H362" s="3">
        <v>7.94639921188354</v>
      </c>
      <c r="I362" t="s">
        <v>26</v>
      </c>
    </row>
    <row r="363" spans="1:9">
      <c r="A363" t="s">
        <v>791</v>
      </c>
      <c r="B363" t="s">
        <v>792</v>
      </c>
      <c r="C363" t="s">
        <v>45</v>
      </c>
      <c r="D363" s="2">
        <f>47448016/(10^6)</f>
        <v>47.448016</v>
      </c>
      <c r="E363" s="3">
        <v>12.567289352417</v>
      </c>
      <c r="F363" s="3">
        <v>0.353191584348679</v>
      </c>
      <c r="G363" s="3">
        <v>0.864059031009674</v>
      </c>
      <c r="H363" s="3">
        <v>13.7594404220581</v>
      </c>
      <c r="I363" t="s">
        <v>26</v>
      </c>
    </row>
    <row r="364" spans="1:9">
      <c r="A364" t="s">
        <v>793</v>
      </c>
      <c r="B364" t="s">
        <v>794</v>
      </c>
      <c r="C364" t="s">
        <v>35</v>
      </c>
      <c r="D364" s="2">
        <f>47200924/(10^6)</f>
        <v>47.200924</v>
      </c>
      <c r="E364" s="3">
        <v>12.1940097808838</v>
      </c>
      <c r="F364" s="3">
        <v>0.567780792713165</v>
      </c>
      <c r="G364" s="3">
        <v>0.19472947716713</v>
      </c>
      <c r="H364" s="3">
        <v>8.05463886260986</v>
      </c>
      <c r="I364" t="s">
        <v>26</v>
      </c>
    </row>
    <row r="365" spans="1:9">
      <c r="A365" t="s">
        <v>795</v>
      </c>
      <c r="B365" t="s">
        <v>796</v>
      </c>
      <c r="C365" t="s">
        <v>37</v>
      </c>
      <c r="D365" s="2">
        <f>46971204/(10^6)</f>
        <v>46.971204</v>
      </c>
      <c r="E365" s="3" t="s">
        <v>86</v>
      </c>
      <c r="F365" s="3">
        <v>1.59975147247314</v>
      </c>
      <c r="G365" s="3">
        <v>1.26122438907623</v>
      </c>
      <c r="H365" s="3" t="s">
        <v>86</v>
      </c>
      <c r="I365" t="s">
        <v>26</v>
      </c>
    </row>
    <row r="366" spans="1:9">
      <c r="A366" t="s">
        <v>797</v>
      </c>
      <c r="B366" t="s">
        <v>798</v>
      </c>
      <c r="C366" t="s">
        <v>45</v>
      </c>
      <c r="D366" s="2">
        <f>46928984/(10^6)</f>
        <v>46.928984</v>
      </c>
      <c r="E366" s="3">
        <v>53.8927841186523</v>
      </c>
      <c r="F366" s="3">
        <v>0.337236970663071</v>
      </c>
      <c r="G366" s="3">
        <v>0.571216702461243</v>
      </c>
      <c r="H366" s="3">
        <v>29.8410320281982</v>
      </c>
      <c r="I366" t="s">
        <v>26</v>
      </c>
    </row>
    <row r="367" spans="1:9">
      <c r="A367" t="s">
        <v>799</v>
      </c>
      <c r="B367" t="s">
        <v>800</v>
      </c>
      <c r="C367" t="s">
        <v>45</v>
      </c>
      <c r="D367" s="2">
        <f>46841220/(10^6)</f>
        <v>46.84122</v>
      </c>
      <c r="E367" s="3">
        <v>12.0316162109375</v>
      </c>
      <c r="F367" s="3">
        <v>0.719938695430756</v>
      </c>
      <c r="G367" s="3">
        <v>7.883704662323</v>
      </c>
      <c r="H367" s="3" t="s">
        <v>86</v>
      </c>
      <c r="I367" t="s">
        <v>26</v>
      </c>
    </row>
    <row r="368" spans="1:9">
      <c r="A368" t="s">
        <v>801</v>
      </c>
      <c r="B368" t="s">
        <v>802</v>
      </c>
      <c r="C368" t="s">
        <v>37</v>
      </c>
      <c r="D368" s="2">
        <f>46829828/(10^6)</f>
        <v>46.829828</v>
      </c>
      <c r="E368" s="3" t="s">
        <v>86</v>
      </c>
      <c r="F368" s="3">
        <v>0.092950977385044</v>
      </c>
      <c r="G368" s="3">
        <v>0.075198940932751</v>
      </c>
      <c r="H368" s="3" t="s">
        <v>86</v>
      </c>
      <c r="I368" t="s">
        <v>26</v>
      </c>
    </row>
    <row r="369" spans="1:9">
      <c r="A369" t="s">
        <v>803</v>
      </c>
      <c r="B369" t="s">
        <v>804</v>
      </c>
      <c r="C369" t="s">
        <v>49</v>
      </c>
      <c r="D369" s="2">
        <f>46387384/(10^6)</f>
        <v>46.387384</v>
      </c>
      <c r="E369" s="3">
        <v>20.887544631958</v>
      </c>
      <c r="F369" s="3">
        <v>0.471591114997864</v>
      </c>
      <c r="G369" s="3">
        <v>8.83230876922607</v>
      </c>
      <c r="H369" s="3" t="s">
        <v>86</v>
      </c>
      <c r="I369" t="s">
        <v>26</v>
      </c>
    </row>
    <row r="370" spans="1:9">
      <c r="A370" t="s">
        <v>805</v>
      </c>
      <c r="B370" t="s">
        <v>806</v>
      </c>
      <c r="C370" t="s">
        <v>31</v>
      </c>
      <c r="D370" s="2">
        <f>46027868/(10^6)</f>
        <v>46.027868</v>
      </c>
      <c r="E370" s="3" t="s">
        <v>86</v>
      </c>
      <c r="F370" s="3">
        <v>0.619162917137146</v>
      </c>
      <c r="G370" s="3">
        <v>0.137319773435593</v>
      </c>
      <c r="H370" s="3" t="s">
        <v>86</v>
      </c>
      <c r="I370" t="s">
        <v>26</v>
      </c>
    </row>
    <row r="371" spans="1:9">
      <c r="A371" t="s">
        <v>807</v>
      </c>
      <c r="B371" t="s">
        <v>808</v>
      </c>
      <c r="C371" t="s">
        <v>31</v>
      </c>
      <c r="D371" s="2">
        <f>45935924/(10^6)</f>
        <v>45.935924</v>
      </c>
      <c r="E371" s="3" t="s">
        <v>86</v>
      </c>
      <c r="F371" s="3">
        <v>0.199338421225548</v>
      </c>
      <c r="G371" s="3">
        <v>0.089236699044704</v>
      </c>
      <c r="H371" s="3">
        <v>5.57356595993042</v>
      </c>
      <c r="I371" t="s">
        <v>26</v>
      </c>
    </row>
    <row r="372" spans="1:9">
      <c r="A372" t="s">
        <v>809</v>
      </c>
      <c r="B372" t="s">
        <v>810</v>
      </c>
      <c r="C372" t="s">
        <v>35</v>
      </c>
      <c r="D372" s="2">
        <f>45888672/(10^6)</f>
        <v>45.888672</v>
      </c>
      <c r="E372" s="3">
        <v>20.12721824646</v>
      </c>
      <c r="F372" s="3">
        <v>0.927314043045044</v>
      </c>
      <c r="G372" s="3">
        <v>0.25541365146637</v>
      </c>
      <c r="H372" s="3">
        <v>5.19196033477783</v>
      </c>
      <c r="I372" t="s">
        <v>26</v>
      </c>
    </row>
    <row r="373" spans="1:9">
      <c r="A373" t="s">
        <v>811</v>
      </c>
      <c r="B373" t="s">
        <v>812</v>
      </c>
      <c r="C373" t="s">
        <v>47</v>
      </c>
      <c r="D373" s="2">
        <f>45815656/(10^6)</f>
        <v>45.815656</v>
      </c>
      <c r="E373" s="3">
        <v>16.5714282989502</v>
      </c>
      <c r="F373" s="3">
        <v>0.710153341293335</v>
      </c>
      <c r="G373" s="3">
        <v>0.80810022354126</v>
      </c>
      <c r="H373" s="3">
        <v>9.14171981811523</v>
      </c>
      <c r="I373" t="s">
        <v>26</v>
      </c>
    </row>
    <row r="374" spans="1:9">
      <c r="A374" t="s">
        <v>813</v>
      </c>
      <c r="B374" t="s">
        <v>814</v>
      </c>
      <c r="C374" t="s">
        <v>31</v>
      </c>
      <c r="D374" s="2">
        <f>45795008/(10^6)</f>
        <v>45.795008</v>
      </c>
      <c r="E374" s="3">
        <v>9.13279247283936</v>
      </c>
      <c r="F374" s="3">
        <v>1.11424100399017</v>
      </c>
      <c r="G374" s="3">
        <v>0.520702183246613</v>
      </c>
      <c r="H374" s="3">
        <v>8.65889739990234</v>
      </c>
      <c r="I374" t="s">
        <v>26</v>
      </c>
    </row>
    <row r="375" spans="1:9">
      <c r="A375" t="s">
        <v>815</v>
      </c>
      <c r="B375" t="s">
        <v>816</v>
      </c>
      <c r="C375" t="s">
        <v>47</v>
      </c>
      <c r="D375" s="2">
        <f>44869088/(10^6)</f>
        <v>44.869088</v>
      </c>
      <c r="E375" s="3" t="s">
        <v>86</v>
      </c>
      <c r="F375" s="3">
        <v>0.395947903394699</v>
      </c>
      <c r="G375" s="3">
        <v>0.376161932945251</v>
      </c>
      <c r="H375" s="3">
        <v>12.1469593048096</v>
      </c>
      <c r="I375" t="s">
        <v>26</v>
      </c>
    </row>
    <row r="376" spans="1:9">
      <c r="A376" t="s">
        <v>817</v>
      </c>
      <c r="B376" t="s">
        <v>818</v>
      </c>
      <c r="C376" t="s">
        <v>45</v>
      </c>
      <c r="D376" s="2">
        <f>44771092/(10^6)</f>
        <v>44.771092</v>
      </c>
      <c r="E376" s="3">
        <v>10.79798412323</v>
      </c>
      <c r="F376" s="3">
        <v>0.792368233203888</v>
      </c>
      <c r="G376" s="3">
        <v>9.87839126586914</v>
      </c>
      <c r="H376" s="3" t="s">
        <v>86</v>
      </c>
      <c r="I376" t="s">
        <v>26</v>
      </c>
    </row>
    <row r="377" spans="1:9">
      <c r="A377" t="s">
        <v>819</v>
      </c>
      <c r="B377" t="s">
        <v>820</v>
      </c>
      <c r="C377" t="s">
        <v>41</v>
      </c>
      <c r="D377" s="2">
        <f>44737392/(10^6)</f>
        <v>44.737392</v>
      </c>
      <c r="E377" s="3">
        <v>11.4279108047485</v>
      </c>
      <c r="F377" s="3">
        <v>0.829082131385803</v>
      </c>
      <c r="G377" s="3">
        <v>0.749127805233002</v>
      </c>
      <c r="H377" s="3">
        <v>5.67493581771851</v>
      </c>
      <c r="I377" t="s">
        <v>26</v>
      </c>
    </row>
    <row r="378" spans="1:9">
      <c r="A378" t="s">
        <v>821</v>
      </c>
      <c r="B378" t="s">
        <v>822</v>
      </c>
      <c r="C378" t="s">
        <v>47</v>
      </c>
      <c r="D378" s="2">
        <f>44359380/(10^6)</f>
        <v>44.35938</v>
      </c>
      <c r="E378" s="3">
        <v>5.07004737854004</v>
      </c>
      <c r="F378" s="3">
        <v>0.491453856229782</v>
      </c>
      <c r="G378" s="3">
        <v>0.529309988021851</v>
      </c>
      <c r="H378" s="3">
        <v>1.49904203414917</v>
      </c>
      <c r="I378" t="s">
        <v>26</v>
      </c>
    </row>
    <row r="379" spans="1:9">
      <c r="A379" t="s">
        <v>823</v>
      </c>
      <c r="B379" t="s">
        <v>824</v>
      </c>
      <c r="C379" t="s">
        <v>47</v>
      </c>
      <c r="D379" s="2">
        <f>44327060/(10^6)</f>
        <v>44.32706</v>
      </c>
      <c r="E379" s="3">
        <v>11.9298725128174</v>
      </c>
      <c r="F379" s="3">
        <v>0.627354443073273</v>
      </c>
      <c r="G379" s="3">
        <v>0.50374174118042</v>
      </c>
      <c r="H379" s="3">
        <v>4.15569686889648</v>
      </c>
      <c r="I379" t="s">
        <v>26</v>
      </c>
    </row>
    <row r="380" spans="1:9">
      <c r="A380" t="s">
        <v>825</v>
      </c>
      <c r="B380" t="s">
        <v>826</v>
      </c>
      <c r="C380" t="s">
        <v>31</v>
      </c>
      <c r="D380" s="2">
        <f>43791152/(10^6)</f>
        <v>43.791152</v>
      </c>
      <c r="E380" s="3">
        <v>9.80131053924561</v>
      </c>
      <c r="F380" s="3">
        <v>0.88796192407608</v>
      </c>
      <c r="G380" s="3">
        <v>0.547610878944397</v>
      </c>
      <c r="H380" s="3">
        <v>5.93600177764893</v>
      </c>
      <c r="I380" t="s">
        <v>26</v>
      </c>
    </row>
    <row r="381" spans="1:9">
      <c r="A381" t="s">
        <v>827</v>
      </c>
      <c r="B381" t="s">
        <v>828</v>
      </c>
      <c r="C381" t="s">
        <v>33</v>
      </c>
      <c r="D381" s="2">
        <f>43602208/(10^6)</f>
        <v>43.602208</v>
      </c>
      <c r="E381" s="3">
        <v>2.54592943191528</v>
      </c>
      <c r="F381" s="3">
        <v>0.314959019422531</v>
      </c>
      <c r="G381" s="3">
        <v>1.24226093292236</v>
      </c>
      <c r="H381" s="3">
        <v>6.09058523178101</v>
      </c>
      <c r="I381" t="s">
        <v>26</v>
      </c>
    </row>
    <row r="382" spans="1:9">
      <c r="A382" t="s">
        <v>829</v>
      </c>
      <c r="B382" t="s">
        <v>830</v>
      </c>
      <c r="C382" t="s">
        <v>31</v>
      </c>
      <c r="D382" s="2">
        <f>43454300/(10^6)</f>
        <v>43.4543</v>
      </c>
      <c r="E382" s="3">
        <v>10.742748260498</v>
      </c>
      <c r="F382" s="3">
        <v>2.21343278884888</v>
      </c>
      <c r="G382" s="3">
        <v>1.28090476989746</v>
      </c>
      <c r="H382" s="3">
        <v>7.20337963104248</v>
      </c>
      <c r="I382" t="s">
        <v>26</v>
      </c>
    </row>
    <row r="383" spans="1:9">
      <c r="A383" t="s">
        <v>831</v>
      </c>
      <c r="B383" t="s">
        <v>832</v>
      </c>
      <c r="C383" t="s">
        <v>39</v>
      </c>
      <c r="D383" s="2">
        <f>43362428/(10^6)</f>
        <v>43.362428</v>
      </c>
      <c r="E383" s="3">
        <v>7.09073209762573</v>
      </c>
      <c r="F383" s="3">
        <v>0.534605205059052</v>
      </c>
      <c r="G383" s="3">
        <v>0.484477162361145</v>
      </c>
      <c r="H383" s="3">
        <v>6.05043983459473</v>
      </c>
      <c r="I383" t="s">
        <v>26</v>
      </c>
    </row>
    <row r="384" spans="1:9">
      <c r="A384" t="s">
        <v>833</v>
      </c>
      <c r="B384" t="s">
        <v>834</v>
      </c>
      <c r="C384" t="s">
        <v>31</v>
      </c>
      <c r="D384" s="2">
        <f>43198196/(10^6)</f>
        <v>43.198196</v>
      </c>
      <c r="E384" s="3">
        <v>6.10128116607666</v>
      </c>
      <c r="F384" s="3">
        <v>0.716933131217957</v>
      </c>
      <c r="G384" s="3">
        <v>0.124126955866814</v>
      </c>
      <c r="H384" s="3" t="s">
        <v>86</v>
      </c>
      <c r="I384" t="s">
        <v>26</v>
      </c>
    </row>
    <row r="385" spans="1:9">
      <c r="A385" t="s">
        <v>835</v>
      </c>
      <c r="B385" t="s">
        <v>836</v>
      </c>
      <c r="C385" t="s">
        <v>51</v>
      </c>
      <c r="D385" s="2">
        <f>42912576/(10^6)</f>
        <v>42.912576</v>
      </c>
      <c r="E385" s="3" t="s">
        <v>86</v>
      </c>
      <c r="F385" s="3">
        <v>2.85893583297729</v>
      </c>
      <c r="G385" s="3">
        <v>1.30627083778381</v>
      </c>
      <c r="H385" s="3" t="s">
        <v>86</v>
      </c>
      <c r="I385" t="s">
        <v>26</v>
      </c>
    </row>
    <row r="386" spans="1:9">
      <c r="A386" t="s">
        <v>837</v>
      </c>
      <c r="B386" t="s">
        <v>838</v>
      </c>
      <c r="C386" t="s">
        <v>51</v>
      </c>
      <c r="D386" s="2">
        <f>42774460/(10^6)</f>
        <v>42.77446</v>
      </c>
      <c r="E386" s="3">
        <v>6.46682214736938</v>
      </c>
      <c r="F386" s="3">
        <v>0.768734633922577</v>
      </c>
      <c r="G386" s="3">
        <v>0.190653681755066</v>
      </c>
      <c r="H386" s="3">
        <v>4.21772289276123</v>
      </c>
      <c r="I386" t="s">
        <v>26</v>
      </c>
    </row>
    <row r="387" spans="1:9">
      <c r="A387" t="s">
        <v>839</v>
      </c>
      <c r="B387" t="s">
        <v>840</v>
      </c>
      <c r="C387" t="s">
        <v>35</v>
      </c>
      <c r="D387" s="2">
        <f>42585212/(10^6)</f>
        <v>42.585212</v>
      </c>
      <c r="E387" s="3">
        <v>12.4875373840332</v>
      </c>
      <c r="F387" s="3">
        <v>1.29033720493317</v>
      </c>
      <c r="G387" s="3">
        <v>0.49152684211731</v>
      </c>
      <c r="H387" s="3">
        <v>8.34911346435547</v>
      </c>
      <c r="I387" t="s">
        <v>26</v>
      </c>
    </row>
    <row r="388" spans="1:9">
      <c r="A388" t="s">
        <v>841</v>
      </c>
      <c r="B388" t="s">
        <v>842</v>
      </c>
      <c r="C388" t="s">
        <v>35</v>
      </c>
      <c r="D388" s="2">
        <f>42259992/(10^6)</f>
        <v>42.259992</v>
      </c>
      <c r="E388" s="3">
        <v>7.61284065246582</v>
      </c>
      <c r="F388" s="3">
        <v>0.375595331192017</v>
      </c>
      <c r="G388" s="3">
        <v>0.208587840199471</v>
      </c>
      <c r="H388" s="3">
        <v>7.5431866645813</v>
      </c>
      <c r="I388" t="s">
        <v>26</v>
      </c>
    </row>
    <row r="389" spans="1:9">
      <c r="A389" t="s">
        <v>843</v>
      </c>
      <c r="B389" t="s">
        <v>844</v>
      </c>
      <c r="C389" t="s">
        <v>35</v>
      </c>
      <c r="D389" s="2">
        <f>41874860/(10^6)</f>
        <v>41.87486</v>
      </c>
      <c r="E389" s="3">
        <v>184.771850585938</v>
      </c>
      <c r="F389" s="3">
        <v>0.591444849967957</v>
      </c>
      <c r="G389" s="3">
        <v>0.410084664821625</v>
      </c>
      <c r="H389" s="3">
        <v>11.4199132919312</v>
      </c>
      <c r="I389" t="s">
        <v>26</v>
      </c>
    </row>
    <row r="390" spans="1:9">
      <c r="A390" t="s">
        <v>845</v>
      </c>
      <c r="B390" t="s">
        <v>846</v>
      </c>
      <c r="C390" t="s">
        <v>45</v>
      </c>
      <c r="D390" s="2">
        <f>41423980/(10^6)</f>
        <v>41.42398</v>
      </c>
      <c r="E390" s="3">
        <v>14.2525587081909</v>
      </c>
      <c r="F390" s="3">
        <v>0.709725141525269</v>
      </c>
      <c r="G390" s="3">
        <v>9.55780506134033</v>
      </c>
      <c r="H390" s="3" t="s">
        <v>86</v>
      </c>
      <c r="I390" t="s">
        <v>26</v>
      </c>
    </row>
    <row r="391" spans="1:9">
      <c r="A391" t="s">
        <v>847</v>
      </c>
      <c r="B391" t="s">
        <v>848</v>
      </c>
      <c r="C391" t="s">
        <v>45</v>
      </c>
      <c r="D391" s="2">
        <f>41382640/(10^6)</f>
        <v>41.38264</v>
      </c>
      <c r="E391" s="3">
        <v>10.4479932785034</v>
      </c>
      <c r="F391" s="3">
        <v>0.697352468967438</v>
      </c>
      <c r="G391" s="3">
        <v>9.87526512145996</v>
      </c>
      <c r="H391" s="3">
        <v>10.9479932785034</v>
      </c>
      <c r="I391" t="s">
        <v>26</v>
      </c>
    </row>
    <row r="392" spans="1:9">
      <c r="A392" t="s">
        <v>849</v>
      </c>
      <c r="B392" t="s">
        <v>850</v>
      </c>
      <c r="C392" t="s">
        <v>37</v>
      </c>
      <c r="D392" s="2">
        <f>41236720/(10^6)</f>
        <v>41.23672</v>
      </c>
      <c r="E392" s="3">
        <v>6.88250970840454</v>
      </c>
      <c r="F392" s="3">
        <v>0.540208399295807</v>
      </c>
      <c r="G392" s="3">
        <v>1.08907747268677</v>
      </c>
      <c r="H392" s="3">
        <v>5.46701240539551</v>
      </c>
      <c r="I392" t="s">
        <v>26</v>
      </c>
    </row>
    <row r="393" spans="1:9">
      <c r="A393" t="s">
        <v>851</v>
      </c>
      <c r="B393" t="s">
        <v>852</v>
      </c>
      <c r="C393" t="s">
        <v>43</v>
      </c>
      <c r="D393" s="2">
        <f>40790080/(10^6)</f>
        <v>40.79008</v>
      </c>
      <c r="E393" s="3">
        <v>6.36235427856445</v>
      </c>
      <c r="F393" s="3">
        <v>0.855606913566589</v>
      </c>
      <c r="G393" s="3">
        <v>0.528961658477783</v>
      </c>
      <c r="H393" s="3" t="s">
        <v>86</v>
      </c>
      <c r="I393" t="s">
        <v>26</v>
      </c>
    </row>
    <row r="394" spans="1:9">
      <c r="A394" t="s">
        <v>853</v>
      </c>
      <c r="B394" t="s">
        <v>854</v>
      </c>
      <c r="C394" t="s">
        <v>47</v>
      </c>
      <c r="D394" s="2">
        <f>40664056/(10^6)</f>
        <v>40.664056</v>
      </c>
      <c r="E394" s="3">
        <v>8.62359142303467</v>
      </c>
      <c r="F394" s="3">
        <v>0.757302761077881</v>
      </c>
      <c r="G394" s="3">
        <v>0.776470363140106</v>
      </c>
      <c r="H394" s="3">
        <v>5.57067823410034</v>
      </c>
      <c r="I394" t="s">
        <v>26</v>
      </c>
    </row>
    <row r="395" spans="1:9">
      <c r="A395" t="s">
        <v>855</v>
      </c>
      <c r="B395" t="s">
        <v>856</v>
      </c>
      <c r="C395" t="s">
        <v>45</v>
      </c>
      <c r="D395" s="2">
        <f>40569592/(10^6)</f>
        <v>40.569592</v>
      </c>
      <c r="E395" s="3" t="s">
        <v>86</v>
      </c>
      <c r="F395" s="3">
        <v>0.449816197156906</v>
      </c>
      <c r="G395" s="3" t="s">
        <v>86</v>
      </c>
      <c r="H395" s="3" t="s">
        <v>86</v>
      </c>
      <c r="I395" t="s">
        <v>26</v>
      </c>
    </row>
    <row r="396" spans="1:9">
      <c r="A396" t="s">
        <v>857</v>
      </c>
      <c r="B396" t="s">
        <v>858</v>
      </c>
      <c r="C396" t="s">
        <v>37</v>
      </c>
      <c r="D396" s="2">
        <f>39833236/(10^6)</f>
        <v>39.833236</v>
      </c>
      <c r="E396" s="3" t="s">
        <v>86</v>
      </c>
      <c r="F396" s="3">
        <v>0.332470327615738</v>
      </c>
      <c r="G396" s="3">
        <v>0.136019572615623</v>
      </c>
      <c r="H396" s="3">
        <v>5.17277765274048</v>
      </c>
      <c r="I396" t="s">
        <v>26</v>
      </c>
    </row>
    <row r="397" spans="1:9">
      <c r="A397" t="s">
        <v>859</v>
      </c>
      <c r="B397" t="s">
        <v>860</v>
      </c>
      <c r="C397" t="s">
        <v>37</v>
      </c>
      <c r="D397" s="2">
        <f>39687644/(10^6)</f>
        <v>39.687644</v>
      </c>
      <c r="E397" s="3">
        <v>5.27167510986328</v>
      </c>
      <c r="F397" s="3">
        <v>0.634467601776123</v>
      </c>
      <c r="G397" s="3">
        <v>0.669877946376801</v>
      </c>
      <c r="H397" s="3">
        <v>0.889292120933533</v>
      </c>
      <c r="I397" t="s">
        <v>26</v>
      </c>
    </row>
    <row r="398" spans="1:9">
      <c r="A398" t="s">
        <v>861</v>
      </c>
      <c r="B398" t="s">
        <v>862</v>
      </c>
      <c r="C398" t="s">
        <v>51</v>
      </c>
      <c r="D398" s="2">
        <f>39006440/(10^6)</f>
        <v>39.00644</v>
      </c>
      <c r="E398" s="3" t="s">
        <v>86</v>
      </c>
      <c r="F398" s="3" t="s">
        <v>86</v>
      </c>
      <c r="G398" s="3">
        <v>1.37122237682343</v>
      </c>
      <c r="H398" s="3" t="s">
        <v>86</v>
      </c>
      <c r="I398" t="s">
        <v>26</v>
      </c>
    </row>
    <row r="399" spans="1:9">
      <c r="A399" t="s">
        <v>863</v>
      </c>
      <c r="B399" t="s">
        <v>864</v>
      </c>
      <c r="C399" t="s">
        <v>45</v>
      </c>
      <c r="D399" s="2">
        <f>38585212/(10^6)</f>
        <v>38.585212</v>
      </c>
      <c r="E399" s="3">
        <v>14.0653171539307</v>
      </c>
      <c r="F399" s="3">
        <v>0.636512160301208</v>
      </c>
      <c r="G399" s="3">
        <v>7.73848962783813</v>
      </c>
      <c r="H399" s="3" t="s">
        <v>86</v>
      </c>
      <c r="I399" t="s">
        <v>26</v>
      </c>
    </row>
    <row r="400" spans="1:9">
      <c r="A400" t="s">
        <v>865</v>
      </c>
      <c r="B400" t="s">
        <v>866</v>
      </c>
      <c r="C400" t="s">
        <v>31</v>
      </c>
      <c r="D400" s="2">
        <f>38351408/(10^6)</f>
        <v>38.351408</v>
      </c>
      <c r="E400" s="3">
        <v>39.8162307739258</v>
      </c>
      <c r="F400" s="3">
        <v>0.793985247612</v>
      </c>
      <c r="G400" s="3">
        <v>0.98875105381012</v>
      </c>
      <c r="H400" s="3">
        <v>5.72378015518188</v>
      </c>
      <c r="I400" t="s">
        <v>26</v>
      </c>
    </row>
    <row r="401" spans="1:9">
      <c r="A401" t="s">
        <v>867</v>
      </c>
      <c r="B401" t="s">
        <v>868</v>
      </c>
      <c r="C401" t="s">
        <v>31</v>
      </c>
      <c r="D401" s="2">
        <f>38252812/(10^6)</f>
        <v>38.252812</v>
      </c>
      <c r="E401" s="3">
        <v>42.3684463500977</v>
      </c>
      <c r="F401" s="3">
        <v>1.11176466941833</v>
      </c>
      <c r="G401" s="3">
        <v>1.00425374507904</v>
      </c>
      <c r="H401" s="3">
        <v>5.6196494102478</v>
      </c>
      <c r="I401" t="s">
        <v>26</v>
      </c>
    </row>
    <row r="402" spans="1:9">
      <c r="A402" t="s">
        <v>869</v>
      </c>
      <c r="B402" t="s">
        <v>870</v>
      </c>
      <c r="C402" t="s">
        <v>47</v>
      </c>
      <c r="D402" s="2">
        <f>38217732/(10^6)</f>
        <v>38.217732</v>
      </c>
      <c r="E402" s="3" t="s">
        <v>86</v>
      </c>
      <c r="F402" s="3">
        <v>0.240025117993355</v>
      </c>
      <c r="G402" s="3">
        <v>0.939145267009735</v>
      </c>
      <c r="H402" s="3">
        <v>10.1126480102539</v>
      </c>
      <c r="I402" t="s">
        <v>26</v>
      </c>
    </row>
    <row r="403" spans="1:9">
      <c r="A403" t="s">
        <v>871</v>
      </c>
      <c r="B403" t="s">
        <v>872</v>
      </c>
      <c r="C403" t="s">
        <v>37</v>
      </c>
      <c r="D403" s="2">
        <f>37400340/(10^6)</f>
        <v>37.40034</v>
      </c>
      <c r="E403" s="3">
        <v>349.999969482422</v>
      </c>
      <c r="F403" s="3">
        <v>0.551340818405151</v>
      </c>
      <c r="G403" s="3">
        <v>0.254912346601486</v>
      </c>
      <c r="H403" s="3">
        <v>2.93734192848206</v>
      </c>
      <c r="I403" t="s">
        <v>26</v>
      </c>
    </row>
    <row r="404" spans="1:9">
      <c r="A404" t="s">
        <v>873</v>
      </c>
      <c r="B404" t="s">
        <v>874</v>
      </c>
      <c r="C404" t="s">
        <v>45</v>
      </c>
      <c r="D404" s="2">
        <f>37007352/(10^6)</f>
        <v>37.007352</v>
      </c>
      <c r="E404" s="3">
        <v>10.0402278900146</v>
      </c>
      <c r="F404" s="3">
        <v>0.515625774860382</v>
      </c>
      <c r="G404" s="3">
        <v>6.98140382766724</v>
      </c>
      <c r="H404" s="3" t="s">
        <v>86</v>
      </c>
      <c r="I404" t="s">
        <v>26</v>
      </c>
    </row>
    <row r="405" spans="1:9">
      <c r="A405" t="s">
        <v>875</v>
      </c>
      <c r="B405" t="s">
        <v>876</v>
      </c>
      <c r="C405" t="s">
        <v>49</v>
      </c>
      <c r="D405" s="2">
        <f>36870312/(10^6)</f>
        <v>36.870312</v>
      </c>
      <c r="E405" s="3">
        <v>13.3431434631348</v>
      </c>
      <c r="F405" s="3">
        <v>0.76717883348465</v>
      </c>
      <c r="G405" s="3">
        <v>8.99064540863037</v>
      </c>
      <c r="H405" s="3">
        <v>11.535717010498</v>
      </c>
      <c r="I405" t="s">
        <v>26</v>
      </c>
    </row>
    <row r="406" spans="1:9">
      <c r="A406" t="s">
        <v>877</v>
      </c>
      <c r="B406" t="s">
        <v>878</v>
      </c>
      <c r="C406" t="s">
        <v>31</v>
      </c>
      <c r="D406" s="2">
        <f>36649824/(10^6)</f>
        <v>36.649824</v>
      </c>
      <c r="E406" s="3">
        <v>10.1176471710205</v>
      </c>
      <c r="F406" s="3">
        <v>1.26796531677246</v>
      </c>
      <c r="G406" s="3">
        <v>0.637031435966492</v>
      </c>
      <c r="H406" s="3">
        <v>4.84991693496704</v>
      </c>
      <c r="I406" t="s">
        <v>26</v>
      </c>
    </row>
    <row r="407" spans="1:9">
      <c r="A407" t="s">
        <v>879</v>
      </c>
      <c r="B407" t="s">
        <v>880</v>
      </c>
      <c r="C407" t="s">
        <v>35</v>
      </c>
      <c r="D407" s="2">
        <f>36618084/(10^6)</f>
        <v>36.618084</v>
      </c>
      <c r="E407" s="3" t="s">
        <v>86</v>
      </c>
      <c r="F407" s="3">
        <v>0.297357887029648</v>
      </c>
      <c r="G407" s="3">
        <v>0.164072647690773</v>
      </c>
      <c r="H407" s="3">
        <v>78.5166244506836</v>
      </c>
      <c r="I407" t="s">
        <v>26</v>
      </c>
    </row>
    <row r="408" spans="1:9">
      <c r="A408" t="s">
        <v>881</v>
      </c>
      <c r="B408" t="s">
        <v>882</v>
      </c>
      <c r="C408" t="s">
        <v>27</v>
      </c>
      <c r="D408" s="2">
        <f>36606952/(10^6)</f>
        <v>36.606952</v>
      </c>
      <c r="E408" s="3">
        <v>12.1194200515747</v>
      </c>
      <c r="F408" s="3">
        <v>0.755063056945801</v>
      </c>
      <c r="G408" s="3">
        <v>338.842987060547</v>
      </c>
      <c r="H408" s="3" t="s">
        <v>86</v>
      </c>
      <c r="I408" t="s">
        <v>26</v>
      </c>
    </row>
    <row r="409" spans="1:9">
      <c r="A409" t="s">
        <v>883</v>
      </c>
      <c r="B409" t="s">
        <v>884</v>
      </c>
      <c r="C409" t="s">
        <v>43</v>
      </c>
      <c r="D409" s="2">
        <f>36351388/(10^6)</f>
        <v>36.351388</v>
      </c>
      <c r="E409" s="3">
        <v>6.66192483901978</v>
      </c>
      <c r="F409" s="3">
        <v>0.408914595842361</v>
      </c>
      <c r="G409" s="3">
        <v>0.298850625753403</v>
      </c>
      <c r="H409" s="3">
        <v>4.94939279556274</v>
      </c>
      <c r="I409" t="s">
        <v>26</v>
      </c>
    </row>
    <row r="410" spans="1:9">
      <c r="A410" t="s">
        <v>885</v>
      </c>
      <c r="B410" t="s">
        <v>886</v>
      </c>
      <c r="C410" t="s">
        <v>37</v>
      </c>
      <c r="D410" s="2">
        <f>36061744/(10^6)</f>
        <v>36.061744</v>
      </c>
      <c r="E410" s="3">
        <v>9.89574337005615</v>
      </c>
      <c r="F410" s="3">
        <v>0.40790382027626</v>
      </c>
      <c r="G410" s="3">
        <v>0.267896294593811</v>
      </c>
      <c r="H410" s="3">
        <v>5.50439262390137</v>
      </c>
      <c r="I410" t="s">
        <v>26</v>
      </c>
    </row>
    <row r="411" spans="1:9">
      <c r="A411" t="s">
        <v>887</v>
      </c>
      <c r="B411" t="s">
        <v>888</v>
      </c>
      <c r="C411" t="s">
        <v>51</v>
      </c>
      <c r="D411" s="2">
        <f>35959144/(10^6)</f>
        <v>35.959144</v>
      </c>
      <c r="E411" s="3">
        <v>9.21262741088867</v>
      </c>
      <c r="F411" s="3">
        <v>0.415761321783066</v>
      </c>
      <c r="G411" s="3">
        <v>0.202888533473015</v>
      </c>
      <c r="H411" s="3">
        <v>8.2028226852417</v>
      </c>
      <c r="I411" t="s">
        <v>26</v>
      </c>
    </row>
    <row r="412" spans="1:9">
      <c r="A412" t="s">
        <v>889</v>
      </c>
      <c r="B412" t="s">
        <v>890</v>
      </c>
      <c r="C412" t="s">
        <v>49</v>
      </c>
      <c r="D412" s="2">
        <f>35957744/(10^6)</f>
        <v>35.957744</v>
      </c>
      <c r="E412" s="3">
        <v>15.5844011306763</v>
      </c>
      <c r="F412" s="3">
        <v>0.613358736038208</v>
      </c>
      <c r="G412" s="3">
        <v>13.2289543151855</v>
      </c>
      <c r="H412" s="3" t="s">
        <v>86</v>
      </c>
      <c r="I412" t="s">
        <v>26</v>
      </c>
    </row>
    <row r="413" spans="1:9">
      <c r="A413" t="s">
        <v>891</v>
      </c>
      <c r="B413" t="s">
        <v>892</v>
      </c>
      <c r="C413" t="s">
        <v>47</v>
      </c>
      <c r="D413" s="2">
        <f>35718880/(10^6)</f>
        <v>35.71888</v>
      </c>
      <c r="E413" s="3">
        <v>15.8515148162842</v>
      </c>
      <c r="F413" s="3">
        <v>0.524393439292908</v>
      </c>
      <c r="G413" s="3">
        <v>1.41275024414062</v>
      </c>
      <c r="H413" s="3">
        <v>0.92064642906189</v>
      </c>
      <c r="I413" t="s">
        <v>26</v>
      </c>
    </row>
    <row r="414" spans="1:9">
      <c r="A414" t="s">
        <v>893</v>
      </c>
      <c r="B414" t="s">
        <v>894</v>
      </c>
      <c r="C414" t="s">
        <v>47</v>
      </c>
      <c r="D414" s="2">
        <f>35697160/(10^6)</f>
        <v>35.69716</v>
      </c>
      <c r="E414" s="3">
        <v>10.8630704879761</v>
      </c>
      <c r="F414" s="3">
        <v>0.761813521385193</v>
      </c>
      <c r="G414" s="3">
        <v>0.563983619213104</v>
      </c>
      <c r="H414" s="3">
        <v>9.31005954742432</v>
      </c>
      <c r="I414" t="s">
        <v>26</v>
      </c>
    </row>
    <row r="415" spans="1:9">
      <c r="A415" t="s">
        <v>895</v>
      </c>
      <c r="B415" t="s">
        <v>896</v>
      </c>
      <c r="C415" t="s">
        <v>41</v>
      </c>
      <c r="D415" s="2">
        <f>35616404/(10^6)</f>
        <v>35.616404</v>
      </c>
      <c r="E415" s="3">
        <v>47.1499786376953</v>
      </c>
      <c r="F415" s="3">
        <v>2.42630362510681</v>
      </c>
      <c r="G415" s="3">
        <v>1.23009741306305</v>
      </c>
      <c r="H415" s="3" t="s">
        <v>86</v>
      </c>
      <c r="I415" t="s">
        <v>26</v>
      </c>
    </row>
    <row r="416" spans="1:9">
      <c r="A416" t="s">
        <v>897</v>
      </c>
      <c r="B416" t="s">
        <v>898</v>
      </c>
      <c r="C416" t="s">
        <v>37</v>
      </c>
      <c r="D416" s="2">
        <f>35533052/(10^6)</f>
        <v>35.533052</v>
      </c>
      <c r="E416" s="3">
        <v>13.4127511978149</v>
      </c>
      <c r="F416" s="3">
        <v>2.18639707565308</v>
      </c>
      <c r="G416" s="3">
        <v>2.02946424484253</v>
      </c>
      <c r="H416" s="3">
        <v>9.27610301971436</v>
      </c>
      <c r="I416" t="s">
        <v>26</v>
      </c>
    </row>
    <row r="417" spans="1:9">
      <c r="A417" t="s">
        <v>899</v>
      </c>
      <c r="B417" t="s">
        <v>900</v>
      </c>
      <c r="C417" t="s">
        <v>45</v>
      </c>
      <c r="D417" s="2">
        <f>35373348/(10^6)</f>
        <v>35.373348</v>
      </c>
      <c r="E417" s="3">
        <v>21.3260955810547</v>
      </c>
      <c r="F417" s="3">
        <v>0.239676743745804</v>
      </c>
      <c r="G417" s="3">
        <v>0.80475240945816</v>
      </c>
      <c r="H417" s="3">
        <v>28.7626399993896</v>
      </c>
      <c r="I417" t="s">
        <v>26</v>
      </c>
    </row>
    <row r="418" spans="1:9">
      <c r="A418" t="s">
        <v>901</v>
      </c>
      <c r="B418" t="s">
        <v>902</v>
      </c>
      <c r="C418" t="s">
        <v>31</v>
      </c>
      <c r="D418" s="2">
        <f>35277908/(10^6)</f>
        <v>35.277908</v>
      </c>
      <c r="E418" s="3">
        <v>18.75</v>
      </c>
      <c r="F418" s="3">
        <v>0.5038201212883</v>
      </c>
      <c r="G418" s="3">
        <v>0.514026403427124</v>
      </c>
      <c r="H418" s="3">
        <v>5.68593072891235</v>
      </c>
      <c r="I418" t="s">
        <v>26</v>
      </c>
    </row>
    <row r="419" spans="1:9">
      <c r="A419" t="s">
        <v>903</v>
      </c>
      <c r="B419" t="s">
        <v>904</v>
      </c>
      <c r="C419" t="s">
        <v>37</v>
      </c>
      <c r="D419" s="2">
        <f>34965548/(10^6)</f>
        <v>34.965548</v>
      </c>
      <c r="E419" s="3">
        <v>16.1868648529053</v>
      </c>
      <c r="F419" s="3">
        <v>0.461661577224731</v>
      </c>
      <c r="G419" s="3">
        <v>0.124087050557137</v>
      </c>
      <c r="H419" s="3">
        <v>8.91617584228516</v>
      </c>
      <c r="I419" t="s">
        <v>26</v>
      </c>
    </row>
    <row r="420" spans="1:9">
      <c r="A420" t="s">
        <v>905</v>
      </c>
      <c r="B420" t="s">
        <v>906</v>
      </c>
      <c r="C420" t="s">
        <v>51</v>
      </c>
      <c r="D420" s="2">
        <f>34252716/(10^6)</f>
        <v>34.252716</v>
      </c>
      <c r="E420" s="3">
        <v>7.00031328201294</v>
      </c>
      <c r="F420" s="3">
        <v>1.70162081718445</v>
      </c>
      <c r="G420" s="3">
        <v>0.401840060949326</v>
      </c>
      <c r="H420" s="3">
        <v>4.25584125518799</v>
      </c>
      <c r="I420" t="s">
        <v>26</v>
      </c>
    </row>
    <row r="421" spans="1:9">
      <c r="A421" t="s">
        <v>907</v>
      </c>
      <c r="B421" t="s">
        <v>908</v>
      </c>
      <c r="C421" t="s">
        <v>45</v>
      </c>
      <c r="D421" s="2">
        <f>34143744/(10^6)</f>
        <v>34.143744</v>
      </c>
      <c r="E421" s="3" t="s">
        <v>86</v>
      </c>
      <c r="F421" s="3">
        <v>0.396393239498138</v>
      </c>
      <c r="G421" s="3">
        <v>3.32819724082947</v>
      </c>
      <c r="H421" s="3" t="s">
        <v>86</v>
      </c>
      <c r="I421" t="s">
        <v>26</v>
      </c>
    </row>
    <row r="422" spans="1:9">
      <c r="A422" t="s">
        <v>909</v>
      </c>
      <c r="B422" t="s">
        <v>910</v>
      </c>
      <c r="C422" t="s">
        <v>43</v>
      </c>
      <c r="D422" s="2">
        <f>33850464/(10^6)</f>
        <v>33.850464</v>
      </c>
      <c r="E422" s="3">
        <v>55.456958770752</v>
      </c>
      <c r="F422" s="3">
        <v>0.291507840156555</v>
      </c>
      <c r="G422" s="3">
        <v>0.958723604679108</v>
      </c>
      <c r="H422" s="3">
        <v>1.75923609733581</v>
      </c>
      <c r="I422" t="s">
        <v>26</v>
      </c>
    </row>
    <row r="423" spans="1:9">
      <c r="A423" t="s">
        <v>911</v>
      </c>
      <c r="B423" t="s">
        <v>912</v>
      </c>
      <c r="C423" t="s">
        <v>45</v>
      </c>
      <c r="D423" s="2">
        <f>33685500/(10^6)</f>
        <v>33.6855</v>
      </c>
      <c r="E423" s="3">
        <v>11.0718574523926</v>
      </c>
      <c r="F423" s="3">
        <v>0.798084020614624</v>
      </c>
      <c r="G423" s="3">
        <v>8.41887378692627</v>
      </c>
      <c r="H423" s="3" t="s">
        <v>86</v>
      </c>
      <c r="I423" t="s">
        <v>26</v>
      </c>
    </row>
    <row r="424" spans="1:9">
      <c r="A424" t="s">
        <v>913</v>
      </c>
      <c r="B424" t="s">
        <v>914</v>
      </c>
      <c r="C424" t="s">
        <v>47</v>
      </c>
      <c r="D424" s="2">
        <f>33500304/(10^6)</f>
        <v>33.500304</v>
      </c>
      <c r="E424" s="3">
        <v>5.44051122665405</v>
      </c>
      <c r="F424" s="3">
        <v>0.621886849403381</v>
      </c>
      <c r="G424" s="3">
        <v>0.261277794837952</v>
      </c>
      <c r="H424" s="3">
        <v>2.96859955787659</v>
      </c>
      <c r="I424" t="s">
        <v>26</v>
      </c>
    </row>
    <row r="425" spans="1:9">
      <c r="A425" t="s">
        <v>915</v>
      </c>
      <c r="B425" t="s">
        <v>916</v>
      </c>
      <c r="C425" t="s">
        <v>31</v>
      </c>
      <c r="D425" s="2">
        <f>32926046/(10^6)</f>
        <v>32.926046</v>
      </c>
      <c r="E425" s="3">
        <v>8.62725639343262</v>
      </c>
      <c r="F425" s="3">
        <v>0.669598698616028</v>
      </c>
      <c r="G425" s="3">
        <v>0.177232146263123</v>
      </c>
      <c r="H425" s="3">
        <v>5.69640779495239</v>
      </c>
      <c r="I425" t="s">
        <v>26</v>
      </c>
    </row>
    <row r="426" spans="1:9">
      <c r="A426" t="s">
        <v>917</v>
      </c>
      <c r="B426" t="s">
        <v>918</v>
      </c>
      <c r="C426" t="s">
        <v>45</v>
      </c>
      <c r="D426" s="2">
        <f>32016542/(10^6)</f>
        <v>32.016542</v>
      </c>
      <c r="E426" s="3">
        <v>63.8553466796875</v>
      </c>
      <c r="F426" s="3">
        <v>0.834202647209167</v>
      </c>
      <c r="G426" s="3">
        <v>6.79658699035645</v>
      </c>
      <c r="H426" s="3">
        <v>39.3416519165039</v>
      </c>
      <c r="I426" t="s">
        <v>26</v>
      </c>
    </row>
    <row r="427" spans="1:9">
      <c r="A427" t="s">
        <v>919</v>
      </c>
      <c r="B427" t="s">
        <v>920</v>
      </c>
      <c r="C427" t="s">
        <v>37</v>
      </c>
      <c r="D427" s="2">
        <f>31660150/(10^6)</f>
        <v>31.66015</v>
      </c>
      <c r="E427" s="3" t="s">
        <v>86</v>
      </c>
      <c r="F427" s="3">
        <v>0.48980838060379</v>
      </c>
      <c r="G427" s="3">
        <v>0.201866135001183</v>
      </c>
      <c r="H427" s="3">
        <v>9.2050609588623</v>
      </c>
      <c r="I427" t="s">
        <v>26</v>
      </c>
    </row>
    <row r="428" spans="1:9">
      <c r="A428" t="s">
        <v>921</v>
      </c>
      <c r="B428" t="s">
        <v>922</v>
      </c>
      <c r="C428" t="s">
        <v>35</v>
      </c>
      <c r="D428" s="2">
        <f>31441434/(10^6)</f>
        <v>31.441434</v>
      </c>
      <c r="E428" s="3" t="s">
        <v>86</v>
      </c>
      <c r="F428" s="3">
        <v>1.12895286083221</v>
      </c>
      <c r="G428" s="3">
        <v>0.203031897544861</v>
      </c>
      <c r="H428" s="3">
        <v>48.8602523803711</v>
      </c>
      <c r="I428" t="s">
        <v>26</v>
      </c>
    </row>
    <row r="429" spans="1:9">
      <c r="A429" t="s">
        <v>923</v>
      </c>
      <c r="B429" t="s">
        <v>924</v>
      </c>
      <c r="C429" t="s">
        <v>31</v>
      </c>
      <c r="D429" s="2">
        <f>30623182/(10^6)</f>
        <v>30.623182</v>
      </c>
      <c r="E429" s="3">
        <v>8.70137977600098</v>
      </c>
      <c r="F429" s="3">
        <v>2.08491539955139</v>
      </c>
      <c r="G429" s="3">
        <v>0.275864511728287</v>
      </c>
      <c r="H429" s="3">
        <v>8.98987674713135</v>
      </c>
      <c r="I429" t="s">
        <v>26</v>
      </c>
    </row>
    <row r="430" spans="1:9">
      <c r="A430" t="s">
        <v>925</v>
      </c>
      <c r="B430" t="s">
        <v>926</v>
      </c>
      <c r="C430" t="s">
        <v>47</v>
      </c>
      <c r="D430" s="2">
        <f>30623182/(10^6)</f>
        <v>30.623182</v>
      </c>
      <c r="E430" s="3" t="s">
        <v>86</v>
      </c>
      <c r="F430" s="3">
        <v>0.41176649928093</v>
      </c>
      <c r="G430" s="3">
        <v>0.333777725696564</v>
      </c>
      <c r="H430" s="3">
        <v>944.702087402344</v>
      </c>
      <c r="I430" t="s">
        <v>26</v>
      </c>
    </row>
    <row r="431" spans="1:9">
      <c r="A431" t="s">
        <v>927</v>
      </c>
      <c r="B431" t="s">
        <v>928</v>
      </c>
      <c r="C431" t="s">
        <v>39</v>
      </c>
      <c r="D431" s="2">
        <f>30616058/(10^6)</f>
        <v>30.616058</v>
      </c>
      <c r="E431" s="3">
        <v>11.4902505874634</v>
      </c>
      <c r="F431" s="3">
        <v>0.693173944950104</v>
      </c>
      <c r="G431" s="3">
        <v>0.881871938705444</v>
      </c>
      <c r="H431" s="3">
        <v>10.3244857788086</v>
      </c>
      <c r="I431" t="s">
        <v>26</v>
      </c>
    </row>
    <row r="432" spans="1:9">
      <c r="A432" t="s">
        <v>929</v>
      </c>
      <c r="B432" t="s">
        <v>930</v>
      </c>
      <c r="C432" t="s">
        <v>37</v>
      </c>
      <c r="D432" s="2">
        <f>30316952/(10^6)</f>
        <v>30.316952</v>
      </c>
      <c r="E432" s="3">
        <v>8.7198486328125</v>
      </c>
      <c r="F432" s="3">
        <v>0.744102120399475</v>
      </c>
      <c r="G432" s="3">
        <v>0.62738025188446</v>
      </c>
      <c r="H432" s="3">
        <v>2.85142469406128</v>
      </c>
      <c r="I432" t="s">
        <v>26</v>
      </c>
    </row>
    <row r="433" spans="1:9">
      <c r="A433" t="s">
        <v>931</v>
      </c>
      <c r="B433" t="s">
        <v>932</v>
      </c>
      <c r="C433" t="s">
        <v>37</v>
      </c>
      <c r="D433" s="2">
        <f>29398256/(10^6)</f>
        <v>29.398256</v>
      </c>
      <c r="E433" s="3" t="s">
        <v>86</v>
      </c>
      <c r="F433" s="3" t="s">
        <v>86</v>
      </c>
      <c r="G433" s="3" t="s">
        <v>86</v>
      </c>
      <c r="H433" s="3" t="s">
        <v>86</v>
      </c>
      <c r="I433" t="s">
        <v>26</v>
      </c>
    </row>
    <row r="434" spans="1:9">
      <c r="A434" t="s">
        <v>933</v>
      </c>
      <c r="B434" t="s">
        <v>934</v>
      </c>
      <c r="C434" t="s">
        <v>37</v>
      </c>
      <c r="D434" s="2">
        <f>29200314/(10^6)</f>
        <v>29.200314</v>
      </c>
      <c r="E434" s="3" t="s">
        <v>86</v>
      </c>
      <c r="F434" s="3">
        <v>0.211340591311455</v>
      </c>
      <c r="G434" s="3">
        <v>0.094924442470074</v>
      </c>
      <c r="H434" s="3" t="s">
        <v>86</v>
      </c>
      <c r="I434" t="s">
        <v>26</v>
      </c>
    </row>
    <row r="435" spans="1:9">
      <c r="A435" t="s">
        <v>935</v>
      </c>
      <c r="B435" t="s">
        <v>936</v>
      </c>
      <c r="C435" t="s">
        <v>31</v>
      </c>
      <c r="D435" s="2">
        <f>29192238/(10^6)</f>
        <v>29.192238</v>
      </c>
      <c r="E435" s="3">
        <v>4.31365919113159</v>
      </c>
      <c r="F435" s="3">
        <v>0.367108583450317</v>
      </c>
      <c r="G435" s="3">
        <v>0.100262179970741</v>
      </c>
      <c r="H435" s="3">
        <v>8.95678424835205</v>
      </c>
      <c r="I435" t="s">
        <v>26</v>
      </c>
    </row>
    <row r="436" spans="1:9">
      <c r="A436" t="s">
        <v>937</v>
      </c>
      <c r="B436" t="s">
        <v>938</v>
      </c>
      <c r="C436" t="s">
        <v>35</v>
      </c>
      <c r="D436" s="2">
        <f>28938908/(10^6)</f>
        <v>28.938908</v>
      </c>
      <c r="E436" s="3">
        <v>10.4255380630493</v>
      </c>
      <c r="F436" s="3">
        <v>0.793051183223724</v>
      </c>
      <c r="G436" s="3">
        <v>1.06783664226532</v>
      </c>
      <c r="H436" s="3">
        <v>4.59312009811401</v>
      </c>
      <c r="I436" t="s">
        <v>26</v>
      </c>
    </row>
    <row r="437" spans="1:9">
      <c r="A437" t="s">
        <v>939</v>
      </c>
      <c r="B437" t="s">
        <v>940</v>
      </c>
      <c r="C437" t="s">
        <v>31</v>
      </c>
      <c r="D437" s="2">
        <f>28627796/(10^6)</f>
        <v>28.627796</v>
      </c>
      <c r="E437" s="3">
        <v>24.1208343505859</v>
      </c>
      <c r="F437" s="3">
        <v>0.290231019258499</v>
      </c>
      <c r="G437" s="3">
        <v>0.318263322114944</v>
      </c>
      <c r="H437" s="3" t="s">
        <v>86</v>
      </c>
      <c r="I437" t="s">
        <v>26</v>
      </c>
    </row>
    <row r="438" spans="1:9">
      <c r="A438" t="s">
        <v>941</v>
      </c>
      <c r="B438" t="s">
        <v>942</v>
      </c>
      <c r="C438" t="s">
        <v>47</v>
      </c>
      <c r="D438" s="2">
        <f>28567290/(10^6)</f>
        <v>28.56729</v>
      </c>
      <c r="E438" s="3" t="s">
        <v>86</v>
      </c>
      <c r="F438" s="3">
        <v>1.0036609172821</v>
      </c>
      <c r="G438" s="3">
        <v>2.29375338554382</v>
      </c>
      <c r="H438" s="3" t="s">
        <v>86</v>
      </c>
      <c r="I438" t="s">
        <v>26</v>
      </c>
    </row>
    <row r="439" spans="1:9">
      <c r="A439" t="s">
        <v>943</v>
      </c>
      <c r="B439" t="s">
        <v>944</v>
      </c>
      <c r="C439" t="s">
        <v>43</v>
      </c>
      <c r="D439" s="2">
        <f>28393204/(10^6)</f>
        <v>28.393204</v>
      </c>
      <c r="E439" s="3">
        <v>8.16145992279053</v>
      </c>
      <c r="F439" s="3">
        <v>0.722398698329926</v>
      </c>
      <c r="G439" s="3">
        <v>0.243945121765137</v>
      </c>
      <c r="H439" s="3" t="s">
        <v>86</v>
      </c>
      <c r="I439" t="s">
        <v>26</v>
      </c>
    </row>
    <row r="440" spans="1:9">
      <c r="A440" t="s">
        <v>945</v>
      </c>
      <c r="B440" t="s">
        <v>946</v>
      </c>
      <c r="C440" t="s">
        <v>37</v>
      </c>
      <c r="D440" s="2">
        <f>27928342/(10^6)</f>
        <v>27.928342</v>
      </c>
      <c r="E440" s="3" t="s">
        <v>86</v>
      </c>
      <c r="F440" s="3">
        <v>0.419768661260605</v>
      </c>
      <c r="G440" s="3">
        <v>0.376338720321655</v>
      </c>
      <c r="H440" s="3">
        <v>12.0438566207886</v>
      </c>
      <c r="I440" t="s">
        <v>26</v>
      </c>
    </row>
    <row r="441" spans="1:9">
      <c r="A441" t="s">
        <v>947</v>
      </c>
      <c r="B441" t="s">
        <v>948</v>
      </c>
      <c r="C441" t="s">
        <v>51</v>
      </c>
      <c r="D441" s="2">
        <f>27743190/(10^6)</f>
        <v>27.74319</v>
      </c>
      <c r="E441" s="3" t="s">
        <v>86</v>
      </c>
      <c r="F441" s="3">
        <v>1.36017405986786</v>
      </c>
      <c r="G441" s="3">
        <v>1.01857197284699</v>
      </c>
      <c r="H441" s="3">
        <v>27.0976181030273</v>
      </c>
      <c r="I441" t="s">
        <v>26</v>
      </c>
    </row>
    <row r="442" spans="1:9">
      <c r="A442" t="s">
        <v>949</v>
      </c>
      <c r="B442" t="s">
        <v>950</v>
      </c>
      <c r="C442" t="s">
        <v>43</v>
      </c>
      <c r="D442" s="2">
        <f>26900322/(10^6)</f>
        <v>26.900322</v>
      </c>
      <c r="E442" s="3">
        <v>3.75945401191711</v>
      </c>
      <c r="F442" s="3">
        <v>0.581027507781982</v>
      </c>
      <c r="G442" s="3">
        <v>1.85741901397705</v>
      </c>
      <c r="H442" s="3">
        <v>7.97096347808838</v>
      </c>
      <c r="I442" t="s">
        <v>26</v>
      </c>
    </row>
    <row r="443" spans="1:9">
      <c r="A443" t="s">
        <v>951</v>
      </c>
      <c r="B443" t="s">
        <v>952</v>
      </c>
      <c r="C443" t="s">
        <v>37</v>
      </c>
      <c r="D443" s="2">
        <f>26751292/(10^6)</f>
        <v>26.751292</v>
      </c>
      <c r="E443" s="3" t="s">
        <v>86</v>
      </c>
      <c r="F443" s="3">
        <v>0.791024088859558</v>
      </c>
      <c r="G443" s="3">
        <v>0.713078320026398</v>
      </c>
      <c r="H443" s="3">
        <v>38.4963035583496</v>
      </c>
      <c r="I443" t="s">
        <v>26</v>
      </c>
    </row>
    <row r="444" spans="1:9">
      <c r="A444" t="s">
        <v>953</v>
      </c>
      <c r="B444" t="s">
        <v>954</v>
      </c>
      <c r="C444" t="s">
        <v>37</v>
      </c>
      <c r="D444" s="2">
        <f>26714452/(10^6)</f>
        <v>26.714452</v>
      </c>
      <c r="E444" s="3" t="s">
        <v>86</v>
      </c>
      <c r="F444" s="3">
        <v>0.187242835760117</v>
      </c>
      <c r="G444" s="3">
        <v>2.47435879707336</v>
      </c>
      <c r="H444" s="3">
        <v>1.50672459602356</v>
      </c>
      <c r="I444" t="s">
        <v>26</v>
      </c>
    </row>
    <row r="445" spans="1:9">
      <c r="A445" t="s">
        <v>955</v>
      </c>
      <c r="B445" t="s">
        <v>956</v>
      </c>
      <c r="C445" t="s">
        <v>45</v>
      </c>
      <c r="D445" s="2">
        <f>26619364/(10^6)</f>
        <v>26.619364</v>
      </c>
      <c r="E445" s="3" t="s">
        <v>86</v>
      </c>
      <c r="F445" s="3">
        <v>0.311069846153259</v>
      </c>
      <c r="G445" s="3">
        <v>14.4975299835205</v>
      </c>
      <c r="H445" s="3" t="s">
        <v>86</v>
      </c>
      <c r="I445" t="s">
        <v>26</v>
      </c>
    </row>
    <row r="446" spans="1:9">
      <c r="A446" t="s">
        <v>957</v>
      </c>
      <c r="B446" t="s">
        <v>958</v>
      </c>
      <c r="C446" t="s">
        <v>35</v>
      </c>
      <c r="D446" s="2">
        <f>26476804/(10^6)</f>
        <v>26.476804</v>
      </c>
      <c r="E446" s="3">
        <v>7.57528352737427</v>
      </c>
      <c r="F446" s="3">
        <v>0.434582650661469</v>
      </c>
      <c r="G446" s="3">
        <v>0.163023859262466</v>
      </c>
      <c r="H446" s="3">
        <v>3.91410279273987</v>
      </c>
      <c r="I446" t="s">
        <v>26</v>
      </c>
    </row>
    <row r="447" spans="1:9">
      <c r="A447" t="s">
        <v>959</v>
      </c>
      <c r="B447" t="s">
        <v>960</v>
      </c>
      <c r="C447" t="s">
        <v>45</v>
      </c>
      <c r="D447" s="2">
        <f>26409584/(10^6)</f>
        <v>26.409584</v>
      </c>
      <c r="E447" s="3" t="s">
        <v>86</v>
      </c>
      <c r="F447" s="3">
        <v>3.29615998268127</v>
      </c>
      <c r="G447" s="3">
        <v>0.317240417003632</v>
      </c>
      <c r="H447" s="3" t="s">
        <v>86</v>
      </c>
      <c r="I447" t="s">
        <v>26</v>
      </c>
    </row>
    <row r="448" spans="1:9">
      <c r="A448" t="s">
        <v>961</v>
      </c>
      <c r="B448" t="s">
        <v>962</v>
      </c>
      <c r="C448" t="s">
        <v>31</v>
      </c>
      <c r="D448" s="2">
        <f>26351474/(10^6)</f>
        <v>26.351474</v>
      </c>
      <c r="E448" s="3">
        <v>14.7474508285522</v>
      </c>
      <c r="F448" s="3">
        <v>1.08427977561951</v>
      </c>
      <c r="G448" s="3">
        <v>0.38805428147316</v>
      </c>
      <c r="H448" s="3">
        <v>6.33733797073364</v>
      </c>
      <c r="I448" t="s">
        <v>26</v>
      </c>
    </row>
    <row r="449" spans="1:9">
      <c r="A449" t="s">
        <v>963</v>
      </c>
      <c r="B449" t="s">
        <v>964</v>
      </c>
      <c r="C449" t="s">
        <v>33</v>
      </c>
      <c r="D449" s="2">
        <f>26335938/(10^6)</f>
        <v>26.335938</v>
      </c>
      <c r="E449" s="3" t="s">
        <v>86</v>
      </c>
      <c r="F449" s="3">
        <v>37.0929489135742</v>
      </c>
      <c r="G449" s="3">
        <v>1.06651186943054</v>
      </c>
      <c r="H449" s="3" t="s">
        <v>86</v>
      </c>
      <c r="I449" t="s">
        <v>26</v>
      </c>
    </row>
    <row r="450" spans="1:9">
      <c r="A450" t="s">
        <v>965</v>
      </c>
      <c r="B450" t="s">
        <v>966</v>
      </c>
      <c r="C450" t="s">
        <v>45</v>
      </c>
      <c r="D450" s="2">
        <f>26129174/(10^6)</f>
        <v>26.129174</v>
      </c>
      <c r="E450" s="3" t="s">
        <v>86</v>
      </c>
      <c r="F450" s="3">
        <v>0.241756111383438</v>
      </c>
      <c r="G450" s="3">
        <v>1.32837402820587</v>
      </c>
      <c r="H450" s="3" t="s">
        <v>86</v>
      </c>
      <c r="I450" t="s">
        <v>26</v>
      </c>
    </row>
    <row r="451" spans="1:9">
      <c r="A451" t="s">
        <v>967</v>
      </c>
      <c r="B451" t="s">
        <v>968</v>
      </c>
      <c r="C451" t="s">
        <v>31</v>
      </c>
      <c r="D451" s="2">
        <f>26090952/(10^6)</f>
        <v>26.090952</v>
      </c>
      <c r="E451" s="3">
        <v>7.5789475440979</v>
      </c>
      <c r="F451" s="3">
        <v>1.17620837688446</v>
      </c>
      <c r="G451" s="3">
        <v>0.842222511768341</v>
      </c>
      <c r="H451" s="3">
        <v>5.11260175704956</v>
      </c>
      <c r="I451" t="s">
        <v>26</v>
      </c>
    </row>
    <row r="452" spans="1:9">
      <c r="A452" t="s">
        <v>969</v>
      </c>
      <c r="B452" t="s">
        <v>970</v>
      </c>
      <c r="C452" t="s">
        <v>47</v>
      </c>
      <c r="D452" s="2">
        <f>25911042/(10^6)</f>
        <v>25.911042</v>
      </c>
      <c r="E452" s="3" t="s">
        <v>86</v>
      </c>
      <c r="F452" s="3">
        <v>1.19737720489502</v>
      </c>
      <c r="G452" s="3">
        <v>3.71571803092956</v>
      </c>
      <c r="H452" s="3">
        <v>27.4369678497314</v>
      </c>
      <c r="I452" t="s">
        <v>26</v>
      </c>
    </row>
    <row r="453" spans="1:9">
      <c r="A453" t="s">
        <v>971</v>
      </c>
      <c r="B453" t="s">
        <v>972</v>
      </c>
      <c r="C453" t="s">
        <v>41</v>
      </c>
      <c r="D453" s="2">
        <f>25539734/(10^6)</f>
        <v>25.539734</v>
      </c>
      <c r="E453" s="3" t="s">
        <v>86</v>
      </c>
      <c r="F453" s="3">
        <v>0.997251451015472</v>
      </c>
      <c r="G453" s="3">
        <v>1.10541522502899</v>
      </c>
      <c r="H453" s="3">
        <v>28.7248764038086</v>
      </c>
      <c r="I453" t="s">
        <v>26</v>
      </c>
    </row>
    <row r="454" spans="1:9">
      <c r="A454" t="s">
        <v>973</v>
      </c>
      <c r="B454" t="s">
        <v>974</v>
      </c>
      <c r="C454" t="s">
        <v>31</v>
      </c>
      <c r="D454" s="2">
        <f>25182158/(10^6)</f>
        <v>25.182158</v>
      </c>
      <c r="E454" s="3">
        <v>11.1663227081299</v>
      </c>
      <c r="F454" s="3">
        <v>0.398102462291718</v>
      </c>
      <c r="G454" s="3">
        <v>0.112300172448158</v>
      </c>
      <c r="H454" s="3">
        <v>4.56534767150879</v>
      </c>
      <c r="I454" t="s">
        <v>26</v>
      </c>
    </row>
    <row r="455" spans="1:9">
      <c r="A455" t="s">
        <v>975</v>
      </c>
      <c r="B455" t="s">
        <v>976</v>
      </c>
      <c r="C455" t="s">
        <v>51</v>
      </c>
      <c r="D455" s="2">
        <f>24806840/(10^6)</f>
        <v>24.80684</v>
      </c>
      <c r="E455" s="3">
        <v>4.65094900131226</v>
      </c>
      <c r="F455" s="3">
        <v>0.427717685699463</v>
      </c>
      <c r="G455" s="3">
        <v>0.430445224046707</v>
      </c>
      <c r="H455" s="3">
        <v>9.01242733001709</v>
      </c>
      <c r="I455" t="s">
        <v>26</v>
      </c>
    </row>
    <row r="456" spans="1:9">
      <c r="A456" t="s">
        <v>977</v>
      </c>
      <c r="B456" t="s">
        <v>978</v>
      </c>
      <c r="C456" t="s">
        <v>31</v>
      </c>
      <c r="D456" s="2">
        <f>24548260/(10^6)</f>
        <v>24.54826</v>
      </c>
      <c r="E456" s="3">
        <v>7.41661930084229</v>
      </c>
      <c r="F456" s="3">
        <v>1.02964174747467</v>
      </c>
      <c r="G456" s="3">
        <v>1.0828275680542</v>
      </c>
      <c r="H456" s="3">
        <v>3.79912447929382</v>
      </c>
      <c r="I456" t="s">
        <v>26</v>
      </c>
    </row>
    <row r="457" spans="1:9">
      <c r="A457" t="s">
        <v>979</v>
      </c>
      <c r="B457" t="s">
        <v>980</v>
      </c>
      <c r="C457" t="s">
        <v>35</v>
      </c>
      <c r="D457" s="2">
        <f>24510980/(10^6)</f>
        <v>24.51098</v>
      </c>
      <c r="E457" s="3">
        <v>23.4596309661865</v>
      </c>
      <c r="F457" s="3">
        <v>0.57312285900116</v>
      </c>
      <c r="G457" s="3">
        <v>0.694626212120056</v>
      </c>
      <c r="H457" s="3">
        <v>8.94978427886963</v>
      </c>
      <c r="I457" t="s">
        <v>26</v>
      </c>
    </row>
    <row r="458" spans="1:9">
      <c r="A458" t="s">
        <v>981</v>
      </c>
      <c r="B458" t="s">
        <v>982</v>
      </c>
      <c r="C458" t="s">
        <v>31</v>
      </c>
      <c r="D458" s="2">
        <f>24483314/(10^6)</f>
        <v>24.483314</v>
      </c>
      <c r="E458" s="3">
        <v>9.44830703735352</v>
      </c>
      <c r="F458" s="3">
        <v>0.476834386587143</v>
      </c>
      <c r="G458" s="3">
        <v>0.198449179530144</v>
      </c>
      <c r="H458" s="3">
        <v>6.17013216018677</v>
      </c>
      <c r="I458" t="s">
        <v>26</v>
      </c>
    </row>
    <row r="459" spans="1:9">
      <c r="A459" t="s">
        <v>983</v>
      </c>
      <c r="B459" t="s">
        <v>984</v>
      </c>
      <c r="C459" t="s">
        <v>45</v>
      </c>
      <c r="D459" s="2">
        <f>24370926/(10^6)</f>
        <v>24.370926</v>
      </c>
      <c r="E459" s="3">
        <v>10.2110271453857</v>
      </c>
      <c r="F459" s="3">
        <v>0.345885843038559</v>
      </c>
      <c r="G459" s="3">
        <v>0.400620996952057</v>
      </c>
      <c r="H459" s="3">
        <v>6.10173177719116</v>
      </c>
      <c r="I459" t="s">
        <v>26</v>
      </c>
    </row>
    <row r="460" spans="1:9">
      <c r="A460" t="s">
        <v>985</v>
      </c>
      <c r="B460" t="s">
        <v>986</v>
      </c>
      <c r="C460" t="s">
        <v>31</v>
      </c>
      <c r="D460" s="2">
        <f>24325264/(10^6)</f>
        <v>24.325264</v>
      </c>
      <c r="E460" s="3" t="s">
        <v>86</v>
      </c>
      <c r="F460" s="3">
        <v>0.217637330293655</v>
      </c>
      <c r="G460" s="3">
        <v>0.201373368501663</v>
      </c>
      <c r="H460" s="3" t="s">
        <v>86</v>
      </c>
      <c r="I460" t="s">
        <v>26</v>
      </c>
    </row>
    <row r="461" spans="1:9">
      <c r="A461" t="s">
        <v>987</v>
      </c>
      <c r="B461" t="s">
        <v>988</v>
      </c>
      <c r="C461" t="s">
        <v>33</v>
      </c>
      <c r="D461" s="2">
        <f>23952646/(10^6)</f>
        <v>23.952646</v>
      </c>
      <c r="E461" s="3" t="s">
        <v>86</v>
      </c>
      <c r="F461" s="3">
        <v>0.575919508934021</v>
      </c>
      <c r="G461" s="3">
        <v>0.985494017601013</v>
      </c>
      <c r="H461" s="3" t="s">
        <v>86</v>
      </c>
      <c r="I461" t="s">
        <v>26</v>
      </c>
    </row>
    <row r="462" spans="1:9">
      <c r="A462" t="s">
        <v>989</v>
      </c>
      <c r="B462" t="s">
        <v>990</v>
      </c>
      <c r="C462" t="s">
        <v>33</v>
      </c>
      <c r="D462" s="2">
        <f>23372610/(10^6)</f>
        <v>23.37261</v>
      </c>
      <c r="E462" s="3">
        <v>15.5561828613281</v>
      </c>
      <c r="F462" s="3">
        <v>0.297498524188995</v>
      </c>
      <c r="G462" s="3">
        <v>0.552471160888672</v>
      </c>
      <c r="H462" s="3">
        <v>2.86799335479736</v>
      </c>
      <c r="I462" t="s">
        <v>26</v>
      </c>
    </row>
    <row r="463" spans="1:9">
      <c r="A463" t="s">
        <v>991</v>
      </c>
      <c r="B463" t="s">
        <v>992</v>
      </c>
      <c r="C463" t="s">
        <v>31</v>
      </c>
      <c r="D463" s="2">
        <f>23355142/(10^6)</f>
        <v>23.355142</v>
      </c>
      <c r="E463" s="3">
        <v>10.2886800765991</v>
      </c>
      <c r="F463" s="3">
        <v>0.62999165058136</v>
      </c>
      <c r="G463" s="3">
        <v>0.281543433666229</v>
      </c>
      <c r="H463" s="3">
        <v>8.31958103179932</v>
      </c>
      <c r="I463" t="s">
        <v>26</v>
      </c>
    </row>
    <row r="464" spans="1:9">
      <c r="A464" t="s">
        <v>993</v>
      </c>
      <c r="B464" t="s">
        <v>994</v>
      </c>
      <c r="C464" t="s">
        <v>37</v>
      </c>
      <c r="D464" s="2">
        <f>23347084/(10^6)</f>
        <v>23.347084</v>
      </c>
      <c r="E464" s="3">
        <v>15.1004753112793</v>
      </c>
      <c r="F464" s="3">
        <v>0.390338093042374</v>
      </c>
      <c r="G464" s="3">
        <v>0.354839891195297</v>
      </c>
      <c r="H464" s="3">
        <v>7.16375684738159</v>
      </c>
      <c r="I464" t="s">
        <v>26</v>
      </c>
    </row>
    <row r="465" spans="1:9">
      <c r="A465" t="s">
        <v>995</v>
      </c>
      <c r="B465" t="s">
        <v>996</v>
      </c>
      <c r="C465" t="s">
        <v>43</v>
      </c>
      <c r="D465" s="2">
        <f>23295636/(10^6)</f>
        <v>23.295636</v>
      </c>
      <c r="E465" s="3">
        <v>10.5741539001465</v>
      </c>
      <c r="F465" s="3">
        <v>0.301171034574509</v>
      </c>
      <c r="G465" s="3">
        <v>3.9423246383667</v>
      </c>
      <c r="H465" s="3">
        <v>4.77609157562256</v>
      </c>
      <c r="I465" t="s">
        <v>26</v>
      </c>
    </row>
    <row r="466" spans="1:9">
      <c r="A466" t="s">
        <v>997</v>
      </c>
      <c r="B466" t="s">
        <v>998</v>
      </c>
      <c r="C466" t="s">
        <v>37</v>
      </c>
      <c r="D466" s="2">
        <f>23222784/(10^6)</f>
        <v>23.222784</v>
      </c>
      <c r="E466" s="3">
        <v>8.46541595458984</v>
      </c>
      <c r="F466" s="3">
        <v>0.538033723831177</v>
      </c>
      <c r="G466" s="3">
        <v>0.257167309522629</v>
      </c>
      <c r="H466" s="3">
        <v>3.56479454040527</v>
      </c>
      <c r="I466" t="s">
        <v>26</v>
      </c>
    </row>
    <row r="467" spans="1:9">
      <c r="A467" t="s">
        <v>999</v>
      </c>
      <c r="B467" t="s">
        <v>1000</v>
      </c>
      <c r="C467" t="s">
        <v>45</v>
      </c>
      <c r="D467" s="2">
        <f>23080938/(10^6)</f>
        <v>23.080938</v>
      </c>
      <c r="E467" s="3">
        <v>467.182922363281</v>
      </c>
      <c r="F467" s="3">
        <v>0.489256501197815</v>
      </c>
      <c r="G467" s="3">
        <v>9.95880508422852</v>
      </c>
      <c r="H467" s="3" t="s">
        <v>86</v>
      </c>
      <c r="I467" t="s">
        <v>26</v>
      </c>
    </row>
    <row r="468" spans="1:9">
      <c r="A468" t="s">
        <v>1001</v>
      </c>
      <c r="B468" t="s">
        <v>1002</v>
      </c>
      <c r="C468" t="s">
        <v>47</v>
      </c>
      <c r="D468" s="2">
        <f>22872454/(10^6)</f>
        <v>22.872454</v>
      </c>
      <c r="E468" s="3">
        <v>4.84999990463257</v>
      </c>
      <c r="F468" s="3">
        <v>0.40283665060997</v>
      </c>
      <c r="G468" s="3">
        <v>0.571268081665039</v>
      </c>
      <c r="H468" s="3" t="s">
        <v>86</v>
      </c>
      <c r="I468" t="s">
        <v>26</v>
      </c>
    </row>
    <row r="469" spans="1:9">
      <c r="A469" t="s">
        <v>1003</v>
      </c>
      <c r="B469" t="s">
        <v>1004</v>
      </c>
      <c r="C469" t="s">
        <v>33</v>
      </c>
      <c r="D469" s="2">
        <f>22739162/(10^6)</f>
        <v>22.739162</v>
      </c>
      <c r="E469" s="3" t="s">
        <v>86</v>
      </c>
      <c r="F469" s="3">
        <v>0.466951251029968</v>
      </c>
      <c r="G469" s="3">
        <v>1.4678635597229</v>
      </c>
      <c r="H469" s="3">
        <v>11.8801193237305</v>
      </c>
      <c r="I469" t="s">
        <v>26</v>
      </c>
    </row>
    <row r="470" spans="1:9">
      <c r="A470" t="s">
        <v>1005</v>
      </c>
      <c r="B470" t="s">
        <v>1006</v>
      </c>
      <c r="C470" t="s">
        <v>31</v>
      </c>
      <c r="D470" s="2">
        <f>22626236/(10^6)</f>
        <v>22.626236</v>
      </c>
      <c r="E470" s="3">
        <v>8.08812427520752</v>
      </c>
      <c r="F470" s="3">
        <v>0.469571769237518</v>
      </c>
      <c r="G470" s="3">
        <v>0.202077999711037</v>
      </c>
      <c r="H470" s="3">
        <v>8.16588973999023</v>
      </c>
      <c r="I470" t="s">
        <v>26</v>
      </c>
    </row>
    <row r="471" spans="1:9">
      <c r="A471" t="s">
        <v>1007</v>
      </c>
      <c r="B471" t="s">
        <v>1008</v>
      </c>
      <c r="C471" t="s">
        <v>31</v>
      </c>
      <c r="D471" s="2">
        <f>22522618/(10^6)</f>
        <v>22.522618</v>
      </c>
      <c r="E471" s="3">
        <v>55.3538970947266</v>
      </c>
      <c r="F471" s="3">
        <v>0.291633427143097</v>
      </c>
      <c r="G471" s="3">
        <v>0.316371113061905</v>
      </c>
      <c r="H471" s="3">
        <v>9.5679759979248</v>
      </c>
      <c r="I471" t="s">
        <v>26</v>
      </c>
    </row>
    <row r="472" spans="1:9">
      <c r="A472" t="s">
        <v>1009</v>
      </c>
      <c r="B472" t="s">
        <v>1010</v>
      </c>
      <c r="C472" t="s">
        <v>35</v>
      </c>
      <c r="D472" s="2">
        <f>22283434/(10^6)</f>
        <v>22.283434</v>
      </c>
      <c r="E472" s="3">
        <v>7.88471412658691</v>
      </c>
      <c r="F472" s="3">
        <v>0.382262229919434</v>
      </c>
      <c r="G472" s="3">
        <v>0.212418839335442</v>
      </c>
      <c r="H472" s="3">
        <v>6.86982583999634</v>
      </c>
      <c r="I472" t="s">
        <v>26</v>
      </c>
    </row>
    <row r="473" spans="1:9">
      <c r="A473" t="s">
        <v>1011</v>
      </c>
      <c r="B473" t="s">
        <v>1012</v>
      </c>
      <c r="C473" t="s">
        <v>31</v>
      </c>
      <c r="D473" s="2">
        <f>22232430/(10^6)</f>
        <v>22.23243</v>
      </c>
      <c r="E473" s="3" t="s">
        <v>86</v>
      </c>
      <c r="F473" s="3">
        <v>0.512083351612091</v>
      </c>
      <c r="G473" s="3">
        <v>0.229071334004402</v>
      </c>
      <c r="H473" s="3">
        <v>6.15515995025635</v>
      </c>
      <c r="I473" t="s">
        <v>26</v>
      </c>
    </row>
    <row r="474" spans="1:9">
      <c r="A474" t="s">
        <v>1013</v>
      </c>
      <c r="B474" t="s">
        <v>1014</v>
      </c>
      <c r="C474" t="s">
        <v>47</v>
      </c>
      <c r="D474" s="2">
        <f>22219582/(10^6)</f>
        <v>22.219582</v>
      </c>
      <c r="E474" s="3">
        <v>6.52067041397095</v>
      </c>
      <c r="F474" s="3">
        <v>0.580380976200104</v>
      </c>
      <c r="G474" s="3">
        <v>0.490664899349213</v>
      </c>
      <c r="H474" s="3">
        <v>54.5995101928711</v>
      </c>
      <c r="I474" t="s">
        <v>26</v>
      </c>
    </row>
    <row r="475" spans="1:9">
      <c r="A475" t="s">
        <v>1015</v>
      </c>
      <c r="B475" t="s">
        <v>1016</v>
      </c>
      <c r="C475" t="s">
        <v>33</v>
      </c>
      <c r="D475" s="2">
        <f>22048692/(10^6)</f>
        <v>22.048692</v>
      </c>
      <c r="E475" s="3">
        <v>7.00000047683716</v>
      </c>
      <c r="F475" s="3">
        <v>0.91854727268219</v>
      </c>
      <c r="G475" s="3">
        <v>0.992587327957153</v>
      </c>
      <c r="H475" s="3">
        <v>1.46051239967346</v>
      </c>
      <c r="I475" t="s">
        <v>26</v>
      </c>
    </row>
    <row r="476" spans="1:9">
      <c r="A476" t="s">
        <v>1017</v>
      </c>
      <c r="B476" t="s">
        <v>1018</v>
      </c>
      <c r="C476" t="s">
        <v>31</v>
      </c>
      <c r="D476" s="2">
        <f>21941384/(10^6)</f>
        <v>21.941384</v>
      </c>
      <c r="E476" s="3">
        <v>6.21052598953247</v>
      </c>
      <c r="F476" s="3">
        <v>0.5128573179245</v>
      </c>
      <c r="G476" s="3">
        <v>0.407522141933441</v>
      </c>
      <c r="H476" s="3">
        <v>6.13619136810303</v>
      </c>
      <c r="I476" t="s">
        <v>26</v>
      </c>
    </row>
    <row r="477" spans="1:9">
      <c r="A477" t="s">
        <v>1019</v>
      </c>
      <c r="B477" t="s">
        <v>1020</v>
      </c>
      <c r="C477" t="s">
        <v>49</v>
      </c>
      <c r="D477" s="2">
        <f>21497474/(10^6)</f>
        <v>21.497474</v>
      </c>
      <c r="E477" s="3">
        <v>10.8507099151611</v>
      </c>
      <c r="F477" s="3">
        <v>0.709654927253723</v>
      </c>
      <c r="G477" s="3">
        <v>9.60208892822266</v>
      </c>
      <c r="H477" s="3">
        <v>12.220009803772</v>
      </c>
      <c r="I477" t="s">
        <v>26</v>
      </c>
    </row>
    <row r="478" spans="1:9">
      <c r="A478" t="s">
        <v>1021</v>
      </c>
      <c r="B478" t="s">
        <v>1022</v>
      </c>
      <c r="C478" t="s">
        <v>37</v>
      </c>
      <c r="D478" s="2">
        <f>21022050/(10^6)</f>
        <v>21.02205</v>
      </c>
      <c r="E478" s="3">
        <v>21.1543273925781</v>
      </c>
      <c r="F478" s="3">
        <v>1.37333369255066</v>
      </c>
      <c r="G478" s="3">
        <v>0.74662321805954</v>
      </c>
      <c r="H478" s="3">
        <v>8.49574565887451</v>
      </c>
      <c r="I478" t="s">
        <v>26</v>
      </c>
    </row>
    <row r="479" spans="1:9">
      <c r="A479" t="s">
        <v>1023</v>
      </c>
      <c r="B479" t="s">
        <v>1024</v>
      </c>
      <c r="C479" t="s">
        <v>43</v>
      </c>
      <c r="D479" s="2">
        <f>20978380/(10^6)</f>
        <v>20.97838</v>
      </c>
      <c r="E479" s="3" t="s">
        <v>86</v>
      </c>
      <c r="F479" s="3">
        <v>1.39004182815552</v>
      </c>
      <c r="G479" s="3">
        <v>1.57358479499817</v>
      </c>
      <c r="H479" s="3" t="s">
        <v>86</v>
      </c>
      <c r="I479" t="s">
        <v>26</v>
      </c>
    </row>
    <row r="480" spans="1:9">
      <c r="A480" t="s">
        <v>1025</v>
      </c>
      <c r="B480" t="s">
        <v>1026</v>
      </c>
      <c r="C480" t="s">
        <v>45</v>
      </c>
      <c r="D480" s="2">
        <f>20845470/(10^6)</f>
        <v>20.84547</v>
      </c>
      <c r="E480" s="3">
        <v>4.72817134857178</v>
      </c>
      <c r="F480" s="3">
        <v>0.24508498609066</v>
      </c>
      <c r="G480" s="3">
        <v>0.589113295078278</v>
      </c>
      <c r="H480" s="3">
        <v>18.3651447296143</v>
      </c>
      <c r="I480" t="s">
        <v>26</v>
      </c>
    </row>
    <row r="481" spans="1:9">
      <c r="A481" t="s">
        <v>1027</v>
      </c>
      <c r="B481" t="s">
        <v>1028</v>
      </c>
      <c r="C481" t="s">
        <v>43</v>
      </c>
      <c r="D481" s="2">
        <f>20704514/(10^6)</f>
        <v>20.704514</v>
      </c>
      <c r="E481" s="3">
        <v>69.0360565185547</v>
      </c>
      <c r="F481" s="3">
        <v>0.172245725989342</v>
      </c>
      <c r="G481" s="3">
        <v>0.258440494537354</v>
      </c>
      <c r="H481" s="3">
        <v>14.1860342025757</v>
      </c>
      <c r="I481" t="s">
        <v>26</v>
      </c>
    </row>
    <row r="482" spans="1:9">
      <c r="A482" t="s">
        <v>1029</v>
      </c>
      <c r="B482" t="s">
        <v>1030</v>
      </c>
      <c r="C482" t="s">
        <v>31</v>
      </c>
      <c r="D482" s="2">
        <f>20661472/(10^6)</f>
        <v>20.661472</v>
      </c>
      <c r="E482" s="3" t="s">
        <v>86</v>
      </c>
      <c r="F482" s="3">
        <v>0.292318284511566</v>
      </c>
      <c r="G482" s="3">
        <v>0.496996700763702</v>
      </c>
      <c r="H482" s="3">
        <v>2.06288194656372</v>
      </c>
      <c r="I482" t="s">
        <v>26</v>
      </c>
    </row>
    <row r="483" spans="1:9">
      <c r="A483" t="s">
        <v>1031</v>
      </c>
      <c r="B483" t="s">
        <v>1032</v>
      </c>
      <c r="C483" t="s">
        <v>37</v>
      </c>
      <c r="D483" s="2">
        <f>20641002/(10^6)</f>
        <v>20.641002</v>
      </c>
      <c r="E483" s="3" t="s">
        <v>86</v>
      </c>
      <c r="F483" s="3">
        <v>0.165895193815231</v>
      </c>
      <c r="G483" s="3">
        <v>0.045914754271507</v>
      </c>
      <c r="H483" s="3" t="s">
        <v>86</v>
      </c>
      <c r="I483" t="s">
        <v>26</v>
      </c>
    </row>
    <row r="484" spans="1:9">
      <c r="A484" t="s">
        <v>1033</v>
      </c>
      <c r="B484" t="s">
        <v>1034</v>
      </c>
      <c r="C484" t="s">
        <v>35</v>
      </c>
      <c r="D484" s="2">
        <f>20640760/(10^6)</f>
        <v>20.64076</v>
      </c>
      <c r="E484" s="3" t="s">
        <v>86</v>
      </c>
      <c r="F484" s="3">
        <v>0.66108912229538</v>
      </c>
      <c r="G484" s="3">
        <v>1.23481929302216</v>
      </c>
      <c r="H484" s="3">
        <v>15.699779510498</v>
      </c>
      <c r="I484" t="s">
        <v>26</v>
      </c>
    </row>
    <row r="485" spans="1:9">
      <c r="A485" t="s">
        <v>1035</v>
      </c>
      <c r="B485" t="s">
        <v>1036</v>
      </c>
      <c r="C485" t="s">
        <v>31</v>
      </c>
      <c r="D485" s="2">
        <f>20551226/(10^6)</f>
        <v>20.551226</v>
      </c>
      <c r="E485" s="3" t="s">
        <v>86</v>
      </c>
      <c r="F485" s="3">
        <v>0.773053586483002</v>
      </c>
      <c r="G485" s="3">
        <v>0.165527850389481</v>
      </c>
      <c r="H485" s="3" t="s">
        <v>86</v>
      </c>
      <c r="I485" t="s">
        <v>26</v>
      </c>
    </row>
    <row r="486" spans="1:9">
      <c r="A486" t="s">
        <v>1037</v>
      </c>
      <c r="B486" t="s">
        <v>1038</v>
      </c>
      <c r="C486" t="s">
        <v>31</v>
      </c>
      <c r="D486" s="2">
        <f>20211300/(10^6)</f>
        <v>20.2113</v>
      </c>
      <c r="E486" s="3" t="s">
        <v>86</v>
      </c>
      <c r="F486" s="3">
        <v>0.406850636005402</v>
      </c>
      <c r="G486" s="3">
        <v>0.5985506772995</v>
      </c>
      <c r="H486" s="3" t="s">
        <v>86</v>
      </c>
      <c r="I486" t="s">
        <v>26</v>
      </c>
    </row>
    <row r="487" spans="1:9">
      <c r="A487" t="s">
        <v>1039</v>
      </c>
      <c r="B487" t="s">
        <v>1040</v>
      </c>
      <c r="C487" t="s">
        <v>43</v>
      </c>
      <c r="D487" s="2">
        <f>20006126/(10^6)</f>
        <v>20.006126</v>
      </c>
      <c r="E487" s="3">
        <v>7.91406393051147</v>
      </c>
      <c r="F487" s="3">
        <v>0.482034236192703</v>
      </c>
      <c r="G487" s="3">
        <v>0.303083896636963</v>
      </c>
      <c r="H487" s="3" t="s">
        <v>86</v>
      </c>
      <c r="I487" t="s">
        <v>26</v>
      </c>
    </row>
    <row r="488" spans="1:9">
      <c r="A488" t="s">
        <v>1041</v>
      </c>
      <c r="B488" t="s">
        <v>1042</v>
      </c>
      <c r="C488" t="s">
        <v>47</v>
      </c>
      <c r="D488" s="2">
        <f>19981626/(10^6)</f>
        <v>19.981626</v>
      </c>
      <c r="E488" s="3">
        <v>8.66201210021973</v>
      </c>
      <c r="F488" s="3">
        <v>0.723396837711334</v>
      </c>
      <c r="G488" s="3">
        <v>1.27676069736481</v>
      </c>
      <c r="H488" s="3">
        <v>4.78516292572021</v>
      </c>
      <c r="I488" t="s">
        <v>26</v>
      </c>
    </row>
    <row r="489" spans="1:9">
      <c r="A489" t="s">
        <v>1043</v>
      </c>
      <c r="B489" t="s">
        <v>1044</v>
      </c>
      <c r="C489" t="s">
        <v>31</v>
      </c>
      <c r="D489" s="2">
        <f>19949786/(10^6)</f>
        <v>19.949786</v>
      </c>
      <c r="E489" s="3" t="s">
        <v>86</v>
      </c>
      <c r="F489" s="3">
        <v>0.213264018297195</v>
      </c>
      <c r="G489" s="3">
        <v>0.346560388803482</v>
      </c>
      <c r="H489" s="3" t="s">
        <v>86</v>
      </c>
      <c r="I489" t="s">
        <v>26</v>
      </c>
    </row>
    <row r="490" spans="1:9">
      <c r="A490" t="s">
        <v>1045</v>
      </c>
      <c r="B490" t="s">
        <v>1046</v>
      </c>
      <c r="C490" t="s">
        <v>31</v>
      </c>
      <c r="D490" s="2">
        <f>19793918/(10^6)</f>
        <v>19.793918</v>
      </c>
      <c r="E490" s="3" t="s">
        <v>86</v>
      </c>
      <c r="F490" s="3">
        <v>0.190574958920479</v>
      </c>
      <c r="G490" s="3">
        <v>0.080169074237347</v>
      </c>
      <c r="H490" s="3" t="s">
        <v>86</v>
      </c>
      <c r="I490" t="s">
        <v>26</v>
      </c>
    </row>
    <row r="491" spans="1:9">
      <c r="A491" t="s">
        <v>1047</v>
      </c>
      <c r="B491" t="s">
        <v>1048</v>
      </c>
      <c r="C491" t="s">
        <v>47</v>
      </c>
      <c r="D491" s="2">
        <f>19774426/(10^6)</f>
        <v>19.774426</v>
      </c>
      <c r="E491" s="3">
        <v>24.9817314147949</v>
      </c>
      <c r="F491" s="3">
        <v>1.22803366184235</v>
      </c>
      <c r="G491" s="3">
        <v>1.93485188484192</v>
      </c>
      <c r="H491" s="3">
        <v>9.40659236907959</v>
      </c>
      <c r="I491" t="s">
        <v>26</v>
      </c>
    </row>
    <row r="492" spans="1:9">
      <c r="A492" t="s">
        <v>1049</v>
      </c>
      <c r="B492" t="s">
        <v>1050</v>
      </c>
      <c r="C492" t="s">
        <v>45</v>
      </c>
      <c r="D492" s="2">
        <f>19448620/(10^6)</f>
        <v>19.44862</v>
      </c>
      <c r="E492" s="3">
        <v>26.3929615020752</v>
      </c>
      <c r="F492" s="3" t="s">
        <v>86</v>
      </c>
      <c r="G492" s="3">
        <v>0.455002754926682</v>
      </c>
      <c r="H492" s="3" t="s">
        <v>86</v>
      </c>
      <c r="I492" t="s">
        <v>26</v>
      </c>
    </row>
    <row r="493" spans="1:9">
      <c r="A493" t="s">
        <v>1051</v>
      </c>
      <c r="B493" t="s">
        <v>1052</v>
      </c>
      <c r="C493" t="s">
        <v>43</v>
      </c>
      <c r="D493" s="2">
        <f>19355342/(10^6)</f>
        <v>19.355342</v>
      </c>
      <c r="E493" s="3">
        <v>4.94391202926636</v>
      </c>
      <c r="F493" s="3">
        <v>0.341129899024963</v>
      </c>
      <c r="G493" s="3">
        <v>0.71258145570755</v>
      </c>
      <c r="H493" s="3">
        <v>13.3158397674561</v>
      </c>
      <c r="I493" t="s">
        <v>26</v>
      </c>
    </row>
    <row r="494" spans="1:9">
      <c r="A494" t="s">
        <v>1053</v>
      </c>
      <c r="B494" t="s">
        <v>1054</v>
      </c>
      <c r="C494" t="s">
        <v>45</v>
      </c>
      <c r="D494" s="2">
        <f>19270866/(10^6)</f>
        <v>19.270866</v>
      </c>
      <c r="E494" s="3">
        <v>2.13057255744934</v>
      </c>
      <c r="F494" s="3">
        <v>0.402548909187317</v>
      </c>
      <c r="G494" s="3">
        <v>0.255243241786957</v>
      </c>
      <c r="H494" s="3">
        <v>13.7742853164673</v>
      </c>
      <c r="I494" t="s">
        <v>26</v>
      </c>
    </row>
    <row r="495" spans="1:9">
      <c r="A495" t="s">
        <v>1055</v>
      </c>
      <c r="B495" t="s">
        <v>1056</v>
      </c>
      <c r="C495" t="s">
        <v>43</v>
      </c>
      <c r="D495" s="2">
        <f>19064150/(10^6)</f>
        <v>19.06415</v>
      </c>
      <c r="E495" s="3" t="s">
        <v>86</v>
      </c>
      <c r="F495" s="3">
        <v>0.232687309384346</v>
      </c>
      <c r="G495" s="3">
        <v>2.03819346427917</v>
      </c>
      <c r="H495" s="3">
        <v>35.7201690673828</v>
      </c>
      <c r="I495" t="s">
        <v>26</v>
      </c>
    </row>
    <row r="496" spans="1:9">
      <c r="A496" t="s">
        <v>1057</v>
      </c>
      <c r="B496" t="s">
        <v>1058</v>
      </c>
      <c r="C496" t="s">
        <v>51</v>
      </c>
      <c r="D496" s="2">
        <f>19010708/(10^6)</f>
        <v>19.010708</v>
      </c>
      <c r="E496" s="3">
        <v>10.6232290267944</v>
      </c>
      <c r="F496" s="3">
        <v>0.19147489964962</v>
      </c>
      <c r="G496" s="3">
        <v>0.13504783809185</v>
      </c>
      <c r="H496" s="3">
        <v>7.32989978790283</v>
      </c>
      <c r="I496" t="s">
        <v>26</v>
      </c>
    </row>
    <row r="497" spans="1:9">
      <c r="A497" t="s">
        <v>1059</v>
      </c>
      <c r="B497" t="s">
        <v>1060</v>
      </c>
      <c r="C497" t="s">
        <v>45</v>
      </c>
      <c r="D497" s="2">
        <f>18787786/(10^6)</f>
        <v>18.787786</v>
      </c>
      <c r="E497" s="3">
        <v>7.71595668792725</v>
      </c>
      <c r="F497" s="3">
        <v>0.218423202633858</v>
      </c>
      <c r="G497" s="3">
        <v>2.23096919059753</v>
      </c>
      <c r="H497" s="3" t="s">
        <v>86</v>
      </c>
      <c r="I497" t="s">
        <v>26</v>
      </c>
    </row>
    <row r="498" spans="1:9">
      <c r="A498" t="s">
        <v>1061</v>
      </c>
      <c r="B498" t="s">
        <v>1062</v>
      </c>
      <c r="C498" t="s">
        <v>43</v>
      </c>
      <c r="D498" s="2">
        <f>18543392/(10^6)</f>
        <v>18.543392</v>
      </c>
      <c r="E498" s="3">
        <v>6.36852693557739</v>
      </c>
      <c r="F498" s="3">
        <v>0.381468415260315</v>
      </c>
      <c r="G498" s="3">
        <v>0.891097545623779</v>
      </c>
      <c r="H498" s="3">
        <v>13.1187009811401</v>
      </c>
      <c r="I498" t="s">
        <v>26</v>
      </c>
    </row>
    <row r="499" spans="1:9">
      <c r="A499" t="s">
        <v>1063</v>
      </c>
      <c r="B499" t="s">
        <v>1064</v>
      </c>
      <c r="C499" t="s">
        <v>37</v>
      </c>
      <c r="D499" s="2">
        <f>18355926/(10^6)</f>
        <v>18.355926</v>
      </c>
      <c r="E499" s="3" t="s">
        <v>86</v>
      </c>
      <c r="F499" s="3">
        <v>0.656259417533875</v>
      </c>
      <c r="G499" s="3">
        <v>0.381985247135162</v>
      </c>
      <c r="H499" s="3" t="s">
        <v>86</v>
      </c>
      <c r="I499" t="s">
        <v>26</v>
      </c>
    </row>
    <row r="500" spans="1:9">
      <c r="A500" t="s">
        <v>1065</v>
      </c>
      <c r="B500" t="s">
        <v>1066</v>
      </c>
      <c r="C500" t="s">
        <v>31</v>
      </c>
      <c r="D500" s="2">
        <f>18190170/(10^6)</f>
        <v>18.19017</v>
      </c>
      <c r="E500" s="3">
        <v>5.93213176727295</v>
      </c>
      <c r="F500" s="3">
        <v>0.679681897163391</v>
      </c>
      <c r="G500" s="3">
        <v>0.687210083007813</v>
      </c>
      <c r="H500" s="3">
        <v>2.06565356254578</v>
      </c>
      <c r="I500" t="s">
        <v>26</v>
      </c>
    </row>
    <row r="501" spans="1:9">
      <c r="A501" t="s">
        <v>1067</v>
      </c>
      <c r="B501" t="s">
        <v>1068</v>
      </c>
      <c r="C501" t="s">
        <v>47</v>
      </c>
      <c r="D501" s="2">
        <f>18067678/(10^6)</f>
        <v>18.067678</v>
      </c>
      <c r="E501" s="3">
        <v>70.1490631103516</v>
      </c>
      <c r="F501" s="3">
        <v>0.378474295139313</v>
      </c>
      <c r="G501" s="3">
        <v>0.536923587322235</v>
      </c>
      <c r="H501" s="3">
        <v>5.77873706817627</v>
      </c>
      <c r="I501" t="s">
        <v>26</v>
      </c>
    </row>
    <row r="502" spans="1:9">
      <c r="A502" t="s">
        <v>1069</v>
      </c>
      <c r="B502" t="s">
        <v>1070</v>
      </c>
      <c r="C502" t="s">
        <v>47</v>
      </c>
      <c r="D502" s="2">
        <f>18006432/(10^6)</f>
        <v>18.006432</v>
      </c>
      <c r="E502" s="3" t="s">
        <v>86</v>
      </c>
      <c r="F502" s="3" t="s">
        <v>86</v>
      </c>
      <c r="G502" s="3" t="s">
        <v>86</v>
      </c>
      <c r="H502" s="3" t="s">
        <v>86</v>
      </c>
      <c r="I502" t="s">
        <v>26</v>
      </c>
    </row>
    <row r="503" spans="1:9">
      <c r="A503" t="s">
        <v>1071</v>
      </c>
      <c r="B503" t="s">
        <v>1072</v>
      </c>
      <c r="C503" t="s">
        <v>47</v>
      </c>
      <c r="D503" s="2">
        <f>17763828/(10^6)</f>
        <v>17.763828</v>
      </c>
      <c r="E503" s="3">
        <v>38.0922927856445</v>
      </c>
      <c r="F503" s="3">
        <v>0.49953693151474</v>
      </c>
      <c r="G503" s="3">
        <v>0.196867570281029</v>
      </c>
      <c r="H503" s="3">
        <v>6.08849859237671</v>
      </c>
      <c r="I503" t="s">
        <v>26</v>
      </c>
    </row>
    <row r="504" spans="1:9">
      <c r="A504" t="s">
        <v>1073</v>
      </c>
      <c r="B504" t="s">
        <v>1074</v>
      </c>
      <c r="C504" t="s">
        <v>37</v>
      </c>
      <c r="D504" s="2">
        <f>17664676/(10^6)</f>
        <v>17.664676</v>
      </c>
      <c r="E504" s="3">
        <v>13.3364210128784</v>
      </c>
      <c r="F504" s="3">
        <v>0.40644758939743</v>
      </c>
      <c r="G504" s="3">
        <v>0.200104579329491</v>
      </c>
      <c r="H504" s="3">
        <v>4.99969434738159</v>
      </c>
      <c r="I504" t="s">
        <v>26</v>
      </c>
    </row>
    <row r="505" spans="1:9">
      <c r="A505" t="s">
        <v>1075</v>
      </c>
      <c r="B505" t="s">
        <v>1076</v>
      </c>
      <c r="C505" t="s">
        <v>47</v>
      </c>
      <c r="D505" s="2">
        <f>17528736/(10^6)</f>
        <v>17.528736</v>
      </c>
      <c r="E505" s="3" t="s">
        <v>86</v>
      </c>
      <c r="F505" s="3">
        <v>0.237645551562309</v>
      </c>
      <c r="G505" s="3">
        <v>0.066129192709923</v>
      </c>
      <c r="H505" s="3">
        <v>7.32600259780884</v>
      </c>
      <c r="I505" t="s">
        <v>26</v>
      </c>
    </row>
    <row r="506" spans="1:9">
      <c r="A506" t="s">
        <v>1077</v>
      </c>
      <c r="B506" t="s">
        <v>1078</v>
      </c>
      <c r="C506" t="s">
        <v>31</v>
      </c>
      <c r="D506" s="2">
        <f>17087736/(10^6)</f>
        <v>17.087736</v>
      </c>
      <c r="E506" s="3" t="s">
        <v>86</v>
      </c>
      <c r="F506" s="3">
        <v>0.584081292152405</v>
      </c>
      <c r="G506" s="3">
        <v>0.992104113101959</v>
      </c>
      <c r="H506" s="3" t="s">
        <v>86</v>
      </c>
      <c r="I506" t="s">
        <v>26</v>
      </c>
    </row>
    <row r="507" spans="1:9">
      <c r="A507" t="s">
        <v>1079</v>
      </c>
      <c r="B507" t="s">
        <v>1080</v>
      </c>
      <c r="C507" t="s">
        <v>51</v>
      </c>
      <c r="D507" s="2">
        <f>16906334/(10^6)</f>
        <v>16.906334</v>
      </c>
      <c r="E507" s="3" t="s">
        <v>86</v>
      </c>
      <c r="F507" s="3">
        <v>0.443930864334106</v>
      </c>
      <c r="G507" s="3">
        <v>0.309608578681946</v>
      </c>
      <c r="H507" s="3">
        <v>6.06495475769043</v>
      </c>
      <c r="I507" t="s">
        <v>26</v>
      </c>
    </row>
    <row r="508" spans="1:9">
      <c r="A508" t="s">
        <v>1081</v>
      </c>
      <c r="B508" t="s">
        <v>1082</v>
      </c>
      <c r="C508" t="s">
        <v>47</v>
      </c>
      <c r="D508" s="2">
        <f>16903996/(10^6)</f>
        <v>16.903996</v>
      </c>
      <c r="E508" s="3">
        <v>5.23529386520386</v>
      </c>
      <c r="F508" s="3">
        <v>0.789942681789398</v>
      </c>
      <c r="G508" s="3">
        <v>0.115785516798496</v>
      </c>
      <c r="H508" s="3">
        <v>1.23667597770691</v>
      </c>
      <c r="I508" t="s">
        <v>26</v>
      </c>
    </row>
    <row r="509" spans="1:9">
      <c r="A509" t="s">
        <v>1083</v>
      </c>
      <c r="B509" t="s">
        <v>1084</v>
      </c>
      <c r="C509" t="s">
        <v>27</v>
      </c>
      <c r="D509" s="2">
        <f>16780246/(10^6)</f>
        <v>16.780246</v>
      </c>
      <c r="E509" s="3">
        <v>1.42128610610962</v>
      </c>
      <c r="F509" s="3">
        <v>0.318735241889954</v>
      </c>
      <c r="G509" s="3">
        <v>0.127983421087265</v>
      </c>
      <c r="H509" s="3">
        <v>0.053017795085907</v>
      </c>
      <c r="I509" t="s">
        <v>26</v>
      </c>
    </row>
    <row r="510" spans="1:9">
      <c r="A510" t="s">
        <v>1085</v>
      </c>
      <c r="B510" t="s">
        <v>1086</v>
      </c>
      <c r="C510" t="s">
        <v>33</v>
      </c>
      <c r="D510" s="2">
        <f>16660615/(10^6)</f>
        <v>16.660615</v>
      </c>
      <c r="E510" s="3">
        <v>9.58005523681641</v>
      </c>
      <c r="F510" s="3">
        <v>0.568365871906281</v>
      </c>
      <c r="G510" s="3">
        <v>1.41605305671692</v>
      </c>
      <c r="H510" s="3">
        <v>0.415645867586136</v>
      </c>
      <c r="I510" t="s">
        <v>26</v>
      </c>
    </row>
    <row r="511" spans="1:9">
      <c r="A511" t="s">
        <v>1087</v>
      </c>
      <c r="B511" t="s">
        <v>1088</v>
      </c>
      <c r="C511" t="s">
        <v>37</v>
      </c>
      <c r="D511" s="2">
        <f>16466326/(10^6)</f>
        <v>16.466326</v>
      </c>
      <c r="E511" s="3">
        <v>3.48482656478882</v>
      </c>
      <c r="F511" s="3">
        <v>0.251735687255859</v>
      </c>
      <c r="G511" s="3">
        <v>0.096251919865608</v>
      </c>
      <c r="H511" s="3">
        <v>8.28272533416748</v>
      </c>
      <c r="I511" t="s">
        <v>26</v>
      </c>
    </row>
    <row r="512" spans="1:9">
      <c r="A512" t="s">
        <v>1089</v>
      </c>
      <c r="B512" t="s">
        <v>1090</v>
      </c>
      <c r="C512" t="s">
        <v>35</v>
      </c>
      <c r="D512" s="2">
        <f>16433279/(10^6)</f>
        <v>16.433279</v>
      </c>
      <c r="E512" s="3">
        <v>19.6267585754395</v>
      </c>
      <c r="F512" s="3">
        <v>0.340912163257599</v>
      </c>
      <c r="G512" s="3">
        <v>0.332299262285233</v>
      </c>
      <c r="H512" s="3">
        <v>1.74275684356689</v>
      </c>
      <c r="I512" t="s">
        <v>26</v>
      </c>
    </row>
    <row r="513" spans="1:9">
      <c r="A513" t="s">
        <v>1091</v>
      </c>
      <c r="B513" t="s">
        <v>1092</v>
      </c>
      <c r="C513" t="s">
        <v>49</v>
      </c>
      <c r="D513" s="2">
        <f>16285837/(10^6)</f>
        <v>16.285837</v>
      </c>
      <c r="E513" s="3">
        <v>21.0919227600098</v>
      </c>
      <c r="F513" s="3">
        <v>0.369201689958572</v>
      </c>
      <c r="G513" s="3">
        <v>6.03055191040039</v>
      </c>
      <c r="H513" s="3" t="s">
        <v>86</v>
      </c>
      <c r="I513" t="s">
        <v>26</v>
      </c>
    </row>
    <row r="514" spans="1:9">
      <c r="A514" t="s">
        <v>1093</v>
      </c>
      <c r="B514" t="s">
        <v>1094</v>
      </c>
      <c r="C514" t="s">
        <v>47</v>
      </c>
      <c r="D514" s="2">
        <f>16045028/(10^6)</f>
        <v>16.045028</v>
      </c>
      <c r="E514" s="3">
        <v>19.1462688446045</v>
      </c>
      <c r="F514" s="3">
        <v>0.412206023931503</v>
      </c>
      <c r="G514" s="3">
        <v>0.080576576292515</v>
      </c>
      <c r="H514" s="3">
        <v>16.1804180145264</v>
      </c>
      <c r="I514" t="s">
        <v>26</v>
      </c>
    </row>
    <row r="515" spans="1:9">
      <c r="A515" t="s">
        <v>1095</v>
      </c>
      <c r="B515" t="s">
        <v>1096</v>
      </c>
      <c r="C515" t="s">
        <v>47</v>
      </c>
      <c r="D515" s="2">
        <f>15873110/(10^6)</f>
        <v>15.87311</v>
      </c>
      <c r="E515" s="3">
        <v>28.7665863037109</v>
      </c>
      <c r="F515" s="3">
        <v>0.276767551898956</v>
      </c>
      <c r="G515" s="3">
        <v>0.277599692344666</v>
      </c>
      <c r="H515" s="3">
        <v>6.86621475219727</v>
      </c>
      <c r="I515" t="s">
        <v>26</v>
      </c>
    </row>
    <row r="516" spans="1:9">
      <c r="A516" t="s">
        <v>1097</v>
      </c>
      <c r="B516" t="s">
        <v>1098</v>
      </c>
      <c r="C516" t="s">
        <v>45</v>
      </c>
      <c r="D516" s="2">
        <f>15465381/(10^6)</f>
        <v>15.465381</v>
      </c>
      <c r="E516" s="3">
        <v>1.55871558189392</v>
      </c>
      <c r="F516" s="3">
        <v>0.204194143414497</v>
      </c>
      <c r="G516" s="3">
        <v>0.104103520512581</v>
      </c>
      <c r="H516" s="3">
        <v>6.38814306259155</v>
      </c>
      <c r="I516" t="s">
        <v>26</v>
      </c>
    </row>
    <row r="517" spans="1:9">
      <c r="A517" t="s">
        <v>1099</v>
      </c>
      <c r="B517" t="s">
        <v>1100</v>
      </c>
      <c r="C517" t="s">
        <v>27</v>
      </c>
      <c r="D517" s="2">
        <f>15378962/(10^6)</f>
        <v>15.378962</v>
      </c>
      <c r="E517" s="3">
        <v>17</v>
      </c>
      <c r="F517" s="3">
        <v>0.518035769462585</v>
      </c>
      <c r="G517" s="3">
        <v>1.20351421833038</v>
      </c>
      <c r="H517" s="3">
        <v>13.1484222412109</v>
      </c>
      <c r="I517" t="s">
        <v>26</v>
      </c>
    </row>
    <row r="518" spans="1:9">
      <c r="A518" t="s">
        <v>1101</v>
      </c>
      <c r="B518" t="s">
        <v>1102</v>
      </c>
      <c r="C518" t="s">
        <v>37</v>
      </c>
      <c r="D518" s="2">
        <f>15257861/(10^6)</f>
        <v>15.257861</v>
      </c>
      <c r="E518" s="3">
        <v>8.21834850311279</v>
      </c>
      <c r="F518" s="3">
        <v>0.409931540489197</v>
      </c>
      <c r="G518" s="3">
        <v>0.199167266488075</v>
      </c>
      <c r="H518" s="3">
        <v>5.16139316558838</v>
      </c>
      <c r="I518" t="s">
        <v>26</v>
      </c>
    </row>
    <row r="519" spans="1:9">
      <c r="A519" t="s">
        <v>1103</v>
      </c>
      <c r="B519" t="s">
        <v>1104</v>
      </c>
      <c r="C519" t="s">
        <v>31</v>
      </c>
      <c r="D519" s="2">
        <f>15220245/(10^6)</f>
        <v>15.220245</v>
      </c>
      <c r="E519" s="3">
        <v>5.87448215484619</v>
      </c>
      <c r="F519" s="3">
        <v>0.496570914983749</v>
      </c>
      <c r="G519" s="3">
        <v>0.296689212322235</v>
      </c>
      <c r="H519" s="3">
        <v>4.62945938110352</v>
      </c>
      <c r="I519" t="s">
        <v>26</v>
      </c>
    </row>
    <row r="520" spans="1:9">
      <c r="A520" t="s">
        <v>1105</v>
      </c>
      <c r="B520" t="s">
        <v>1106</v>
      </c>
      <c r="C520" t="s">
        <v>37</v>
      </c>
      <c r="D520" s="2">
        <f>14877017/(10^6)</f>
        <v>14.877017</v>
      </c>
      <c r="E520" s="3" t="s">
        <v>86</v>
      </c>
      <c r="F520" s="3">
        <v>0.128240212798119</v>
      </c>
      <c r="G520" s="3">
        <v>0.238792672753334</v>
      </c>
      <c r="H520" s="3" t="s">
        <v>86</v>
      </c>
      <c r="I520" t="s">
        <v>26</v>
      </c>
    </row>
    <row r="521" spans="1:9">
      <c r="A521" t="s">
        <v>1107</v>
      </c>
      <c r="B521" t="s">
        <v>1108</v>
      </c>
      <c r="C521" t="s">
        <v>51</v>
      </c>
      <c r="D521" s="2">
        <f>14711101/(10^6)</f>
        <v>14.711101</v>
      </c>
      <c r="E521" s="3">
        <v>81.0114212036133</v>
      </c>
      <c r="F521" s="3">
        <v>0.47827023267746</v>
      </c>
      <c r="G521" s="3">
        <v>4.50487375259399</v>
      </c>
      <c r="H521" s="3">
        <v>66.8042755126953</v>
      </c>
      <c r="I521" t="s">
        <v>26</v>
      </c>
    </row>
    <row r="522" spans="1:9">
      <c r="A522" t="s">
        <v>1109</v>
      </c>
      <c r="B522" t="s">
        <v>1110</v>
      </c>
      <c r="C522" t="s">
        <v>51</v>
      </c>
      <c r="D522" s="2">
        <f>14505896/(10^6)</f>
        <v>14.505896</v>
      </c>
      <c r="E522" s="3">
        <v>5.17433500289917</v>
      </c>
      <c r="F522" s="3">
        <v>0.225622117519379</v>
      </c>
      <c r="G522" s="3">
        <v>0.086611278355122</v>
      </c>
      <c r="H522" s="3">
        <v>7.5754714012146</v>
      </c>
      <c r="I522" t="s">
        <v>26</v>
      </c>
    </row>
    <row r="523" spans="1:9">
      <c r="A523" t="s">
        <v>1111</v>
      </c>
      <c r="B523" t="s">
        <v>1112</v>
      </c>
      <c r="C523" t="s">
        <v>33</v>
      </c>
      <c r="D523" s="2">
        <f>14480688/(10^6)</f>
        <v>14.480688</v>
      </c>
      <c r="E523" s="3">
        <v>10.8040361404419</v>
      </c>
      <c r="F523" s="3">
        <v>0.408247917890549</v>
      </c>
      <c r="G523" s="3">
        <v>4.47787952423096</v>
      </c>
      <c r="H523" s="3" t="s">
        <v>86</v>
      </c>
      <c r="I523" t="s">
        <v>26</v>
      </c>
    </row>
    <row r="524" spans="1:9">
      <c r="A524" t="s">
        <v>1113</v>
      </c>
      <c r="B524" t="s">
        <v>1114</v>
      </c>
      <c r="C524" t="s">
        <v>47</v>
      </c>
      <c r="D524" s="2">
        <f>14457459/(10^6)</f>
        <v>14.457459</v>
      </c>
      <c r="E524" s="3" t="s">
        <v>86</v>
      </c>
      <c r="F524" s="3">
        <v>0.196466103196144</v>
      </c>
      <c r="G524" s="3">
        <v>0.15644297003746</v>
      </c>
      <c r="H524" s="3" t="s">
        <v>86</v>
      </c>
      <c r="I524" t="s">
        <v>26</v>
      </c>
    </row>
    <row r="525" spans="1:9">
      <c r="A525" t="s">
        <v>1115</v>
      </c>
      <c r="B525" t="s">
        <v>1116</v>
      </c>
      <c r="C525" t="s">
        <v>31</v>
      </c>
      <c r="D525" s="2">
        <f>14333087/(10^6)</f>
        <v>14.333087</v>
      </c>
      <c r="E525" s="3">
        <v>21.1175785064697</v>
      </c>
      <c r="F525" s="3">
        <v>0.493752360343933</v>
      </c>
      <c r="G525" s="3">
        <v>0.386683940887451</v>
      </c>
      <c r="H525" s="3">
        <v>7.67247104644775</v>
      </c>
      <c r="I525" t="s">
        <v>26</v>
      </c>
    </row>
    <row r="526" spans="1:9">
      <c r="A526" t="s">
        <v>1117</v>
      </c>
      <c r="B526" t="s">
        <v>1118</v>
      </c>
      <c r="C526" t="s">
        <v>43</v>
      </c>
      <c r="D526" s="2">
        <f>14065485/(10^6)</f>
        <v>14.065485</v>
      </c>
      <c r="E526" s="3" t="s">
        <v>86</v>
      </c>
      <c r="F526" s="3">
        <v>0.19557549059391</v>
      </c>
      <c r="G526" s="3">
        <v>0.355702519416809</v>
      </c>
      <c r="H526" s="3">
        <v>3.15546894073486</v>
      </c>
      <c r="I526" t="s">
        <v>26</v>
      </c>
    </row>
    <row r="527" spans="1:9">
      <c r="A527" t="s">
        <v>1119</v>
      </c>
      <c r="B527" t="s">
        <v>1120</v>
      </c>
      <c r="C527" t="s">
        <v>33</v>
      </c>
      <c r="D527" s="2">
        <f>13900215/(10^6)</f>
        <v>13.900215</v>
      </c>
      <c r="E527" s="3" t="s">
        <v>86</v>
      </c>
      <c r="F527" s="3">
        <v>0.50960236787796</v>
      </c>
      <c r="G527" s="3" t="s">
        <v>86</v>
      </c>
      <c r="H527" s="3">
        <v>27.0256214141846</v>
      </c>
      <c r="I527" t="s">
        <v>26</v>
      </c>
    </row>
    <row r="528" spans="1:9">
      <c r="A528" t="s">
        <v>1121</v>
      </c>
      <c r="B528" t="s">
        <v>1122</v>
      </c>
      <c r="C528" t="s">
        <v>37</v>
      </c>
      <c r="D528" s="2">
        <f>13895270/(10^6)</f>
        <v>13.89527</v>
      </c>
      <c r="E528" s="3">
        <v>13.1724290847778</v>
      </c>
      <c r="F528" s="3">
        <v>0.528911828994751</v>
      </c>
      <c r="G528" s="3">
        <v>1.45702636241913</v>
      </c>
      <c r="H528" s="3">
        <v>4.55014562606812</v>
      </c>
      <c r="I528" t="s">
        <v>26</v>
      </c>
    </row>
    <row r="529" spans="1:9">
      <c r="A529" t="s">
        <v>1123</v>
      </c>
      <c r="B529" t="s">
        <v>1124</v>
      </c>
      <c r="C529" t="s">
        <v>31</v>
      </c>
      <c r="D529" s="2">
        <f>13890676/(10^6)</f>
        <v>13.890676</v>
      </c>
      <c r="E529" s="3">
        <v>22.9102764129639</v>
      </c>
      <c r="F529" s="3">
        <v>0.300876021385193</v>
      </c>
      <c r="G529" s="3">
        <v>0.227904215455055</v>
      </c>
      <c r="H529" s="3">
        <v>9.06337833404541</v>
      </c>
      <c r="I529" t="s">
        <v>26</v>
      </c>
    </row>
    <row r="530" spans="1:9">
      <c r="A530" t="s">
        <v>1125</v>
      </c>
      <c r="B530" t="s">
        <v>1126</v>
      </c>
      <c r="C530" t="s">
        <v>43</v>
      </c>
      <c r="D530" s="2">
        <f>13695142/(10^6)</f>
        <v>13.695142</v>
      </c>
      <c r="E530" s="3">
        <v>4.9407114982605</v>
      </c>
      <c r="F530" s="3">
        <v>0.230256348848343</v>
      </c>
      <c r="G530" s="3">
        <v>0.749584078788757</v>
      </c>
      <c r="H530" s="3">
        <v>9.28176975250244</v>
      </c>
      <c r="I530" t="s">
        <v>26</v>
      </c>
    </row>
    <row r="531" spans="1:9">
      <c r="A531" t="s">
        <v>1127</v>
      </c>
      <c r="B531" t="s">
        <v>1128</v>
      </c>
      <c r="C531" t="s">
        <v>37</v>
      </c>
      <c r="D531" s="2">
        <f>13537795/(10^6)</f>
        <v>13.537795</v>
      </c>
      <c r="E531" s="3" t="s">
        <v>86</v>
      </c>
      <c r="F531" s="3">
        <v>0.405539691448212</v>
      </c>
      <c r="G531" s="3">
        <v>0.904665231704712</v>
      </c>
      <c r="H531" s="3">
        <v>4.68325519561768</v>
      </c>
      <c r="I531" t="s">
        <v>26</v>
      </c>
    </row>
    <row r="532" spans="1:9">
      <c r="A532" t="s">
        <v>1129</v>
      </c>
      <c r="B532" t="s">
        <v>1130</v>
      </c>
      <c r="C532" t="s">
        <v>45</v>
      </c>
      <c r="D532" s="2">
        <f>13276776/(10^6)</f>
        <v>13.276776</v>
      </c>
      <c r="E532" s="3">
        <v>100.806449890137</v>
      </c>
      <c r="F532" s="3">
        <v>0.598539769649506</v>
      </c>
      <c r="G532" s="3">
        <v>3.60091423988342</v>
      </c>
      <c r="H532" s="3">
        <v>15.8494596481323</v>
      </c>
      <c r="I532" t="s">
        <v>26</v>
      </c>
    </row>
    <row r="533" spans="1:9">
      <c r="A533" t="s">
        <v>1131</v>
      </c>
      <c r="B533" t="s">
        <v>1132</v>
      </c>
      <c r="C533" t="s">
        <v>41</v>
      </c>
      <c r="D533" s="2">
        <f>13167969/(10^6)</f>
        <v>13.167969</v>
      </c>
      <c r="E533" s="3">
        <v>24.7663326263428</v>
      </c>
      <c r="F533" s="3">
        <v>1.20492565631866</v>
      </c>
      <c r="G533" s="3">
        <v>1.16326367855072</v>
      </c>
      <c r="H533" s="3">
        <v>8.42868709564209</v>
      </c>
      <c r="I533" t="s">
        <v>26</v>
      </c>
    </row>
    <row r="534" spans="1:9">
      <c r="A534" t="s">
        <v>1133</v>
      </c>
      <c r="B534" t="s">
        <v>1134</v>
      </c>
      <c r="C534" t="s">
        <v>47</v>
      </c>
      <c r="D534" s="2">
        <f>12935232/(10^6)</f>
        <v>12.935232</v>
      </c>
      <c r="E534" s="3">
        <v>172.21354675293</v>
      </c>
      <c r="F534" s="3">
        <v>0.281103044748306</v>
      </c>
      <c r="G534" s="3">
        <v>0.592562794685364</v>
      </c>
      <c r="H534" s="3" t="s">
        <v>86</v>
      </c>
      <c r="I534" t="s">
        <v>26</v>
      </c>
    </row>
    <row r="535" spans="1:9">
      <c r="A535" t="s">
        <v>1135</v>
      </c>
      <c r="B535" t="s">
        <v>1136</v>
      </c>
      <c r="C535" t="s">
        <v>35</v>
      </c>
      <c r="D535" s="2">
        <f>12919156/(10^6)</f>
        <v>12.919156</v>
      </c>
      <c r="E535" s="3" t="s">
        <v>86</v>
      </c>
      <c r="F535" s="3">
        <v>0.463150888681412</v>
      </c>
      <c r="G535" s="3">
        <v>0.176517903804779</v>
      </c>
      <c r="H535" s="3" t="s">
        <v>86</v>
      </c>
      <c r="I535" t="s">
        <v>26</v>
      </c>
    </row>
    <row r="536" spans="1:9">
      <c r="A536" t="s">
        <v>1137</v>
      </c>
      <c r="B536" t="s">
        <v>1138</v>
      </c>
      <c r="C536" t="s">
        <v>31</v>
      </c>
      <c r="D536" s="2">
        <f>12861737/(10^6)</f>
        <v>12.861737</v>
      </c>
      <c r="E536" s="3" t="s">
        <v>86</v>
      </c>
      <c r="F536" s="3">
        <v>0.608891069889069</v>
      </c>
      <c r="G536" s="3">
        <v>0.063531503081322</v>
      </c>
      <c r="H536" s="3" t="s">
        <v>86</v>
      </c>
      <c r="I536" t="s">
        <v>26</v>
      </c>
    </row>
    <row r="537" spans="1:9">
      <c r="A537" t="s">
        <v>1139</v>
      </c>
      <c r="B537" t="s">
        <v>1140</v>
      </c>
      <c r="C537" t="s">
        <v>37</v>
      </c>
      <c r="D537" s="2">
        <f>12861737/(10^6)</f>
        <v>12.861737</v>
      </c>
      <c r="E537" s="3" t="s">
        <v>86</v>
      </c>
      <c r="F537" s="3">
        <v>0.384745895862579</v>
      </c>
      <c r="G537" s="3">
        <v>0.079497091472149</v>
      </c>
      <c r="H537" s="3" t="s">
        <v>86</v>
      </c>
      <c r="I537" t="s">
        <v>26</v>
      </c>
    </row>
    <row r="538" spans="1:9">
      <c r="A538" t="s">
        <v>1141</v>
      </c>
      <c r="B538" t="s">
        <v>1142</v>
      </c>
      <c r="C538" t="s">
        <v>45</v>
      </c>
      <c r="D538" s="2">
        <f>12861737/(10^6)</f>
        <v>12.861737</v>
      </c>
      <c r="E538" s="3">
        <v>8.31313896179199</v>
      </c>
      <c r="F538" s="3">
        <v>0.387310981750488</v>
      </c>
      <c r="G538" s="3">
        <v>5.09686613082886</v>
      </c>
      <c r="H538" s="3" t="s">
        <v>86</v>
      </c>
      <c r="I538" t="s">
        <v>26</v>
      </c>
    </row>
    <row r="539" spans="1:9">
      <c r="A539" t="s">
        <v>1143</v>
      </c>
      <c r="B539" t="s">
        <v>1144</v>
      </c>
      <c r="C539" t="s">
        <v>31</v>
      </c>
      <c r="D539" s="2">
        <f>12861737/(10^6)</f>
        <v>12.861737</v>
      </c>
      <c r="E539" s="3" t="s">
        <v>86</v>
      </c>
      <c r="F539" s="3">
        <v>0.448722869157791</v>
      </c>
      <c r="G539" s="3">
        <v>1.07583355903626</v>
      </c>
      <c r="H539" s="3" t="s">
        <v>86</v>
      </c>
      <c r="I539" t="s">
        <v>26</v>
      </c>
    </row>
    <row r="540" spans="1:9">
      <c r="A540" t="s">
        <v>1145</v>
      </c>
      <c r="B540" t="s">
        <v>1146</v>
      </c>
      <c r="C540" t="s">
        <v>43</v>
      </c>
      <c r="D540" s="2">
        <f>12673374/(10^6)</f>
        <v>12.673374</v>
      </c>
      <c r="E540" s="3">
        <v>27.0963001251221</v>
      </c>
      <c r="F540" s="3">
        <v>0.288238108158112</v>
      </c>
      <c r="G540" s="3">
        <v>0.004862140398473</v>
      </c>
      <c r="H540" s="3" t="s">
        <v>86</v>
      </c>
      <c r="I540" t="s">
        <v>26</v>
      </c>
    </row>
    <row r="541" spans="1:9">
      <c r="A541" t="s">
        <v>1147</v>
      </c>
      <c r="B541" t="s">
        <v>1148</v>
      </c>
      <c r="C541" t="s">
        <v>47</v>
      </c>
      <c r="D541" s="2">
        <f>12406798/(10^6)</f>
        <v>12.406798</v>
      </c>
      <c r="E541" s="3">
        <v>7</v>
      </c>
      <c r="F541" s="3">
        <v>0.230406209826469</v>
      </c>
      <c r="G541" s="3">
        <v>0.126634374260902</v>
      </c>
      <c r="H541" s="3">
        <v>4.30720281600952</v>
      </c>
      <c r="I541" t="s">
        <v>26</v>
      </c>
    </row>
    <row r="542" spans="1:9">
      <c r="A542" t="s">
        <v>1149</v>
      </c>
      <c r="B542" t="s">
        <v>1150</v>
      </c>
      <c r="C542" t="s">
        <v>45</v>
      </c>
      <c r="D542" s="2">
        <f>12401769/(10^6)</f>
        <v>12.401769</v>
      </c>
      <c r="E542" s="3" t="s">
        <v>86</v>
      </c>
      <c r="F542" s="3">
        <v>1.78583383560181</v>
      </c>
      <c r="G542" s="3">
        <v>3.36063838005066</v>
      </c>
      <c r="H542" s="3" t="s">
        <v>86</v>
      </c>
      <c r="I542" t="s">
        <v>26</v>
      </c>
    </row>
    <row r="543" spans="1:9">
      <c r="A543" t="s">
        <v>1151</v>
      </c>
      <c r="B543" t="s">
        <v>1152</v>
      </c>
      <c r="C543" t="s">
        <v>31</v>
      </c>
      <c r="D543" s="2">
        <f>12372597/(10^6)</f>
        <v>12.372597</v>
      </c>
      <c r="E543" s="3" t="s">
        <v>86</v>
      </c>
      <c r="F543" s="3">
        <v>0.263145297765732</v>
      </c>
      <c r="G543" s="3">
        <v>1.310054063797</v>
      </c>
      <c r="H543" s="3">
        <v>17.7019443511963</v>
      </c>
      <c r="I543" t="s">
        <v>26</v>
      </c>
    </row>
    <row r="544" spans="1:9">
      <c r="A544" t="s">
        <v>1153</v>
      </c>
      <c r="B544" t="s">
        <v>1154</v>
      </c>
      <c r="C544" t="s">
        <v>35</v>
      </c>
      <c r="D544" s="2">
        <f>12349967/(10^6)</f>
        <v>12.349967</v>
      </c>
      <c r="E544" s="3" t="s">
        <v>86</v>
      </c>
      <c r="F544" s="3">
        <v>0.250516802072525</v>
      </c>
      <c r="G544" s="3">
        <v>0.07328274846077</v>
      </c>
      <c r="H544" s="3">
        <v>25.0576763153076</v>
      </c>
      <c r="I544" t="s">
        <v>26</v>
      </c>
    </row>
    <row r="545" spans="1:9">
      <c r="A545" t="s">
        <v>1155</v>
      </c>
      <c r="B545" t="s">
        <v>1156</v>
      </c>
      <c r="C545" t="s">
        <v>31</v>
      </c>
      <c r="D545" s="2">
        <f>12310533/(10^6)</f>
        <v>12.310533</v>
      </c>
      <c r="E545" s="3">
        <v>7.82072353363037</v>
      </c>
      <c r="F545" s="3">
        <v>0.373270153999329</v>
      </c>
      <c r="G545" s="3">
        <v>0.414921969175339</v>
      </c>
      <c r="H545" s="3">
        <v>2.05632519721985</v>
      </c>
      <c r="I545" t="s">
        <v>26</v>
      </c>
    </row>
    <row r="546" spans="1:9">
      <c r="A546" t="s">
        <v>1157</v>
      </c>
      <c r="B546" t="s">
        <v>1158</v>
      </c>
      <c r="C546" t="s">
        <v>45</v>
      </c>
      <c r="D546" s="2">
        <f>12254173/(10^6)</f>
        <v>12.254173</v>
      </c>
      <c r="E546" s="3">
        <v>17.6709156036377</v>
      </c>
      <c r="F546" s="3">
        <v>0.622499465942383</v>
      </c>
      <c r="G546" s="3">
        <v>11.0958518981934</v>
      </c>
      <c r="H546" s="3" t="s">
        <v>86</v>
      </c>
      <c r="I546" t="s">
        <v>26</v>
      </c>
    </row>
    <row r="547" spans="1:9">
      <c r="A547" t="s">
        <v>1159</v>
      </c>
      <c r="B547" t="s">
        <v>1160</v>
      </c>
      <c r="C547" t="s">
        <v>31</v>
      </c>
      <c r="D547" s="2">
        <f>11943041/(10^6)</f>
        <v>11.943041</v>
      </c>
      <c r="E547" s="3">
        <v>4.14044904708862</v>
      </c>
      <c r="F547" s="3">
        <v>0.387403756380081</v>
      </c>
      <c r="G547" s="3">
        <v>0.297958046197891</v>
      </c>
      <c r="H547" s="3">
        <v>2.93759059906006</v>
      </c>
      <c r="I547" t="s">
        <v>26</v>
      </c>
    </row>
    <row r="548" spans="1:9">
      <c r="A548" t="s">
        <v>1161</v>
      </c>
      <c r="B548" t="s">
        <v>1162</v>
      </c>
      <c r="C548" t="s">
        <v>43</v>
      </c>
      <c r="D548" s="2">
        <f>11866483/(10^6)</f>
        <v>11.866483</v>
      </c>
      <c r="E548" s="3" t="s">
        <v>86</v>
      </c>
      <c r="F548" s="3">
        <v>2.2702066898346</v>
      </c>
      <c r="G548" s="3">
        <v>0.899038136005402</v>
      </c>
      <c r="H548" s="3" t="s">
        <v>86</v>
      </c>
      <c r="I548" t="s">
        <v>26</v>
      </c>
    </row>
    <row r="549" spans="1:9">
      <c r="A549" t="s">
        <v>1163</v>
      </c>
      <c r="B549" t="s">
        <v>1164</v>
      </c>
      <c r="C549" t="s">
        <v>45</v>
      </c>
      <c r="D549" s="2">
        <f>11543715/(10^6)</f>
        <v>11.543715</v>
      </c>
      <c r="E549" s="3" t="s">
        <v>86</v>
      </c>
      <c r="F549" s="3">
        <v>0.599295675754547</v>
      </c>
      <c r="G549" s="3">
        <v>13.6244382858276</v>
      </c>
      <c r="H549" s="3" t="s">
        <v>86</v>
      </c>
      <c r="I549" t="s">
        <v>26</v>
      </c>
    </row>
    <row r="550" spans="1:9">
      <c r="A550" t="s">
        <v>1165</v>
      </c>
      <c r="B550" t="s">
        <v>1166</v>
      </c>
      <c r="C550" t="s">
        <v>37</v>
      </c>
      <c r="D550" s="2">
        <f>11483694/(10^6)</f>
        <v>11.483694</v>
      </c>
      <c r="E550" s="3">
        <v>17.8635768890381</v>
      </c>
      <c r="F550" s="3">
        <v>0.265695989131927</v>
      </c>
      <c r="G550" s="3">
        <v>1.02138471603394</v>
      </c>
      <c r="H550" s="3" t="s">
        <v>86</v>
      </c>
      <c r="I550" t="s">
        <v>26</v>
      </c>
    </row>
    <row r="551" spans="1:9">
      <c r="A551" t="s">
        <v>1167</v>
      </c>
      <c r="B551" t="s">
        <v>1168</v>
      </c>
      <c r="C551" t="s">
        <v>37</v>
      </c>
      <c r="D551" s="2">
        <f>10840607/(10^6)</f>
        <v>10.840607</v>
      </c>
      <c r="E551" s="3">
        <v>64.9456176757812</v>
      </c>
      <c r="F551" s="3">
        <v>0.709554135799408</v>
      </c>
      <c r="G551" s="3">
        <v>0.369966745376587</v>
      </c>
      <c r="H551" s="3">
        <v>5.49679946899414</v>
      </c>
      <c r="I551" t="s">
        <v>26</v>
      </c>
    </row>
    <row r="552" spans="1:9">
      <c r="A552" t="s">
        <v>1169</v>
      </c>
      <c r="B552" t="s">
        <v>1170</v>
      </c>
      <c r="C552" t="s">
        <v>47</v>
      </c>
      <c r="D552" s="2">
        <f>10775545/(10^6)</f>
        <v>10.775545</v>
      </c>
      <c r="E552" s="3" t="s">
        <v>86</v>
      </c>
      <c r="F552" s="3">
        <v>0.347665399312973</v>
      </c>
      <c r="G552" s="3">
        <v>0.141702026128769</v>
      </c>
      <c r="H552" s="3">
        <v>27.454029083252</v>
      </c>
      <c r="I552" t="s">
        <v>26</v>
      </c>
    </row>
    <row r="553" spans="1:9">
      <c r="A553" t="s">
        <v>1171</v>
      </c>
      <c r="B553" t="s">
        <v>1172</v>
      </c>
      <c r="C553" t="s">
        <v>33</v>
      </c>
      <c r="D553" s="2">
        <f>10668978/(10^6)</f>
        <v>10.668978</v>
      </c>
      <c r="E553" s="3">
        <v>51.2691993713379</v>
      </c>
      <c r="F553" s="3">
        <v>2.95171070098877</v>
      </c>
      <c r="G553" s="3">
        <v>0.440821826457977</v>
      </c>
      <c r="H553" s="3">
        <v>2.65046668052673</v>
      </c>
      <c r="I553" t="s">
        <v>26</v>
      </c>
    </row>
    <row r="554" spans="1:9">
      <c r="A554" t="s">
        <v>1173</v>
      </c>
      <c r="B554" t="s">
        <v>1174</v>
      </c>
      <c r="C554" t="s">
        <v>37</v>
      </c>
      <c r="D554" s="2">
        <f>10029092/(10^6)</f>
        <v>10.029092</v>
      </c>
      <c r="E554" s="3" t="s">
        <v>86</v>
      </c>
      <c r="F554" s="3">
        <v>0.704683363437653</v>
      </c>
      <c r="G554" s="3">
        <v>0.496062934398651</v>
      </c>
      <c r="H554" s="3" t="s">
        <v>86</v>
      </c>
      <c r="I554" t="s">
        <v>26</v>
      </c>
    </row>
    <row r="555" spans="1:9">
      <c r="A555" s="4" t="s">
        <v>1175</v>
      </c>
      <c r="B555" s="4" t="s">
        <v>1176</v>
      </c>
      <c r="C555" s="4" t="s">
        <v>27</v>
      </c>
      <c r="D555" s="2">
        <f>115604717568/(10^6)</f>
        <v>115604.717568</v>
      </c>
      <c r="E555" s="5">
        <v>9.61143589019775</v>
      </c>
      <c r="F555" s="5">
        <v>0.356531620025635</v>
      </c>
      <c r="G555" s="5">
        <v>0.174302577972412</v>
      </c>
      <c r="H555" s="3" t="s">
        <v>86</v>
      </c>
      <c r="I555" t="s">
        <v>3</v>
      </c>
    </row>
    <row r="556" spans="1:9">
      <c r="A556" s="4" t="s">
        <v>1177</v>
      </c>
      <c r="B556" s="4" t="s">
        <v>1178</v>
      </c>
      <c r="C556" s="4" t="s">
        <v>43</v>
      </c>
      <c r="D556" s="2">
        <f>50206728192/(10^6)</f>
        <v>50206.728192</v>
      </c>
      <c r="E556" s="5">
        <v>12.8807973861694</v>
      </c>
      <c r="F556" s="5">
        <v>1.24235510826111</v>
      </c>
      <c r="G556" s="5">
        <v>0.267124801874161</v>
      </c>
      <c r="H556" s="3" t="s">
        <v>86</v>
      </c>
      <c r="I556" t="s">
        <v>3</v>
      </c>
    </row>
    <row r="557" spans="1:9">
      <c r="A557" s="4" t="s">
        <v>1179</v>
      </c>
      <c r="B557" s="4" t="s">
        <v>1180</v>
      </c>
      <c r="C557" s="4" t="s">
        <v>31</v>
      </c>
      <c r="D557" s="2">
        <f>35710029824/(10^6)</f>
        <v>35710.029824</v>
      </c>
      <c r="E557" s="5">
        <v>6.18685293197632</v>
      </c>
      <c r="F557" s="5">
        <v>0.570627152919769</v>
      </c>
      <c r="G557" s="5">
        <v>0.428112417459488</v>
      </c>
      <c r="H557" s="5">
        <v>11.5633172988892</v>
      </c>
      <c r="I557" t="s">
        <v>3</v>
      </c>
    </row>
    <row r="558" spans="1:9">
      <c r="A558" s="4" t="s">
        <v>1181</v>
      </c>
      <c r="B558" s="4" t="s">
        <v>1182</v>
      </c>
      <c r="C558" s="4" t="s">
        <v>43</v>
      </c>
      <c r="D558" s="2">
        <f>34091741184/(10^6)</f>
        <v>34091.741184</v>
      </c>
      <c r="E558" s="5">
        <v>7.33502006530762</v>
      </c>
      <c r="F558" s="5">
        <v>0.918638646602631</v>
      </c>
      <c r="G558" s="5">
        <v>2.22879099845886</v>
      </c>
      <c r="H558" s="3" t="s">
        <v>86</v>
      </c>
      <c r="I558" t="s">
        <v>3</v>
      </c>
    </row>
    <row r="559" spans="1:9">
      <c r="A559" s="4" t="s">
        <v>1183</v>
      </c>
      <c r="B559" s="4" t="s">
        <v>1184</v>
      </c>
      <c r="C559" s="4" t="s">
        <v>33</v>
      </c>
      <c r="D559" s="2">
        <f>29438582784/(10^6)</f>
        <v>29438.582784</v>
      </c>
      <c r="E559" s="5">
        <v>31.113956451416</v>
      </c>
      <c r="F559" s="5">
        <v>1.47326576709747</v>
      </c>
      <c r="G559" s="5">
        <v>2.33522486686706</v>
      </c>
      <c r="H559" s="5">
        <v>11.3344097137451</v>
      </c>
      <c r="I559" t="s">
        <v>3</v>
      </c>
    </row>
    <row r="560" spans="1:9">
      <c r="A560" s="4" t="s">
        <v>1185</v>
      </c>
      <c r="B560" s="4" t="s">
        <v>1184</v>
      </c>
      <c r="C560" s="4" t="s">
        <v>33</v>
      </c>
      <c r="D560" s="2">
        <f>29438582784/(10^6)</f>
        <v>29438.582784</v>
      </c>
      <c r="E560" s="5">
        <v>31.113956451416</v>
      </c>
      <c r="F560" s="5">
        <v>1.47326576709747</v>
      </c>
      <c r="G560" s="5">
        <v>2.33522486686706</v>
      </c>
      <c r="H560" s="5">
        <v>11.3344097137451</v>
      </c>
      <c r="I560" t="s">
        <v>3</v>
      </c>
    </row>
    <row r="561" spans="1:9">
      <c r="A561" s="4" t="s">
        <v>1186</v>
      </c>
      <c r="B561" s="4" t="s">
        <v>1187</v>
      </c>
      <c r="C561" s="4" t="s">
        <v>43</v>
      </c>
      <c r="D561" s="2">
        <f>27486480384/(10^6)</f>
        <v>27486.480384</v>
      </c>
      <c r="E561" s="5">
        <v>7.63652610778809</v>
      </c>
      <c r="F561" s="5">
        <v>0.795992970466614</v>
      </c>
      <c r="G561" s="5">
        <v>2.23537182807922</v>
      </c>
      <c r="H561" s="3" t="s">
        <v>86</v>
      </c>
      <c r="I561" t="s">
        <v>3</v>
      </c>
    </row>
    <row r="562" spans="1:9">
      <c r="A562" s="4" t="s">
        <v>1188</v>
      </c>
      <c r="B562" s="4" t="s">
        <v>1189</v>
      </c>
      <c r="C562" s="4" t="s">
        <v>31</v>
      </c>
      <c r="D562" s="2">
        <f>24633546752/(10^6)</f>
        <v>24633.546752</v>
      </c>
      <c r="E562" s="5">
        <v>5.32759237289429</v>
      </c>
      <c r="F562" s="5">
        <v>0.322256922721863</v>
      </c>
      <c r="G562" s="5">
        <v>0.354633539915085</v>
      </c>
      <c r="H562" s="5">
        <v>13.1352834701538</v>
      </c>
      <c r="I562" t="s">
        <v>3</v>
      </c>
    </row>
    <row r="563" spans="1:9">
      <c r="A563" s="4" t="s">
        <v>1190</v>
      </c>
      <c r="B563" s="4" t="s">
        <v>1191</v>
      </c>
      <c r="C563" s="4" t="s">
        <v>33</v>
      </c>
      <c r="D563" s="2">
        <f>24221245440/(10^6)</f>
        <v>24221.24544</v>
      </c>
      <c r="E563" s="5">
        <v>8.39786434173584</v>
      </c>
      <c r="F563" s="5">
        <v>0.485191166400909</v>
      </c>
      <c r="G563" s="5">
        <v>0.456600397825241</v>
      </c>
      <c r="H563" s="5">
        <v>2.31296300888062</v>
      </c>
      <c r="I563" t="s">
        <v>3</v>
      </c>
    </row>
    <row r="564" spans="1:9">
      <c r="A564" s="4" t="s">
        <v>1192</v>
      </c>
      <c r="B564" s="4" t="s">
        <v>1193</v>
      </c>
      <c r="C564" s="4" t="s">
        <v>43</v>
      </c>
      <c r="D564" s="2">
        <f>23638693888/(10^6)</f>
        <v>23638.693888</v>
      </c>
      <c r="E564" s="5">
        <v>7.46473932266235</v>
      </c>
      <c r="F564" s="5">
        <v>0.862800180912018</v>
      </c>
      <c r="G564" s="5">
        <v>2.00498294830322</v>
      </c>
      <c r="H564" s="3" t="s">
        <v>86</v>
      </c>
      <c r="I564" t="s">
        <v>3</v>
      </c>
    </row>
    <row r="565" spans="1:9">
      <c r="A565" s="4" t="s">
        <v>1194</v>
      </c>
      <c r="B565" s="4" t="s">
        <v>1195</v>
      </c>
      <c r="C565" s="4" t="s">
        <v>35</v>
      </c>
      <c r="D565" s="2">
        <f>14332340224/(10^6)</f>
        <v>14332.340224</v>
      </c>
      <c r="E565" s="5">
        <v>10.9215440750122</v>
      </c>
      <c r="F565" s="5">
        <v>0.814668953418732</v>
      </c>
      <c r="G565" s="5">
        <v>0.319803297519684</v>
      </c>
      <c r="H565" s="5">
        <v>13.50657081604</v>
      </c>
      <c r="I565" t="s">
        <v>3</v>
      </c>
    </row>
    <row r="566" spans="1:9">
      <c r="A566" s="4" t="s">
        <v>1196</v>
      </c>
      <c r="B566" s="4" t="s">
        <v>1197</v>
      </c>
      <c r="C566" s="4" t="s">
        <v>41</v>
      </c>
      <c r="D566" s="2">
        <f>10832846848/(10^6)</f>
        <v>10832.846848</v>
      </c>
      <c r="E566" s="5">
        <v>97.3535003662109</v>
      </c>
      <c r="F566" s="5">
        <v>2.02269649505615</v>
      </c>
      <c r="G566" s="5">
        <v>3.02947068214417</v>
      </c>
      <c r="H566" s="5">
        <v>18.8639240264893</v>
      </c>
      <c r="I566" t="s">
        <v>3</v>
      </c>
    </row>
    <row r="567" spans="1:9">
      <c r="A567" s="4" t="s">
        <v>1198</v>
      </c>
      <c r="B567" s="4" t="s">
        <v>1199</v>
      </c>
      <c r="C567" s="4" t="s">
        <v>35</v>
      </c>
      <c r="D567" s="2">
        <f>10747514880/(10^6)</f>
        <v>10747.51488</v>
      </c>
      <c r="E567" s="5">
        <v>13.8741426467896</v>
      </c>
      <c r="F567" s="5">
        <v>2.72408962249756</v>
      </c>
      <c r="G567" s="5">
        <v>1.24463748931885</v>
      </c>
      <c r="H567" s="5">
        <v>13.8033418655396</v>
      </c>
      <c r="I567" t="s">
        <v>3</v>
      </c>
    </row>
    <row r="568" spans="1:9">
      <c r="A568" s="4" t="s">
        <v>1200</v>
      </c>
      <c r="B568" s="4" t="s">
        <v>1201</v>
      </c>
      <c r="C568" s="4" t="s">
        <v>45</v>
      </c>
      <c r="D568" s="2">
        <f>10455531520/(10^6)</f>
        <v>10455.53152</v>
      </c>
      <c r="E568" s="5">
        <v>6</v>
      </c>
      <c r="F568" s="5">
        <v>0.595196843147278</v>
      </c>
      <c r="G568" s="5">
        <v>2.08215761184692</v>
      </c>
      <c r="H568" s="5">
        <v>13.8031854629517</v>
      </c>
      <c r="I568" t="s">
        <v>3</v>
      </c>
    </row>
    <row r="569" spans="1:9">
      <c r="A569" s="4" t="s">
        <v>1202</v>
      </c>
      <c r="B569" s="4" t="s">
        <v>1203</v>
      </c>
      <c r="C569" s="4" t="s">
        <v>45</v>
      </c>
      <c r="D569" s="2">
        <f>9055640576/(10^6)</f>
        <v>9055.640576</v>
      </c>
      <c r="E569" s="5">
        <v>44.6517944335938</v>
      </c>
      <c r="F569" s="5">
        <v>0.2331473082304</v>
      </c>
      <c r="G569" s="5">
        <v>3.81319952011108</v>
      </c>
      <c r="H569" s="5">
        <v>34.8430557250977</v>
      </c>
      <c r="I569" t="s">
        <v>3</v>
      </c>
    </row>
    <row r="570" spans="1:9">
      <c r="A570" s="4" t="s">
        <v>1204</v>
      </c>
      <c r="B570" s="4" t="s">
        <v>1205</v>
      </c>
      <c r="C570" s="4" t="s">
        <v>39</v>
      </c>
      <c r="D570" s="2">
        <f>8589714944/(10^6)</f>
        <v>8589.714944</v>
      </c>
      <c r="E570" s="5">
        <v>10.327130317688</v>
      </c>
      <c r="F570" s="5">
        <v>0.519462168216705</v>
      </c>
      <c r="G570" s="5">
        <v>0.233940973877907</v>
      </c>
      <c r="H570" s="3" t="s">
        <v>86</v>
      </c>
      <c r="I570" t="s">
        <v>3</v>
      </c>
    </row>
    <row r="571" spans="1:9">
      <c r="A571" s="4" t="s">
        <v>1206</v>
      </c>
      <c r="B571" s="4" t="s">
        <v>1207</v>
      </c>
      <c r="C571" s="4" t="s">
        <v>31</v>
      </c>
      <c r="D571" s="2">
        <f>8482937856/(10^6)</f>
        <v>8482.937856</v>
      </c>
      <c r="E571" s="5">
        <v>15.1938629150391</v>
      </c>
      <c r="F571" s="5">
        <v>0.599792838096619</v>
      </c>
      <c r="G571" s="5">
        <v>0.292069941759109</v>
      </c>
      <c r="H571" s="5">
        <v>8.58827590942383</v>
      </c>
      <c r="I571" t="s">
        <v>3</v>
      </c>
    </row>
    <row r="572" spans="1:9">
      <c r="A572" s="4" t="s">
        <v>1208</v>
      </c>
      <c r="B572" s="4" t="s">
        <v>1209</v>
      </c>
      <c r="C572" s="4" t="s">
        <v>31</v>
      </c>
      <c r="D572" s="2">
        <f>7996199936/(10^6)</f>
        <v>7996.199936</v>
      </c>
      <c r="E572" s="5">
        <v>14.2996292114258</v>
      </c>
      <c r="F572" s="5">
        <v>0.586548149585724</v>
      </c>
      <c r="G572" s="5">
        <v>0.237912610173225</v>
      </c>
      <c r="H572" s="5">
        <v>8.73924541473389</v>
      </c>
      <c r="I572" t="s">
        <v>3</v>
      </c>
    </row>
    <row r="573" spans="1:9">
      <c r="A573" s="4" t="s">
        <v>1210</v>
      </c>
      <c r="B573" s="4" t="s">
        <v>1211</v>
      </c>
      <c r="C573" s="4" t="s">
        <v>45</v>
      </c>
      <c r="D573" s="2">
        <f>7056164352/(10^6)</f>
        <v>7056.164352</v>
      </c>
      <c r="E573" s="5">
        <v>16.8439712524414</v>
      </c>
      <c r="F573" s="5">
        <v>1.26018464565277</v>
      </c>
      <c r="G573" s="5">
        <v>9.44425678253174</v>
      </c>
      <c r="H573" s="3" t="s">
        <v>86</v>
      </c>
      <c r="I573" t="s">
        <v>3</v>
      </c>
    </row>
    <row r="574" spans="1:9">
      <c r="A574" s="4" t="s">
        <v>1212</v>
      </c>
      <c r="B574" s="4" t="s">
        <v>1213</v>
      </c>
      <c r="C574" s="4" t="s">
        <v>31</v>
      </c>
      <c r="D574" s="2">
        <f>6943091200/(10^6)</f>
        <v>6943.0912</v>
      </c>
      <c r="E574" s="5">
        <v>13.4961442947388</v>
      </c>
      <c r="F574" s="5">
        <v>0.850603520870209</v>
      </c>
      <c r="G574" s="5">
        <v>1.25760555267334</v>
      </c>
      <c r="H574" s="5">
        <v>17.5481395721436</v>
      </c>
      <c r="I574" t="s">
        <v>3</v>
      </c>
    </row>
    <row r="575" spans="1:9">
      <c r="A575" s="4" t="s">
        <v>1214</v>
      </c>
      <c r="B575" s="4" t="s">
        <v>1215</v>
      </c>
      <c r="C575" s="4" t="s">
        <v>43</v>
      </c>
      <c r="D575" s="2">
        <f>6785707008/(10^6)</f>
        <v>6785.707008</v>
      </c>
      <c r="E575" s="5">
        <v>22.8020553588867</v>
      </c>
      <c r="F575" s="5">
        <v>8.83032512664795</v>
      </c>
      <c r="G575" s="5">
        <v>9.93748474121094</v>
      </c>
      <c r="H575" s="5">
        <v>15.8426456451416</v>
      </c>
      <c r="I575" t="s">
        <v>3</v>
      </c>
    </row>
    <row r="576" spans="1:9">
      <c r="A576" s="4" t="s">
        <v>1216</v>
      </c>
      <c r="B576" s="4" t="s">
        <v>1217</v>
      </c>
      <c r="C576" s="4" t="s">
        <v>31</v>
      </c>
      <c r="D576" s="2">
        <f>6662639616/(10^6)</f>
        <v>6662.639616</v>
      </c>
      <c r="E576" s="5">
        <v>16.0271987915039</v>
      </c>
      <c r="F576" s="5">
        <v>4.16408443450928</v>
      </c>
      <c r="G576" s="5">
        <v>1.17722415924072</v>
      </c>
      <c r="H576" s="5">
        <v>11.3967142105103</v>
      </c>
      <c r="I576" t="s">
        <v>3</v>
      </c>
    </row>
    <row r="577" spans="1:9">
      <c r="A577" s="4" t="s">
        <v>1218</v>
      </c>
      <c r="B577" s="4" t="s">
        <v>1219</v>
      </c>
      <c r="C577" s="4" t="s">
        <v>37</v>
      </c>
      <c r="D577" s="2">
        <f>6175558144/(10^6)</f>
        <v>6175.558144</v>
      </c>
      <c r="E577" s="5">
        <v>31.1032104492188</v>
      </c>
      <c r="F577" s="5">
        <v>0.468726009130478</v>
      </c>
      <c r="G577" s="5">
        <v>0.121260263025761</v>
      </c>
      <c r="H577" s="5">
        <v>10.7035913467407</v>
      </c>
      <c r="I577" t="s">
        <v>3</v>
      </c>
    </row>
    <row r="578" spans="1:9">
      <c r="A578" s="4" t="s">
        <v>1220</v>
      </c>
      <c r="B578" s="4" t="s">
        <v>1221</v>
      </c>
      <c r="C578" s="4" t="s">
        <v>43</v>
      </c>
      <c r="D578" s="2">
        <f>6122766336/(10^6)</f>
        <v>6122.766336</v>
      </c>
      <c r="E578" s="5">
        <v>8.44339561462402</v>
      </c>
      <c r="F578" s="5">
        <v>0.983939945697784</v>
      </c>
      <c r="G578" s="5">
        <v>0.454400330781937</v>
      </c>
      <c r="H578" s="3" t="s">
        <v>86</v>
      </c>
      <c r="I578" t="s">
        <v>3</v>
      </c>
    </row>
    <row r="579" spans="1:9">
      <c r="A579" s="4" t="s">
        <v>1222</v>
      </c>
      <c r="B579" s="4" t="s">
        <v>1223</v>
      </c>
      <c r="C579" s="4" t="s">
        <v>35</v>
      </c>
      <c r="D579" s="2">
        <f>6087162880/(10^6)</f>
        <v>6087.16288</v>
      </c>
      <c r="E579" s="5">
        <v>18.3805103302002</v>
      </c>
      <c r="F579" s="5">
        <v>4.9221625328064</v>
      </c>
      <c r="G579" s="5">
        <v>0.53178346157074</v>
      </c>
      <c r="H579" s="5">
        <v>7.21108198165894</v>
      </c>
      <c r="I579" t="s">
        <v>3</v>
      </c>
    </row>
    <row r="580" spans="1:9">
      <c r="A580" s="4" t="s">
        <v>1224</v>
      </c>
      <c r="B580" s="4" t="s">
        <v>1225</v>
      </c>
      <c r="C580" s="4" t="s">
        <v>47</v>
      </c>
      <c r="D580" s="2">
        <f>5628267520/(10^6)</f>
        <v>5628.26752</v>
      </c>
      <c r="E580" s="5">
        <v>11.2084054946899</v>
      </c>
      <c r="F580" s="5">
        <v>0.95768529176712</v>
      </c>
      <c r="G580" s="5">
        <v>3.11052560806274</v>
      </c>
      <c r="H580" s="5">
        <v>3.68694162368774</v>
      </c>
      <c r="I580" t="s">
        <v>3</v>
      </c>
    </row>
    <row r="581" spans="1:9">
      <c r="A581" s="4" t="s">
        <v>1226</v>
      </c>
      <c r="B581" s="4" t="s">
        <v>1227</v>
      </c>
      <c r="C581" s="4" t="s">
        <v>47</v>
      </c>
      <c r="D581" s="2">
        <f>5625635840/(10^6)</f>
        <v>5625.63584</v>
      </c>
      <c r="E581" s="5">
        <v>5.95021677017212</v>
      </c>
      <c r="F581" s="5">
        <v>0.76306426525116</v>
      </c>
      <c r="G581" s="5">
        <v>0.281544208526611</v>
      </c>
      <c r="H581" s="5">
        <v>6.34984874725342</v>
      </c>
      <c r="I581" t="s">
        <v>3</v>
      </c>
    </row>
    <row r="582" spans="1:9">
      <c r="A582" s="4" t="s">
        <v>1228</v>
      </c>
      <c r="B582" s="4" t="s">
        <v>1229</v>
      </c>
      <c r="C582" s="4" t="s">
        <v>49</v>
      </c>
      <c r="D582" s="2">
        <f>5128237056/(10^6)</f>
        <v>5128.237056</v>
      </c>
      <c r="E582" s="3" t="s">
        <v>86</v>
      </c>
      <c r="F582" s="3" t="s">
        <v>86</v>
      </c>
      <c r="G582" s="3" t="s">
        <v>86</v>
      </c>
      <c r="H582" s="3" t="s">
        <v>86</v>
      </c>
      <c r="I582" t="s">
        <v>3</v>
      </c>
    </row>
    <row r="583" spans="1:9">
      <c r="A583" s="4" t="s">
        <v>1230</v>
      </c>
      <c r="B583" s="4" t="s">
        <v>1231</v>
      </c>
      <c r="C583" s="4" t="s">
        <v>27</v>
      </c>
      <c r="D583" s="2">
        <f>5083036672/(10^6)</f>
        <v>5083.036672</v>
      </c>
      <c r="E583" s="5">
        <v>2.86647963523865</v>
      </c>
      <c r="F583" s="5">
        <v>0.470728158950806</v>
      </c>
      <c r="G583" s="5">
        <v>0.396326959133148</v>
      </c>
      <c r="H583" s="5">
        <v>4.71679544448853</v>
      </c>
      <c r="I583" t="s">
        <v>3</v>
      </c>
    </row>
    <row r="584" spans="1:9">
      <c r="A584" s="4" t="s">
        <v>1232</v>
      </c>
      <c r="B584" s="4" t="s">
        <v>1233</v>
      </c>
      <c r="C584" s="4" t="s">
        <v>37</v>
      </c>
      <c r="D584" s="2">
        <f>5063510016/(10^6)</f>
        <v>5063.510016</v>
      </c>
      <c r="E584" s="5">
        <v>8.0151195526123</v>
      </c>
      <c r="F584" s="5">
        <v>0.596412420272827</v>
      </c>
      <c r="G584" s="5">
        <v>0.188656479120255</v>
      </c>
      <c r="H584" s="5">
        <v>9.43560695648193</v>
      </c>
      <c r="I584" t="s">
        <v>3</v>
      </c>
    </row>
    <row r="585" spans="1:9">
      <c r="A585" s="4" t="s">
        <v>1234</v>
      </c>
      <c r="B585" s="4" t="s">
        <v>1235</v>
      </c>
      <c r="C585" s="4" t="s">
        <v>31</v>
      </c>
      <c r="D585" s="2">
        <f>5054773760/(10^6)</f>
        <v>5054.77376</v>
      </c>
      <c r="E585" s="5">
        <v>9.52536869049072</v>
      </c>
      <c r="F585" s="5">
        <v>0.567714512348175</v>
      </c>
      <c r="G585" s="5">
        <v>0.408555954694748</v>
      </c>
      <c r="H585" s="5">
        <v>5.02319145202637</v>
      </c>
      <c r="I585" t="s">
        <v>3</v>
      </c>
    </row>
    <row r="586" spans="1:9">
      <c r="A586" s="4" t="s">
        <v>1236</v>
      </c>
      <c r="B586" s="4" t="s">
        <v>1237</v>
      </c>
      <c r="C586" s="4" t="s">
        <v>45</v>
      </c>
      <c r="D586" s="2">
        <f>4814933504/(10^6)</f>
        <v>4814.933504</v>
      </c>
      <c r="E586" s="5">
        <v>9.25925922393799</v>
      </c>
      <c r="F586" s="5">
        <v>0.831107199192047</v>
      </c>
      <c r="G586" s="5">
        <v>8.20467662811279</v>
      </c>
      <c r="H586" s="5">
        <v>20.2354793548584</v>
      </c>
      <c r="I586" t="s">
        <v>3</v>
      </c>
    </row>
    <row r="587" spans="1:9">
      <c r="A587" s="4" t="s">
        <v>1238</v>
      </c>
      <c r="B587" s="4" t="s">
        <v>1239</v>
      </c>
      <c r="C587" s="4" t="s">
        <v>45</v>
      </c>
      <c r="D587" s="2">
        <f>4733318656/(10^6)</f>
        <v>4733.318656</v>
      </c>
      <c r="E587" s="5">
        <v>11.543514251709</v>
      </c>
      <c r="F587" s="5">
        <v>0.62566202878952</v>
      </c>
      <c r="G587" s="5">
        <v>1.85944211483002</v>
      </c>
      <c r="H587" s="5">
        <v>15.2442712783813</v>
      </c>
      <c r="I587" t="s">
        <v>3</v>
      </c>
    </row>
    <row r="588" spans="1:9">
      <c r="A588" s="4" t="s">
        <v>1240</v>
      </c>
      <c r="B588" s="4" t="s">
        <v>1241</v>
      </c>
      <c r="C588" s="4" t="s">
        <v>45</v>
      </c>
      <c r="D588" s="2">
        <f>4385264640/(10^6)</f>
        <v>4385.26464</v>
      </c>
      <c r="E588" s="5">
        <v>5.80597162246704</v>
      </c>
      <c r="F588" s="5">
        <v>1.01703095436096</v>
      </c>
      <c r="G588" s="5">
        <v>11.3440971374512</v>
      </c>
      <c r="H588" s="5">
        <v>27.7352638244629</v>
      </c>
      <c r="I588" t="s">
        <v>3</v>
      </c>
    </row>
    <row r="589" spans="1:9">
      <c r="A589" s="4" t="s">
        <v>1242</v>
      </c>
      <c r="B589" s="4" t="s">
        <v>1243</v>
      </c>
      <c r="C589" s="4" t="s">
        <v>45</v>
      </c>
      <c r="D589" s="2">
        <f>4265477120/(10^6)</f>
        <v>4265.47712</v>
      </c>
      <c r="E589" s="5">
        <v>11.6331090927124</v>
      </c>
      <c r="F589" s="5">
        <v>1.32738614082336</v>
      </c>
      <c r="G589" s="5">
        <v>11.7632865905762</v>
      </c>
      <c r="H589" s="5">
        <v>25.2851524353027</v>
      </c>
      <c r="I589" t="s">
        <v>3</v>
      </c>
    </row>
    <row r="590" spans="1:9">
      <c r="A590" s="4" t="s">
        <v>1244</v>
      </c>
      <c r="B590" s="4" t="s">
        <v>1245</v>
      </c>
      <c r="C590" s="4" t="s">
        <v>45</v>
      </c>
      <c r="D590" s="2">
        <f>4226255104/(10^6)</f>
        <v>4226.255104</v>
      </c>
      <c r="E590" s="5">
        <v>13.0244760513306</v>
      </c>
      <c r="F590" s="5">
        <v>0.79998242855072</v>
      </c>
      <c r="G590" s="5">
        <v>13.7127504348755</v>
      </c>
      <c r="H590" s="5">
        <v>28.9010734558105</v>
      </c>
      <c r="I590" t="s">
        <v>3</v>
      </c>
    </row>
    <row r="591" spans="1:9">
      <c r="A591" s="4" t="s">
        <v>1246</v>
      </c>
      <c r="B591" s="4" t="s">
        <v>1247</v>
      </c>
      <c r="C591" s="4" t="s">
        <v>33</v>
      </c>
      <c r="D591" s="2">
        <f>4047274752/(10^6)</f>
        <v>4047.274752</v>
      </c>
      <c r="E591" s="3" t="s">
        <v>86</v>
      </c>
      <c r="F591" s="5">
        <v>1.62339687347412</v>
      </c>
      <c r="G591" s="5">
        <v>7.58331871032715</v>
      </c>
      <c r="H591" s="3" t="s">
        <v>86</v>
      </c>
      <c r="I591" t="s">
        <v>3</v>
      </c>
    </row>
    <row r="592" spans="1:9">
      <c r="A592" s="4" t="s">
        <v>1248</v>
      </c>
      <c r="B592" s="4" t="s">
        <v>1249</v>
      </c>
      <c r="C592" s="4" t="s">
        <v>45</v>
      </c>
      <c r="D592" s="2">
        <f>4018318848/(10^6)</f>
        <v>4018.318848</v>
      </c>
      <c r="E592" s="5">
        <v>11.2854690551758</v>
      </c>
      <c r="F592" s="5">
        <v>0.538076281547546</v>
      </c>
      <c r="G592" s="5">
        <v>2.42540287971497</v>
      </c>
      <c r="H592" s="5">
        <v>18.1118297576904</v>
      </c>
      <c r="I592" t="s">
        <v>3</v>
      </c>
    </row>
    <row r="593" spans="1:9">
      <c r="A593" s="4" t="s">
        <v>1250</v>
      </c>
      <c r="B593" s="4" t="s">
        <v>1251</v>
      </c>
      <c r="C593" s="4" t="s">
        <v>41</v>
      </c>
      <c r="D593" s="2">
        <f>3756367104/(10^6)</f>
        <v>3756.367104</v>
      </c>
      <c r="E593" s="5">
        <v>43.4001808166504</v>
      </c>
      <c r="F593" s="5">
        <v>4.12439393997192</v>
      </c>
      <c r="G593" s="5">
        <v>3.38547945022583</v>
      </c>
      <c r="H593" s="5">
        <v>24.8060722351074</v>
      </c>
      <c r="I593" t="s">
        <v>3</v>
      </c>
    </row>
    <row r="594" spans="1:9">
      <c r="A594" s="4" t="s">
        <v>1252</v>
      </c>
      <c r="B594" s="4" t="s">
        <v>1253</v>
      </c>
      <c r="C594" s="4" t="s">
        <v>45</v>
      </c>
      <c r="D594" s="2">
        <f>3566688768/(10^6)</f>
        <v>3566.688768</v>
      </c>
      <c r="E594" s="5">
        <v>15.6271419525146</v>
      </c>
      <c r="F594" s="5">
        <v>1.44294571876526</v>
      </c>
      <c r="G594" s="5">
        <v>11.5934953689575</v>
      </c>
      <c r="H594" s="5">
        <v>23.7788829803467</v>
      </c>
      <c r="I594" t="s">
        <v>3</v>
      </c>
    </row>
    <row r="595" spans="1:9">
      <c r="A595" s="4" t="s">
        <v>1254</v>
      </c>
      <c r="B595" s="4" t="s">
        <v>1255</v>
      </c>
      <c r="C595" s="4" t="s">
        <v>35</v>
      </c>
      <c r="D595" s="2">
        <f>3330489088/(10^6)</f>
        <v>3330.489088</v>
      </c>
      <c r="E595" s="5">
        <v>8.88055038452148</v>
      </c>
      <c r="F595" s="5">
        <v>0.840042352676392</v>
      </c>
      <c r="G595" s="5">
        <v>0.137145817279816</v>
      </c>
      <c r="H595" s="5">
        <v>9.39403343200684</v>
      </c>
      <c r="I595" t="s">
        <v>3</v>
      </c>
    </row>
    <row r="596" spans="1:9">
      <c r="A596" s="4" t="s">
        <v>1256</v>
      </c>
      <c r="B596" s="4" t="s">
        <v>1257</v>
      </c>
      <c r="C596" s="4" t="s">
        <v>49</v>
      </c>
      <c r="D596" s="2">
        <f>2864736000/(10^6)</f>
        <v>2864.736</v>
      </c>
      <c r="E596" s="3" t="s">
        <v>86</v>
      </c>
      <c r="F596" s="3" t="s">
        <v>86</v>
      </c>
      <c r="G596" s="3" t="s">
        <v>86</v>
      </c>
      <c r="H596" s="3" t="s">
        <v>86</v>
      </c>
      <c r="I596" t="s">
        <v>3</v>
      </c>
    </row>
    <row r="597" spans="1:9">
      <c r="A597" s="4" t="s">
        <v>1258</v>
      </c>
      <c r="B597" s="4" t="s">
        <v>1259</v>
      </c>
      <c r="C597" s="4" t="s">
        <v>51</v>
      </c>
      <c r="D597" s="2">
        <f>2826437888/(10^6)</f>
        <v>2826.437888</v>
      </c>
      <c r="E597" s="5">
        <v>10.4860553741455</v>
      </c>
      <c r="F597" s="5">
        <v>1.52076935768127</v>
      </c>
      <c r="G597" s="5">
        <v>1.04822671413422</v>
      </c>
      <c r="H597" s="5">
        <v>7.5902795791626</v>
      </c>
      <c r="I597" t="s">
        <v>3</v>
      </c>
    </row>
    <row r="598" spans="1:9">
      <c r="A598" s="4" t="s">
        <v>1260</v>
      </c>
      <c r="B598" s="4" t="s">
        <v>1261</v>
      </c>
      <c r="C598" s="4" t="s">
        <v>47</v>
      </c>
      <c r="D598" s="2">
        <f>2728287744/(10^6)</f>
        <v>2728.287744</v>
      </c>
      <c r="E598" s="5">
        <v>16.4647731781006</v>
      </c>
      <c r="F598" s="5">
        <v>0.407167792320251</v>
      </c>
      <c r="G598" s="5">
        <v>1.03256154060364</v>
      </c>
      <c r="H598" s="5">
        <v>14.1734266281128</v>
      </c>
      <c r="I598" t="s">
        <v>3</v>
      </c>
    </row>
    <row r="599" spans="1:9">
      <c r="A599" s="4" t="s">
        <v>1262</v>
      </c>
      <c r="B599" s="4" t="s">
        <v>1263</v>
      </c>
      <c r="C599" s="4" t="s">
        <v>31</v>
      </c>
      <c r="D599" s="2">
        <f>2651335168/(10^6)</f>
        <v>2651.335168</v>
      </c>
      <c r="E599" s="5">
        <v>15.8706464767456</v>
      </c>
      <c r="F599" s="5">
        <v>2.20377087593079</v>
      </c>
      <c r="G599" s="5">
        <v>1.80133080482483</v>
      </c>
      <c r="H599" s="5">
        <v>11.7618427276611</v>
      </c>
      <c r="I599" t="s">
        <v>3</v>
      </c>
    </row>
    <row r="600" spans="1:9">
      <c r="A600" s="4" t="s">
        <v>1264</v>
      </c>
      <c r="B600" s="4" t="s">
        <v>1265</v>
      </c>
      <c r="C600" s="4" t="s">
        <v>45</v>
      </c>
      <c r="D600" s="2">
        <f>2622812928/(10^6)</f>
        <v>2622.812928</v>
      </c>
      <c r="E600" s="5">
        <v>8.89407348632812</v>
      </c>
      <c r="F600" s="5">
        <v>0.573793053627014</v>
      </c>
      <c r="G600" s="5">
        <v>9.20942401885986</v>
      </c>
      <c r="H600" s="5">
        <v>39.8529205322266</v>
      </c>
      <c r="I600" t="s">
        <v>3</v>
      </c>
    </row>
    <row r="601" spans="1:9">
      <c r="A601" s="4" t="s">
        <v>1266</v>
      </c>
      <c r="B601" s="4" t="s">
        <v>1267</v>
      </c>
      <c r="C601" s="4" t="s">
        <v>45</v>
      </c>
      <c r="D601" s="2">
        <f>2496996608/(10^6)</f>
        <v>2496.996608</v>
      </c>
      <c r="E601" s="5">
        <v>28.8562164306641</v>
      </c>
      <c r="F601" s="5">
        <v>1.92250227928162</v>
      </c>
      <c r="G601" s="5">
        <v>16.0978164672852</v>
      </c>
      <c r="H601" s="5">
        <v>27.808313369751</v>
      </c>
      <c r="I601" t="s">
        <v>3</v>
      </c>
    </row>
    <row r="602" spans="1:9">
      <c r="A602" s="4" t="s">
        <v>1268</v>
      </c>
      <c r="B602" s="4" t="s">
        <v>1269</v>
      </c>
      <c r="C602" s="4" t="s">
        <v>49</v>
      </c>
      <c r="D602" s="2">
        <f>2466231296/(10^6)</f>
        <v>2466.231296</v>
      </c>
      <c r="E602" s="3" t="s">
        <v>86</v>
      </c>
      <c r="F602" s="3" t="s">
        <v>86</v>
      </c>
      <c r="G602" s="3" t="s">
        <v>86</v>
      </c>
      <c r="H602" s="3" t="s">
        <v>86</v>
      </c>
      <c r="I602" t="s">
        <v>3</v>
      </c>
    </row>
    <row r="603" spans="1:9">
      <c r="A603" s="4" t="s">
        <v>1270</v>
      </c>
      <c r="B603" s="4" t="s">
        <v>1271</v>
      </c>
      <c r="C603" s="4" t="s">
        <v>33</v>
      </c>
      <c r="D603" s="2">
        <f>2419375104/(10^6)</f>
        <v>2419.375104</v>
      </c>
      <c r="E603" s="5">
        <v>40.4109573364258</v>
      </c>
      <c r="F603" s="5">
        <v>1.19028723239899</v>
      </c>
      <c r="G603" s="5">
        <v>9.43295669555664</v>
      </c>
      <c r="H603" s="5">
        <v>15.1211156845093</v>
      </c>
      <c r="I603" t="s">
        <v>3</v>
      </c>
    </row>
    <row r="604" spans="1:9">
      <c r="A604" s="4" t="s">
        <v>1272</v>
      </c>
      <c r="B604" s="4" t="s">
        <v>1273</v>
      </c>
      <c r="C604" s="4" t="s">
        <v>45</v>
      </c>
      <c r="D604" s="2">
        <f>2381356288/(10^6)</f>
        <v>2381.356288</v>
      </c>
      <c r="E604" s="5">
        <v>6.87929964065552</v>
      </c>
      <c r="F604" s="5">
        <v>0.42600092291832</v>
      </c>
      <c r="G604" s="5">
        <v>0.826204836368561</v>
      </c>
      <c r="H604" s="5">
        <v>25.0790176391602</v>
      </c>
      <c r="I604" t="s">
        <v>3</v>
      </c>
    </row>
    <row r="605" spans="1:9">
      <c r="A605" s="4" t="s">
        <v>1274</v>
      </c>
      <c r="B605" s="4" t="s">
        <v>1275</v>
      </c>
      <c r="C605" s="4" t="s">
        <v>31</v>
      </c>
      <c r="D605" s="2">
        <f>2355318784/(10^6)</f>
        <v>2355.318784</v>
      </c>
      <c r="E605" s="5">
        <v>12.1700210571289</v>
      </c>
      <c r="F605" s="5">
        <v>1.24379146099091</v>
      </c>
      <c r="G605" s="5">
        <v>0.8259437084198</v>
      </c>
      <c r="H605" s="5">
        <v>4.62688064575195</v>
      </c>
      <c r="I605" t="s">
        <v>3</v>
      </c>
    </row>
    <row r="606" spans="1:9">
      <c r="A606" s="4" t="s">
        <v>1276</v>
      </c>
      <c r="B606" s="4" t="s">
        <v>1277</v>
      </c>
      <c r="C606" s="4" t="s">
        <v>31</v>
      </c>
      <c r="D606" s="2">
        <f>2336689152/(10^6)</f>
        <v>2336.689152</v>
      </c>
      <c r="E606" s="5">
        <v>5.18046808242798</v>
      </c>
      <c r="F606" s="5">
        <v>0.514236748218536</v>
      </c>
      <c r="G606" s="5">
        <v>0.68160218000412</v>
      </c>
      <c r="H606" s="5">
        <v>0.218676850199699</v>
      </c>
      <c r="I606" t="s">
        <v>3</v>
      </c>
    </row>
    <row r="607" spans="1:9">
      <c r="A607" s="4" t="s">
        <v>1278</v>
      </c>
      <c r="B607" s="4" t="s">
        <v>1279</v>
      </c>
      <c r="C607" s="4" t="s">
        <v>45</v>
      </c>
      <c r="D607" s="2">
        <f>2287985408/(10^6)</f>
        <v>2287.985408</v>
      </c>
      <c r="E607" s="5">
        <v>26.0623226165771</v>
      </c>
      <c r="F607" s="5">
        <v>0.675585389137268</v>
      </c>
      <c r="G607" s="5">
        <v>19.0503807067871</v>
      </c>
      <c r="H607" s="5">
        <v>84.1181793212891</v>
      </c>
      <c r="I607" t="s">
        <v>3</v>
      </c>
    </row>
    <row r="608" spans="1:9">
      <c r="A608" s="4" t="s">
        <v>1280</v>
      </c>
      <c r="B608" s="4" t="s">
        <v>1281</v>
      </c>
      <c r="C608" s="4" t="s">
        <v>45</v>
      </c>
      <c r="D608" s="2">
        <f>2190958336/(10^6)</f>
        <v>2190.958336</v>
      </c>
      <c r="E608" s="5">
        <v>5.01370477676392</v>
      </c>
      <c r="F608" s="5">
        <v>0.416047543287277</v>
      </c>
      <c r="G608" s="5">
        <v>3.84703302383423</v>
      </c>
      <c r="H608" s="5">
        <v>14.8613233566284</v>
      </c>
      <c r="I608" t="s">
        <v>3</v>
      </c>
    </row>
    <row r="609" spans="1:9">
      <c r="A609" s="4" t="s">
        <v>1282</v>
      </c>
      <c r="B609" s="4" t="s">
        <v>1283</v>
      </c>
      <c r="C609" s="4" t="s">
        <v>31</v>
      </c>
      <c r="D609" s="2">
        <f>2050964608/(10^6)</f>
        <v>2050.964608</v>
      </c>
      <c r="E609" s="5">
        <v>13.2315521240234</v>
      </c>
      <c r="F609" s="5">
        <v>0.458897352218628</v>
      </c>
      <c r="G609" s="5">
        <v>0.289810806512833</v>
      </c>
      <c r="H609" s="5">
        <v>10.5936527252197</v>
      </c>
      <c r="I609" t="s">
        <v>3</v>
      </c>
    </row>
    <row r="610" spans="1:9">
      <c r="A610" s="4" t="s">
        <v>1284</v>
      </c>
      <c r="B610" s="4" t="s">
        <v>1285</v>
      </c>
      <c r="C610" s="4" t="s">
        <v>33</v>
      </c>
      <c r="D610" s="2">
        <f>2046598784/(10^6)</f>
        <v>2046.598784</v>
      </c>
      <c r="E610" s="5">
        <v>14.1465072631836</v>
      </c>
      <c r="F610" s="5">
        <v>0.838382363319397</v>
      </c>
      <c r="G610" s="5">
        <v>3.00946545600891</v>
      </c>
      <c r="H610" s="5">
        <v>21.7116184234619</v>
      </c>
      <c r="I610" t="s">
        <v>3</v>
      </c>
    </row>
    <row r="611" spans="1:9">
      <c r="A611" s="4" t="s">
        <v>1286</v>
      </c>
      <c r="B611" s="4" t="s">
        <v>1287</v>
      </c>
      <c r="C611" s="4" t="s">
        <v>45</v>
      </c>
      <c r="D611" s="2">
        <f>1840515328/(10^6)</f>
        <v>1840.515328</v>
      </c>
      <c r="E611" s="5">
        <v>3.94169282913208</v>
      </c>
      <c r="F611" s="5">
        <v>0.559441566467285</v>
      </c>
      <c r="G611" s="5">
        <v>6.61100721359253</v>
      </c>
      <c r="H611" s="5">
        <v>19.8105926513672</v>
      </c>
      <c r="I611" t="s">
        <v>3</v>
      </c>
    </row>
    <row r="612" spans="1:9">
      <c r="A612" s="4" t="s">
        <v>1288</v>
      </c>
      <c r="B612" s="4" t="s">
        <v>1289</v>
      </c>
      <c r="C612" s="4" t="s">
        <v>49</v>
      </c>
      <c r="D612" s="2">
        <f>1816077440/(10^6)</f>
        <v>1816.07744</v>
      </c>
      <c r="E612" s="3" t="s">
        <v>86</v>
      </c>
      <c r="F612" s="3" t="s">
        <v>86</v>
      </c>
      <c r="G612" s="3" t="s">
        <v>86</v>
      </c>
      <c r="H612" s="3" t="s">
        <v>86</v>
      </c>
      <c r="I612" t="s">
        <v>3</v>
      </c>
    </row>
    <row r="613" spans="1:9">
      <c r="A613" s="4" t="s">
        <v>1290</v>
      </c>
      <c r="B613" s="4" t="s">
        <v>1291</v>
      </c>
      <c r="C613" s="4" t="s">
        <v>45</v>
      </c>
      <c r="D613" s="2">
        <f>1808814336/(10^6)</f>
        <v>1808.814336</v>
      </c>
      <c r="E613" s="5">
        <v>9.14285182952881</v>
      </c>
      <c r="F613" s="5">
        <v>0.984161496162415</v>
      </c>
      <c r="G613" s="5">
        <v>8.49724960327148</v>
      </c>
      <c r="H613" s="3" t="s">
        <v>86</v>
      </c>
      <c r="I613" t="s">
        <v>3</v>
      </c>
    </row>
    <row r="614" spans="1:9">
      <c r="A614" s="4" t="s">
        <v>1292</v>
      </c>
      <c r="B614" s="4" t="s">
        <v>1293</v>
      </c>
      <c r="C614" s="4" t="s">
        <v>45</v>
      </c>
      <c r="D614" s="2">
        <f>1751878144/(10^6)</f>
        <v>1751.878144</v>
      </c>
      <c r="E614" s="5">
        <v>11.5591316223145</v>
      </c>
      <c r="F614" s="5">
        <v>0.511036038398743</v>
      </c>
      <c r="G614" s="5">
        <v>3.24732828140259</v>
      </c>
      <c r="H614" s="5">
        <v>21.3569889068604</v>
      </c>
      <c r="I614" t="s">
        <v>3</v>
      </c>
    </row>
    <row r="615" spans="1:9">
      <c r="A615" s="4" t="s">
        <v>1294</v>
      </c>
      <c r="B615" s="4" t="s">
        <v>1295</v>
      </c>
      <c r="C615" s="4" t="s">
        <v>45</v>
      </c>
      <c r="D615" s="2">
        <f>1735517440/(10^6)</f>
        <v>1735.51744</v>
      </c>
      <c r="E615" s="5">
        <v>10.4788637161255</v>
      </c>
      <c r="F615" s="5">
        <v>0.969312965869904</v>
      </c>
      <c r="G615" s="5">
        <v>11.2654705047607</v>
      </c>
      <c r="H615" s="5">
        <v>29.1732578277588</v>
      </c>
      <c r="I615" t="s">
        <v>3</v>
      </c>
    </row>
    <row r="616" spans="1:9">
      <c r="A616" s="4" t="s">
        <v>1296</v>
      </c>
      <c r="B616" s="4" t="s">
        <v>1297</v>
      </c>
      <c r="C616" s="4" t="s">
        <v>47</v>
      </c>
      <c r="D616" s="2">
        <f>1654221952/(10^6)</f>
        <v>1654.221952</v>
      </c>
      <c r="E616" s="3" t="s">
        <v>86</v>
      </c>
      <c r="F616" s="5">
        <v>0.393367320299149</v>
      </c>
      <c r="G616" s="5">
        <v>2.85351228713989</v>
      </c>
      <c r="H616" s="5">
        <v>33.9208564758301</v>
      </c>
      <c r="I616" t="s">
        <v>3</v>
      </c>
    </row>
    <row r="617" spans="1:9">
      <c r="A617" s="4" t="s">
        <v>1298</v>
      </c>
      <c r="B617" s="4" t="s">
        <v>1299</v>
      </c>
      <c r="C617" s="4" t="s">
        <v>41</v>
      </c>
      <c r="D617" s="2">
        <f>1620773888/(10^6)</f>
        <v>1620.773888</v>
      </c>
      <c r="E617" s="5">
        <v>12.4734420776367</v>
      </c>
      <c r="F617" s="5">
        <v>0.719997107982635</v>
      </c>
      <c r="G617" s="5">
        <v>9.31247997283936</v>
      </c>
      <c r="H617" s="5">
        <v>21.1710205078125</v>
      </c>
      <c r="I617" t="s">
        <v>3</v>
      </c>
    </row>
    <row r="618" spans="1:9">
      <c r="A618" s="4" t="s">
        <v>1300</v>
      </c>
      <c r="B618" s="4" t="s">
        <v>1301</v>
      </c>
      <c r="C618" s="4" t="s">
        <v>33</v>
      </c>
      <c r="D618" s="2">
        <f>1578163328/(10^6)</f>
        <v>1578.163328</v>
      </c>
      <c r="E618" s="5">
        <v>12.9126214981079</v>
      </c>
      <c r="F618" s="5">
        <v>7.23774099349976</v>
      </c>
      <c r="G618" s="5">
        <v>0.987914800643921</v>
      </c>
      <c r="H618" s="5">
        <v>5.8635458946228</v>
      </c>
      <c r="I618" t="s">
        <v>3</v>
      </c>
    </row>
    <row r="619" spans="1:9">
      <c r="A619" s="4" t="s">
        <v>1302</v>
      </c>
      <c r="B619" s="4" t="s">
        <v>1303</v>
      </c>
      <c r="C619" s="4" t="s">
        <v>31</v>
      </c>
      <c r="D619" s="2">
        <f>1556269440/(10^6)</f>
        <v>1556.26944</v>
      </c>
      <c r="E619" s="5">
        <v>10.2464790344238</v>
      </c>
      <c r="F619" s="5">
        <v>0.538935720920563</v>
      </c>
      <c r="G619" s="5">
        <v>0.630334317684174</v>
      </c>
      <c r="H619" s="5">
        <v>6.05735301971435</v>
      </c>
      <c r="I619" t="s">
        <v>3</v>
      </c>
    </row>
    <row r="620" spans="1:9">
      <c r="A620" s="4" t="s">
        <v>1304</v>
      </c>
      <c r="B620" s="4" t="s">
        <v>1305</v>
      </c>
      <c r="C620" s="4" t="s">
        <v>45</v>
      </c>
      <c r="D620" s="2">
        <f>1499363584/(10^6)</f>
        <v>1499.363584</v>
      </c>
      <c r="E620" s="5">
        <v>11.7004680633545</v>
      </c>
      <c r="F620" s="5">
        <v>0.707948565483093</v>
      </c>
      <c r="G620" s="5">
        <v>8.27275848388672</v>
      </c>
      <c r="H620" s="5">
        <v>17.1412105560303</v>
      </c>
      <c r="I620" t="s">
        <v>3</v>
      </c>
    </row>
    <row r="621" spans="1:9">
      <c r="A621" s="4" t="s">
        <v>1306</v>
      </c>
      <c r="B621" s="4" t="s">
        <v>1307</v>
      </c>
      <c r="C621" s="4" t="s">
        <v>49</v>
      </c>
      <c r="D621" s="2">
        <f>1497577856/(10^6)</f>
        <v>1497.577856</v>
      </c>
      <c r="E621" s="3" t="s">
        <v>86</v>
      </c>
      <c r="F621" s="3" t="s">
        <v>86</v>
      </c>
      <c r="G621" s="3" t="s">
        <v>86</v>
      </c>
      <c r="H621" s="3" t="s">
        <v>86</v>
      </c>
      <c r="I621" t="s">
        <v>3</v>
      </c>
    </row>
    <row r="622" spans="1:9">
      <c r="A622" s="4" t="s">
        <v>1308</v>
      </c>
      <c r="B622" s="4" t="s">
        <v>1309</v>
      </c>
      <c r="C622" s="4" t="s">
        <v>39</v>
      </c>
      <c r="D622" s="2">
        <f>1489188480/(10^6)</f>
        <v>1489.18848</v>
      </c>
      <c r="E622" s="5">
        <v>60.1449241638184</v>
      </c>
      <c r="F622" s="5">
        <v>1.27676582336426</v>
      </c>
      <c r="G622" s="5">
        <v>1.24738121032715</v>
      </c>
      <c r="H622" s="5">
        <v>12.5149717330933</v>
      </c>
      <c r="I622" t="s">
        <v>3</v>
      </c>
    </row>
    <row r="623" spans="1:9">
      <c r="A623" s="4" t="s">
        <v>1310</v>
      </c>
      <c r="B623" s="4" t="s">
        <v>1311</v>
      </c>
      <c r="C623" s="4" t="s">
        <v>35</v>
      </c>
      <c r="D623" s="2">
        <f>1421140736/(10^6)</f>
        <v>1421.140736</v>
      </c>
      <c r="E623" s="5">
        <v>13.4610786437988</v>
      </c>
      <c r="F623" s="5">
        <v>1.3088276386261</v>
      </c>
      <c r="G623" s="5">
        <v>2.22288513183594</v>
      </c>
      <c r="H623" s="5">
        <v>8.11307430267334</v>
      </c>
      <c r="I623" t="s">
        <v>3</v>
      </c>
    </row>
    <row r="624" spans="1:9">
      <c r="A624" s="4" t="s">
        <v>1312</v>
      </c>
      <c r="B624" s="4" t="s">
        <v>1313</v>
      </c>
      <c r="C624" s="4" t="s">
        <v>31</v>
      </c>
      <c r="D624" s="2">
        <f>1383200256/(10^6)</f>
        <v>1383.200256</v>
      </c>
      <c r="E624" s="5">
        <v>9.85337257385254</v>
      </c>
      <c r="F624" s="5">
        <v>1.21765327453613</v>
      </c>
      <c r="G624" s="5">
        <v>1.84587597846985</v>
      </c>
      <c r="H624" s="5">
        <v>11.2324113845825</v>
      </c>
      <c r="I624" t="s">
        <v>3</v>
      </c>
    </row>
    <row r="625" spans="1:9">
      <c r="A625" s="4" t="s">
        <v>1314</v>
      </c>
      <c r="B625" s="4" t="s">
        <v>1291</v>
      </c>
      <c r="C625" s="4" t="s">
        <v>45</v>
      </c>
      <c r="D625" s="2">
        <f>1380565120/(10^6)</f>
        <v>1380.56512</v>
      </c>
      <c r="E625" s="5">
        <v>9.14285182952881</v>
      </c>
      <c r="F625" s="5">
        <v>0.984161496162415</v>
      </c>
      <c r="G625" s="5">
        <v>8.49724960327148</v>
      </c>
      <c r="H625" s="3" t="s">
        <v>86</v>
      </c>
      <c r="I625" t="s">
        <v>3</v>
      </c>
    </row>
    <row r="626" spans="1:9">
      <c r="A626" s="4" t="s">
        <v>1315</v>
      </c>
      <c r="B626" s="4" t="s">
        <v>1316</v>
      </c>
      <c r="C626" s="4" t="s">
        <v>45</v>
      </c>
      <c r="D626" s="2">
        <f>1327888256/(10^6)</f>
        <v>1327.888256</v>
      </c>
      <c r="E626" s="5">
        <v>2.82560420036316</v>
      </c>
      <c r="F626" s="5">
        <v>0.335173159837723</v>
      </c>
      <c r="G626" s="5">
        <v>0.507199466228485</v>
      </c>
      <c r="H626" s="5">
        <v>5.82900476455688</v>
      </c>
      <c r="I626" t="s">
        <v>3</v>
      </c>
    </row>
    <row r="627" spans="1:9">
      <c r="A627" s="4" t="s">
        <v>1317</v>
      </c>
      <c r="B627" s="4" t="s">
        <v>1318</v>
      </c>
      <c r="C627" s="4" t="s">
        <v>35</v>
      </c>
      <c r="D627" s="2">
        <f>1301958400/(10^6)</f>
        <v>1301.9584</v>
      </c>
      <c r="E627" s="5">
        <v>11.5640630722046</v>
      </c>
      <c r="F627" s="5">
        <v>0.611372709274292</v>
      </c>
      <c r="G627" s="5">
        <v>0.918157815933228</v>
      </c>
      <c r="H627" s="5">
        <v>11.3131637573242</v>
      </c>
      <c r="I627" t="s">
        <v>3</v>
      </c>
    </row>
    <row r="628" spans="1:9">
      <c r="A628" s="4" t="s">
        <v>1319</v>
      </c>
      <c r="B628" s="4" t="s">
        <v>1320</v>
      </c>
      <c r="C628" s="4" t="s">
        <v>45</v>
      </c>
      <c r="D628" s="2">
        <f>1290219008/(10^6)</f>
        <v>1290.219008</v>
      </c>
      <c r="E628" s="5">
        <v>14.4607849121094</v>
      </c>
      <c r="F628" s="5">
        <v>1.51014018058777</v>
      </c>
      <c r="G628" s="5">
        <v>15.4897928237915</v>
      </c>
      <c r="H628" s="3" t="s">
        <v>86</v>
      </c>
      <c r="I628" t="s">
        <v>3</v>
      </c>
    </row>
    <row r="629" spans="1:9">
      <c r="A629" s="4" t="s">
        <v>1321</v>
      </c>
      <c r="B629" s="4" t="s">
        <v>1322</v>
      </c>
      <c r="C629" s="4" t="s">
        <v>35</v>
      </c>
      <c r="D629" s="2">
        <f>1282117504/(10^6)</f>
        <v>1282.117504</v>
      </c>
      <c r="E629" s="5">
        <v>6.36895656585693</v>
      </c>
      <c r="F629" s="5">
        <v>0.282471686601639</v>
      </c>
      <c r="G629" s="5">
        <v>0.191676884889603</v>
      </c>
      <c r="H629" s="5">
        <v>8.46436977386475</v>
      </c>
      <c r="I629" t="s">
        <v>3</v>
      </c>
    </row>
    <row r="630" spans="1:9">
      <c r="A630" s="4" t="s">
        <v>1323</v>
      </c>
      <c r="B630" s="4" t="s">
        <v>1324</v>
      </c>
      <c r="C630" s="4" t="s">
        <v>45</v>
      </c>
      <c r="D630" s="2">
        <f>1267256320/(10^6)</f>
        <v>1267.25632</v>
      </c>
      <c r="E630" s="5">
        <v>11.7543859481812</v>
      </c>
      <c r="F630" s="5">
        <v>0.544378221035004</v>
      </c>
      <c r="G630" s="5">
        <v>4.35602378845215</v>
      </c>
      <c r="H630" s="5">
        <v>24.9499626159668</v>
      </c>
      <c r="I630" t="s">
        <v>3</v>
      </c>
    </row>
    <row r="631" spans="1:9">
      <c r="A631" s="4" t="s">
        <v>1325</v>
      </c>
      <c r="B631" s="4" t="s">
        <v>1326</v>
      </c>
      <c r="C631" s="4" t="s">
        <v>35</v>
      </c>
      <c r="D631" s="2">
        <f>1234050048/(10^6)</f>
        <v>1234.050048</v>
      </c>
      <c r="E631" s="5">
        <v>22.9702968597412</v>
      </c>
      <c r="F631" s="5">
        <v>5.56774139404297</v>
      </c>
      <c r="G631" s="5">
        <v>1.75943648815155</v>
      </c>
      <c r="H631" s="5">
        <v>12.9591264724731</v>
      </c>
      <c r="I631" t="s">
        <v>3</v>
      </c>
    </row>
    <row r="632" spans="1:9">
      <c r="A632" s="4" t="s">
        <v>1327</v>
      </c>
      <c r="B632" s="4" t="s">
        <v>1328</v>
      </c>
      <c r="C632" s="4" t="s">
        <v>45</v>
      </c>
      <c r="D632" s="2">
        <f>1179079552/(10^6)</f>
        <v>1179.079552</v>
      </c>
      <c r="E632" s="5">
        <v>20.652759552002</v>
      </c>
      <c r="F632" s="5">
        <v>0.869157433509827</v>
      </c>
      <c r="G632" s="5">
        <v>5.45940399169922</v>
      </c>
      <c r="H632" s="5">
        <v>20.3955326080322</v>
      </c>
      <c r="I632" t="s">
        <v>3</v>
      </c>
    </row>
    <row r="633" spans="1:9">
      <c r="A633" s="4" t="s">
        <v>1329</v>
      </c>
      <c r="B633" s="4" t="s">
        <v>1330</v>
      </c>
      <c r="C633" s="4" t="s">
        <v>41</v>
      </c>
      <c r="D633" s="2">
        <f>1154506112/(10^6)</f>
        <v>1154.506112</v>
      </c>
      <c r="E633" s="5">
        <v>5.06615257263184</v>
      </c>
      <c r="F633" s="5">
        <v>0.592126488685608</v>
      </c>
      <c r="G633" s="5">
        <v>0.450039744377136</v>
      </c>
      <c r="H633" s="3" t="s">
        <v>86</v>
      </c>
      <c r="I633" t="s">
        <v>3</v>
      </c>
    </row>
    <row r="634" spans="1:9">
      <c r="A634" s="4" t="s">
        <v>1331</v>
      </c>
      <c r="B634" s="4" t="s">
        <v>1332</v>
      </c>
      <c r="C634" s="4" t="s">
        <v>45</v>
      </c>
      <c r="D634" s="2">
        <f>1112322304/(10^6)</f>
        <v>1112.322304</v>
      </c>
      <c r="E634" s="5">
        <v>5.22902297973633</v>
      </c>
      <c r="F634" s="5">
        <v>0.350842237472534</v>
      </c>
      <c r="G634" s="5">
        <v>1.20496559143066</v>
      </c>
      <c r="H634" s="5">
        <v>15.2564277648926</v>
      </c>
      <c r="I634" t="s">
        <v>3</v>
      </c>
    </row>
    <row r="635" spans="1:9">
      <c r="A635" s="4" t="s">
        <v>1333</v>
      </c>
      <c r="B635" s="4" t="s">
        <v>1334</v>
      </c>
      <c r="C635" s="4" t="s">
        <v>49</v>
      </c>
      <c r="D635" s="2">
        <f>1077696128/(10^6)</f>
        <v>1077.696128</v>
      </c>
      <c r="E635" s="3" t="s">
        <v>86</v>
      </c>
      <c r="F635" s="3" t="s">
        <v>86</v>
      </c>
      <c r="G635" s="3" t="s">
        <v>86</v>
      </c>
      <c r="H635" s="3" t="s">
        <v>86</v>
      </c>
      <c r="I635" t="s">
        <v>3</v>
      </c>
    </row>
    <row r="636" spans="1:9">
      <c r="A636" s="4" t="s">
        <v>1335</v>
      </c>
      <c r="B636" s="4" t="s">
        <v>1334</v>
      </c>
      <c r="C636" s="4" t="s">
        <v>49</v>
      </c>
      <c r="D636" s="2">
        <f>1063414208/(10^6)</f>
        <v>1063.414208</v>
      </c>
      <c r="E636" s="3" t="s">
        <v>86</v>
      </c>
      <c r="F636" s="3" t="s">
        <v>86</v>
      </c>
      <c r="G636" s="3" t="s">
        <v>86</v>
      </c>
      <c r="H636" s="3" t="s">
        <v>86</v>
      </c>
      <c r="I636" t="s">
        <v>3</v>
      </c>
    </row>
    <row r="637" spans="1:9">
      <c r="A637" s="4" t="s">
        <v>1336</v>
      </c>
      <c r="B637" s="4" t="s">
        <v>1337</v>
      </c>
      <c r="C637" s="4" t="s">
        <v>45</v>
      </c>
      <c r="D637" s="2">
        <f>1034476544/(10^6)</f>
        <v>1034.476544</v>
      </c>
      <c r="E637" s="5">
        <v>7.28260898590088</v>
      </c>
      <c r="F637" s="5">
        <v>0.6492600440979</v>
      </c>
      <c r="G637" s="5">
        <v>4.4877290725708</v>
      </c>
      <c r="H637" s="5">
        <v>16.6408824920654</v>
      </c>
      <c r="I637" t="s">
        <v>3</v>
      </c>
    </row>
    <row r="638" spans="1:9">
      <c r="A638" s="4" t="s">
        <v>1338</v>
      </c>
      <c r="B638" s="4" t="s">
        <v>1337</v>
      </c>
      <c r="C638" s="4" t="s">
        <v>45</v>
      </c>
      <c r="D638" s="2">
        <f>1031039104/(10^6)</f>
        <v>1031.039104</v>
      </c>
      <c r="E638" s="5">
        <v>7.28260898590088</v>
      </c>
      <c r="F638" s="5">
        <v>0.6492600440979</v>
      </c>
      <c r="G638" s="5">
        <v>4.4877290725708</v>
      </c>
      <c r="H638" s="5">
        <v>16.6408824920654</v>
      </c>
      <c r="I638" t="s">
        <v>3</v>
      </c>
    </row>
    <row r="639" spans="1:9">
      <c r="A639" s="4" t="s">
        <v>1339</v>
      </c>
      <c r="B639" s="4" t="s">
        <v>1340</v>
      </c>
      <c r="C639" s="4" t="s">
        <v>47</v>
      </c>
      <c r="D639" s="2">
        <f>1030620352/(10^6)</f>
        <v>1030.620352</v>
      </c>
      <c r="E639" s="5">
        <v>24.2182502746582</v>
      </c>
      <c r="F639" s="5">
        <v>0.72447806596756</v>
      </c>
      <c r="G639" s="5">
        <v>2.43909668922424</v>
      </c>
      <c r="H639" s="5">
        <v>20.6151733398438</v>
      </c>
      <c r="I639" t="s">
        <v>3</v>
      </c>
    </row>
    <row r="640" spans="1:9">
      <c r="A640" s="4" t="s">
        <v>1341</v>
      </c>
      <c r="B640" s="4" t="s">
        <v>1342</v>
      </c>
      <c r="C640" s="4" t="s">
        <v>31</v>
      </c>
      <c r="D640" s="2">
        <f>1025973568/(10^6)</f>
        <v>1025.973568</v>
      </c>
      <c r="E640" s="3" t="s">
        <v>86</v>
      </c>
      <c r="F640" s="5">
        <v>1.13996040821075</v>
      </c>
      <c r="G640" s="5">
        <v>1.03167569637299</v>
      </c>
      <c r="H640" s="5">
        <v>10.0719118118286</v>
      </c>
      <c r="I640" t="s">
        <v>3</v>
      </c>
    </row>
    <row r="641" spans="1:9">
      <c r="A641" s="4" t="s">
        <v>1343</v>
      </c>
      <c r="B641" s="4" t="s">
        <v>1344</v>
      </c>
      <c r="C641" s="4" t="s">
        <v>31</v>
      </c>
      <c r="D641" s="2">
        <f>1019974720/(10^6)</f>
        <v>1019.97472</v>
      </c>
      <c r="E641" s="3" t="s">
        <v>86</v>
      </c>
      <c r="F641" s="5">
        <v>0.634848594665527</v>
      </c>
      <c r="G641" s="5">
        <v>0.478350311517715</v>
      </c>
      <c r="H641" s="5">
        <v>59.3849716186523</v>
      </c>
      <c r="I641" t="s">
        <v>3</v>
      </c>
    </row>
    <row r="642" spans="1:9">
      <c r="A642" s="4" t="s">
        <v>1345</v>
      </c>
      <c r="B642" s="4" t="s">
        <v>1346</v>
      </c>
      <c r="C642" s="4" t="s">
        <v>45</v>
      </c>
      <c r="D642" s="2">
        <f>1013256256/(10^6)</f>
        <v>1013.256256</v>
      </c>
      <c r="E642" s="5">
        <v>7.66944026947021</v>
      </c>
      <c r="F642" s="5">
        <v>0.770891189575195</v>
      </c>
      <c r="G642" s="5">
        <v>5.11467409133911</v>
      </c>
      <c r="H642" s="5">
        <v>16.8981475830078</v>
      </c>
      <c r="I642" t="s">
        <v>3</v>
      </c>
    </row>
    <row r="643" spans="1:9">
      <c r="A643" s="4" t="s">
        <v>1347</v>
      </c>
      <c r="B643" s="4" t="s">
        <v>1348</v>
      </c>
      <c r="C643" s="4" t="s">
        <v>41</v>
      </c>
      <c r="D643" s="2">
        <f>1000657472/(10^6)</f>
        <v>1000.657472</v>
      </c>
      <c r="E643" s="5">
        <v>22.7054023742676</v>
      </c>
      <c r="F643" s="5">
        <v>1.64115083217621</v>
      </c>
      <c r="G643" s="5">
        <v>2.6228301525116</v>
      </c>
      <c r="H643" s="5">
        <v>14.1418619155884</v>
      </c>
      <c r="I643" t="s">
        <v>3</v>
      </c>
    </row>
    <row r="644" spans="1:9">
      <c r="A644" s="4" t="s">
        <v>1349</v>
      </c>
      <c r="B644" s="4" t="s">
        <v>1350</v>
      </c>
      <c r="C644" s="4" t="s">
        <v>45</v>
      </c>
      <c r="D644" s="2">
        <f>964307264/(10^6)</f>
        <v>964.307264</v>
      </c>
      <c r="E644" s="5">
        <v>3.78234910964966</v>
      </c>
      <c r="F644" s="5">
        <v>1.04702126979828</v>
      </c>
      <c r="G644" s="5">
        <v>6.06457138061523</v>
      </c>
      <c r="H644" s="5">
        <v>16.5593719482422</v>
      </c>
      <c r="I644" t="s">
        <v>3</v>
      </c>
    </row>
    <row r="645" spans="1:9">
      <c r="A645" s="4" t="s">
        <v>1351</v>
      </c>
      <c r="B645" s="4" t="s">
        <v>1352</v>
      </c>
      <c r="C645" s="4" t="s">
        <v>31</v>
      </c>
      <c r="D645" s="2">
        <f>959412736/(10^6)</f>
        <v>959.412736</v>
      </c>
      <c r="E645" s="5">
        <v>13.4126682281494</v>
      </c>
      <c r="F645" s="5">
        <v>0.27434766292572</v>
      </c>
      <c r="G645" s="5">
        <v>0.637730896472931</v>
      </c>
      <c r="H645" s="5">
        <v>7.7806544303894</v>
      </c>
      <c r="I645" t="s">
        <v>3</v>
      </c>
    </row>
    <row r="646" spans="1:9">
      <c r="A646" s="4" t="s">
        <v>1353</v>
      </c>
      <c r="B646" s="4" t="s">
        <v>1352</v>
      </c>
      <c r="C646" s="4" t="s">
        <v>31</v>
      </c>
      <c r="D646" s="2">
        <f>958221120/(10^6)</f>
        <v>958.22112</v>
      </c>
      <c r="E646" s="5">
        <v>13.4126682281494</v>
      </c>
      <c r="F646" s="5">
        <v>0.27434766292572</v>
      </c>
      <c r="G646" s="5">
        <v>0.637730896472931</v>
      </c>
      <c r="H646" s="5">
        <v>7.7806544303894</v>
      </c>
      <c r="I646" t="s">
        <v>3</v>
      </c>
    </row>
    <row r="647" spans="1:9">
      <c r="A647" s="4" t="s">
        <v>1354</v>
      </c>
      <c r="B647" s="4" t="s">
        <v>1355</v>
      </c>
      <c r="C647" s="4" t="s">
        <v>45</v>
      </c>
      <c r="D647" s="2">
        <f>947329472/(10^6)</f>
        <v>947.329472</v>
      </c>
      <c r="E647" s="5">
        <v>4.00400400161743</v>
      </c>
      <c r="F647" s="5">
        <v>0.375767081975937</v>
      </c>
      <c r="G647" s="5">
        <v>6.26299571990967</v>
      </c>
      <c r="H647" s="5">
        <v>8.78467750549316</v>
      </c>
      <c r="I647" t="s">
        <v>3</v>
      </c>
    </row>
    <row r="648" spans="1:9">
      <c r="A648" s="4" t="s">
        <v>1356</v>
      </c>
      <c r="B648" s="4" t="s">
        <v>1357</v>
      </c>
      <c r="C648" s="4" t="s">
        <v>45</v>
      </c>
      <c r="D648" s="2">
        <f>857361856/(10^6)</f>
        <v>857.361856</v>
      </c>
      <c r="E648" s="5">
        <v>23.6802425384521</v>
      </c>
      <c r="F648" s="5">
        <v>0.34497594833374</v>
      </c>
      <c r="G648" s="5">
        <v>3.93709683418274</v>
      </c>
      <c r="H648" s="5">
        <v>33.8371734619141</v>
      </c>
      <c r="I648" t="s">
        <v>3</v>
      </c>
    </row>
    <row r="649" spans="1:9">
      <c r="A649" s="4" t="s">
        <v>1358</v>
      </c>
      <c r="B649" s="4" t="s">
        <v>1359</v>
      </c>
      <c r="C649" s="4" t="s">
        <v>41</v>
      </c>
      <c r="D649" s="2">
        <f>853235136/(10^6)</f>
        <v>853.235136</v>
      </c>
      <c r="E649" s="3" t="s">
        <v>86</v>
      </c>
      <c r="F649" s="5">
        <v>2.05179643630981</v>
      </c>
      <c r="G649" s="5">
        <v>5.16055059432983</v>
      </c>
      <c r="H649" s="5">
        <v>30.9805946350098</v>
      </c>
      <c r="I649" t="s">
        <v>3</v>
      </c>
    </row>
    <row r="650" spans="1:9">
      <c r="A650" s="4" t="s">
        <v>1360</v>
      </c>
      <c r="B650" s="4" t="s">
        <v>1361</v>
      </c>
      <c r="C650" s="4" t="s">
        <v>45</v>
      </c>
      <c r="D650" s="2">
        <f>787047616/(10^6)</f>
        <v>787.047616</v>
      </c>
      <c r="E650" s="5">
        <v>242.643569946289</v>
      </c>
      <c r="F650" s="5">
        <v>0.68194055557251</v>
      </c>
      <c r="G650" s="5">
        <v>3.82294416427612</v>
      </c>
      <c r="H650" s="3" t="s">
        <v>86</v>
      </c>
      <c r="I650" t="s">
        <v>3</v>
      </c>
    </row>
    <row r="651" spans="1:9">
      <c r="A651" s="4" t="s">
        <v>1362</v>
      </c>
      <c r="B651" s="4" t="s">
        <v>1363</v>
      </c>
      <c r="C651" s="4" t="s">
        <v>45</v>
      </c>
      <c r="D651" s="2">
        <f>757332480/(10^6)</f>
        <v>757.33248</v>
      </c>
      <c r="E651" s="5">
        <v>7.17761516571045</v>
      </c>
      <c r="F651" s="5">
        <v>0.720694243907928</v>
      </c>
      <c r="G651" s="5">
        <v>8.14242267608643</v>
      </c>
      <c r="H651" s="5">
        <v>22.7569847106934</v>
      </c>
      <c r="I651" t="s">
        <v>3</v>
      </c>
    </row>
    <row r="652" spans="1:9">
      <c r="A652" s="4" t="s">
        <v>1364</v>
      </c>
      <c r="B652" s="4" t="s">
        <v>1365</v>
      </c>
      <c r="C652" s="4" t="s">
        <v>45</v>
      </c>
      <c r="D652" s="2">
        <f>708350848/(10^6)</f>
        <v>708.350848</v>
      </c>
      <c r="E652" s="5">
        <v>12.4876766204834</v>
      </c>
      <c r="F652" s="5">
        <v>0.735413253307343</v>
      </c>
      <c r="G652" s="5">
        <v>2.78248858451843</v>
      </c>
      <c r="H652" s="5">
        <v>9.42551136016846</v>
      </c>
      <c r="I652" t="s">
        <v>3</v>
      </c>
    </row>
    <row r="653" spans="1:9">
      <c r="A653" s="4" t="s">
        <v>1366</v>
      </c>
      <c r="B653" s="4" t="s">
        <v>1367</v>
      </c>
      <c r="C653" s="4" t="s">
        <v>45</v>
      </c>
      <c r="D653" s="2">
        <f>676754112/(10^6)</f>
        <v>676.754112</v>
      </c>
      <c r="E653" s="5">
        <v>8.22580623626709</v>
      </c>
      <c r="F653" s="5">
        <v>0.501961946487427</v>
      </c>
      <c r="G653" s="5">
        <v>4.70685195922852</v>
      </c>
      <c r="H653" s="5">
        <v>19.4887790679932</v>
      </c>
      <c r="I653" t="s">
        <v>3</v>
      </c>
    </row>
    <row r="654" spans="1:9">
      <c r="A654" s="4" t="s">
        <v>1368</v>
      </c>
      <c r="B654" s="4" t="s">
        <v>1369</v>
      </c>
      <c r="C654" s="4" t="s">
        <v>45</v>
      </c>
      <c r="D654" s="2">
        <f>667874304/(10^6)</f>
        <v>667.874304</v>
      </c>
      <c r="E654" s="3" t="s">
        <v>86</v>
      </c>
      <c r="F654" s="5">
        <v>0.66126960515976</v>
      </c>
      <c r="G654" s="3" t="s">
        <v>86</v>
      </c>
      <c r="H654" s="3" t="s">
        <v>86</v>
      </c>
      <c r="I654" t="s">
        <v>3</v>
      </c>
    </row>
    <row r="655" spans="1:9">
      <c r="A655" s="4" t="s">
        <v>1370</v>
      </c>
      <c r="B655" s="4" t="s">
        <v>1371</v>
      </c>
      <c r="C655" s="4" t="s">
        <v>45</v>
      </c>
      <c r="D655" s="2">
        <f>667346048/(10^6)</f>
        <v>667.346048</v>
      </c>
      <c r="E655" s="5">
        <v>14.4781141281128</v>
      </c>
      <c r="F655" s="5">
        <v>0.487786084413528</v>
      </c>
      <c r="G655" s="5">
        <v>4.6942720413208</v>
      </c>
      <c r="H655" s="5">
        <v>15.2322559356689</v>
      </c>
      <c r="I655" t="s">
        <v>3</v>
      </c>
    </row>
    <row r="656" spans="1:9">
      <c r="A656" s="4" t="s">
        <v>1372</v>
      </c>
      <c r="B656" s="4" t="s">
        <v>1373</v>
      </c>
      <c r="C656" s="4" t="s">
        <v>43</v>
      </c>
      <c r="D656" s="2">
        <f>664216384/(10^6)</f>
        <v>664.216384</v>
      </c>
      <c r="E656" s="5">
        <v>9.13665103912354</v>
      </c>
      <c r="F656" s="5">
        <v>0.49329200387001</v>
      </c>
      <c r="G656" s="5">
        <v>2.29542684555054</v>
      </c>
      <c r="H656" s="3" t="s">
        <v>86</v>
      </c>
      <c r="I656" t="s">
        <v>3</v>
      </c>
    </row>
    <row r="657" spans="1:9">
      <c r="A657" s="4" t="s">
        <v>1374</v>
      </c>
      <c r="B657" s="4" t="s">
        <v>1375</v>
      </c>
      <c r="C657" s="4" t="s">
        <v>43</v>
      </c>
      <c r="D657" s="2">
        <f>662877696/(10^6)</f>
        <v>662.877696</v>
      </c>
      <c r="E657" s="5">
        <v>13.4275617599487</v>
      </c>
      <c r="F657" s="5">
        <v>0.62226527929306</v>
      </c>
      <c r="G657" s="5">
        <v>2.43954634666443</v>
      </c>
      <c r="H657" s="5">
        <v>11.5515394210815</v>
      </c>
      <c r="I657" t="s">
        <v>3</v>
      </c>
    </row>
    <row r="658" spans="1:9">
      <c r="A658" s="4" t="s">
        <v>1376</v>
      </c>
      <c r="B658" s="4" t="s">
        <v>1377</v>
      </c>
      <c r="C658" s="4" t="s">
        <v>49</v>
      </c>
      <c r="D658" s="2">
        <f>661642560/(10^6)</f>
        <v>661.64256</v>
      </c>
      <c r="E658" s="3" t="s">
        <v>86</v>
      </c>
      <c r="F658" s="3" t="s">
        <v>86</v>
      </c>
      <c r="G658" s="3" t="s">
        <v>86</v>
      </c>
      <c r="H658" s="3" t="s">
        <v>86</v>
      </c>
      <c r="I658" t="s">
        <v>3</v>
      </c>
    </row>
    <row r="659" spans="1:9">
      <c r="A659" s="4" t="s">
        <v>1378</v>
      </c>
      <c r="B659" s="4" t="s">
        <v>1379</v>
      </c>
      <c r="C659" s="4" t="s">
        <v>45</v>
      </c>
      <c r="D659" s="2">
        <f>657393536/(10^6)</f>
        <v>657.393536</v>
      </c>
      <c r="E659" s="5">
        <v>3.56837487220764</v>
      </c>
      <c r="F659" s="5">
        <v>0.2235367000103</v>
      </c>
      <c r="G659" s="5">
        <v>0.978185474872589</v>
      </c>
      <c r="H659" s="5">
        <v>30.5433006286621</v>
      </c>
      <c r="I659" t="s">
        <v>3</v>
      </c>
    </row>
    <row r="660" spans="1:9">
      <c r="A660" s="4" t="s">
        <v>1380</v>
      </c>
      <c r="B660" s="4" t="s">
        <v>1381</v>
      </c>
      <c r="C660" s="4" t="s">
        <v>45</v>
      </c>
      <c r="D660" s="2">
        <f>640669312/(10^6)</f>
        <v>640.669312</v>
      </c>
      <c r="E660" s="5">
        <v>5.41825103759766</v>
      </c>
      <c r="F660" s="5">
        <v>0.577880263328552</v>
      </c>
      <c r="G660" s="5">
        <v>2.7417950630188</v>
      </c>
      <c r="H660" s="5">
        <v>7.98577260971069</v>
      </c>
      <c r="I660" t="s">
        <v>3</v>
      </c>
    </row>
    <row r="661" spans="1:9">
      <c r="A661" s="4" t="s">
        <v>1382</v>
      </c>
      <c r="B661" s="4" t="s">
        <v>1383</v>
      </c>
      <c r="C661" s="4" t="s">
        <v>45</v>
      </c>
      <c r="D661" s="2">
        <f>620283968/(10^6)</f>
        <v>620.283968</v>
      </c>
      <c r="E661" s="5">
        <v>8.05964183807373</v>
      </c>
      <c r="F661" s="5">
        <v>0.590918779373169</v>
      </c>
      <c r="G661" s="5">
        <v>1.10199522972107</v>
      </c>
      <c r="H661" s="3" t="s">
        <v>86</v>
      </c>
      <c r="I661" t="s">
        <v>3</v>
      </c>
    </row>
    <row r="662" spans="1:9">
      <c r="A662" s="4" t="s">
        <v>1384</v>
      </c>
      <c r="B662" s="4" t="s">
        <v>1385</v>
      </c>
      <c r="C662" s="4" t="s">
        <v>31</v>
      </c>
      <c r="D662" s="2">
        <f>601459520/(10^6)</f>
        <v>601.45952</v>
      </c>
      <c r="E662" s="5">
        <v>10.2017726898193</v>
      </c>
      <c r="F662" s="5">
        <v>1.57489359378815</v>
      </c>
      <c r="G662" s="5">
        <v>0.573901474475861</v>
      </c>
      <c r="H662" s="5">
        <v>4.74134016036987</v>
      </c>
      <c r="I662" t="s">
        <v>3</v>
      </c>
    </row>
    <row r="663" spans="1:9">
      <c r="A663" s="4" t="s">
        <v>1386</v>
      </c>
      <c r="B663" s="4" t="s">
        <v>1387</v>
      </c>
      <c r="C663" s="4" t="s">
        <v>35</v>
      </c>
      <c r="D663" s="2">
        <f>596541696/(10^6)</f>
        <v>596.541696</v>
      </c>
      <c r="E663" s="5">
        <v>4.36946678161621</v>
      </c>
      <c r="F663" s="5">
        <v>0.595759093761444</v>
      </c>
      <c r="G663" s="5">
        <v>0.134677544236183</v>
      </c>
      <c r="H663" s="5">
        <v>4.7543363571167</v>
      </c>
      <c r="I663" t="s">
        <v>3</v>
      </c>
    </row>
    <row r="664" spans="1:9">
      <c r="A664" s="4" t="s">
        <v>1388</v>
      </c>
      <c r="B664" s="4" t="s">
        <v>1389</v>
      </c>
      <c r="C664" s="4" t="s">
        <v>49</v>
      </c>
      <c r="D664" s="2">
        <f>575387840/(10^6)</f>
        <v>575.38784</v>
      </c>
      <c r="E664" s="3" t="s">
        <v>86</v>
      </c>
      <c r="F664" s="3" t="s">
        <v>86</v>
      </c>
      <c r="G664" s="3" t="s">
        <v>86</v>
      </c>
      <c r="H664" s="3" t="s">
        <v>86</v>
      </c>
      <c r="I664" t="s">
        <v>3</v>
      </c>
    </row>
    <row r="665" spans="1:9">
      <c r="A665" s="4" t="s">
        <v>1390</v>
      </c>
      <c r="B665" s="4" t="s">
        <v>1391</v>
      </c>
      <c r="C665" s="4" t="s">
        <v>45</v>
      </c>
      <c r="D665" s="2">
        <f>565010176/(10^6)</f>
        <v>565.010176</v>
      </c>
      <c r="E665" s="5">
        <v>9.84682655334473</v>
      </c>
      <c r="F665" s="5">
        <v>0.567983210086823</v>
      </c>
      <c r="G665" s="5">
        <v>13.5072727203369</v>
      </c>
      <c r="H665" s="5">
        <v>20.978536605835</v>
      </c>
      <c r="I665" t="s">
        <v>3</v>
      </c>
    </row>
    <row r="666" spans="1:9">
      <c r="A666" s="4" t="s">
        <v>1392</v>
      </c>
      <c r="B666" s="4" t="s">
        <v>1393</v>
      </c>
      <c r="C666" s="4" t="s">
        <v>45</v>
      </c>
      <c r="D666" s="2">
        <f>552813440/(10^6)</f>
        <v>552.81344</v>
      </c>
      <c r="E666" s="5">
        <v>12.3417711257935</v>
      </c>
      <c r="F666" s="5">
        <v>0.452555865049362</v>
      </c>
      <c r="G666" s="5">
        <v>6.43766164779663</v>
      </c>
      <c r="H666" s="3" t="s">
        <v>86</v>
      </c>
      <c r="I666" t="s">
        <v>3</v>
      </c>
    </row>
    <row r="667" spans="1:9">
      <c r="A667" s="4" t="s">
        <v>1394</v>
      </c>
      <c r="B667" s="4" t="s">
        <v>1395</v>
      </c>
      <c r="C667" s="4" t="s">
        <v>43</v>
      </c>
      <c r="D667" s="2">
        <f>548021248/(10^6)</f>
        <v>548.021248</v>
      </c>
      <c r="E667" s="5">
        <v>23.5948429107666</v>
      </c>
      <c r="F667" s="5">
        <v>0.700203061103821</v>
      </c>
      <c r="G667" s="5">
        <v>42.3088569641113</v>
      </c>
      <c r="H667" s="5">
        <v>93.434700012207</v>
      </c>
      <c r="I667" t="s">
        <v>3</v>
      </c>
    </row>
    <row r="668" spans="1:9">
      <c r="A668" s="4" t="s">
        <v>1396</v>
      </c>
      <c r="B668" s="4" t="s">
        <v>1397</v>
      </c>
      <c r="C668" s="4" t="s">
        <v>45</v>
      </c>
      <c r="D668" s="2">
        <f>529545728/(10^6)</f>
        <v>529.545728</v>
      </c>
      <c r="E668" s="5">
        <v>9.64762401580811</v>
      </c>
      <c r="F668" s="5">
        <v>0.573219418525696</v>
      </c>
      <c r="G668" s="5">
        <v>2.28585147857666</v>
      </c>
      <c r="H668" s="5">
        <v>7.58046722412109</v>
      </c>
      <c r="I668" t="s">
        <v>3</v>
      </c>
    </row>
    <row r="669" spans="1:9">
      <c r="A669" s="4" t="s">
        <v>1398</v>
      </c>
      <c r="B669" s="4" t="s">
        <v>1399</v>
      </c>
      <c r="C669" s="4" t="s">
        <v>45</v>
      </c>
      <c r="D669" s="2">
        <f>529158144/(10^6)</f>
        <v>529.158144</v>
      </c>
      <c r="E669" s="5">
        <v>14.453125</v>
      </c>
      <c r="F669" s="5">
        <v>0.511569797992706</v>
      </c>
      <c r="G669" s="5">
        <v>4.63589429855347</v>
      </c>
      <c r="H669" s="5">
        <v>16.9586811065674</v>
      </c>
      <c r="I669" t="s">
        <v>3</v>
      </c>
    </row>
    <row r="670" spans="1:9">
      <c r="A670" s="4" t="s">
        <v>1400</v>
      </c>
      <c r="B670" s="4" t="s">
        <v>1401</v>
      </c>
      <c r="C670" s="4" t="s">
        <v>45</v>
      </c>
      <c r="D670" s="2">
        <f>525473376/(10^6)</f>
        <v>525.473376</v>
      </c>
      <c r="E670" s="5">
        <v>9.25925922393799</v>
      </c>
      <c r="F670" s="5">
        <v>0.764276087284088</v>
      </c>
      <c r="G670" s="5">
        <v>6.03587007522583</v>
      </c>
      <c r="H670" s="3" t="s">
        <v>86</v>
      </c>
      <c r="I670" t="s">
        <v>3</v>
      </c>
    </row>
    <row r="671" spans="1:9">
      <c r="A671" s="4" t="s">
        <v>1402</v>
      </c>
      <c r="B671" s="4" t="s">
        <v>1403</v>
      </c>
      <c r="C671" s="4" t="s">
        <v>45</v>
      </c>
      <c r="D671" s="2">
        <f>517142976/(10^6)</f>
        <v>517.142976</v>
      </c>
      <c r="E671" s="5">
        <v>5.93395233154297</v>
      </c>
      <c r="F671" s="5">
        <v>0.644654214382172</v>
      </c>
      <c r="G671" s="5">
        <v>5.81612920761108</v>
      </c>
      <c r="H671" s="3" t="s">
        <v>86</v>
      </c>
      <c r="I671" t="s">
        <v>3</v>
      </c>
    </row>
    <row r="672" spans="1:9">
      <c r="A672" s="4" t="s">
        <v>1404</v>
      </c>
      <c r="B672" s="4" t="s">
        <v>1405</v>
      </c>
      <c r="C672" s="4" t="s">
        <v>27</v>
      </c>
      <c r="D672" s="2">
        <f>500843456/(10^6)</f>
        <v>500.843456</v>
      </c>
      <c r="E672" s="5">
        <v>4.92869997024536</v>
      </c>
      <c r="F672" s="5">
        <v>0.589001655578613</v>
      </c>
      <c r="G672" s="5">
        <v>0.024174429476261</v>
      </c>
      <c r="H672" s="5">
        <v>2.71129584312439</v>
      </c>
      <c r="I672" t="s">
        <v>3</v>
      </c>
    </row>
    <row r="673" spans="1:9">
      <c r="A673" s="4" t="s">
        <v>1406</v>
      </c>
      <c r="B673" s="4" t="s">
        <v>1407</v>
      </c>
      <c r="C673" s="4" t="s">
        <v>47</v>
      </c>
      <c r="D673" s="2">
        <f>494249568/(10^6)</f>
        <v>494.249568</v>
      </c>
      <c r="E673" s="5">
        <v>16.4340476989746</v>
      </c>
      <c r="F673" s="5">
        <v>0.486227601766586</v>
      </c>
      <c r="G673" s="5">
        <v>1.32260715961456</v>
      </c>
      <c r="H673" s="5">
        <v>14.3103656768799</v>
      </c>
      <c r="I673" t="s">
        <v>3</v>
      </c>
    </row>
    <row r="674" spans="1:9">
      <c r="A674" s="4" t="s">
        <v>1408</v>
      </c>
      <c r="B674" s="4" t="s">
        <v>1409</v>
      </c>
      <c r="C674" s="4" t="s">
        <v>35</v>
      </c>
      <c r="D674" s="2">
        <f>480662496/(10^6)</f>
        <v>480.662496</v>
      </c>
      <c r="E674" s="5">
        <v>11.2719087600708</v>
      </c>
      <c r="F674" s="5">
        <v>0.94848096370697</v>
      </c>
      <c r="G674" s="5">
        <v>1.00380706787109</v>
      </c>
      <c r="H674" s="5">
        <v>9.13630104064941</v>
      </c>
      <c r="I674" t="s">
        <v>3</v>
      </c>
    </row>
    <row r="675" spans="1:9">
      <c r="A675" s="4" t="s">
        <v>1410</v>
      </c>
      <c r="B675" s="4" t="s">
        <v>1411</v>
      </c>
      <c r="C675" s="4" t="s">
        <v>47</v>
      </c>
      <c r="D675" s="2">
        <f>479494912/(10^6)</f>
        <v>479.494912</v>
      </c>
      <c r="E675" s="3" t="s">
        <v>86</v>
      </c>
      <c r="F675" s="5">
        <v>0.706894159317017</v>
      </c>
      <c r="G675" s="5">
        <v>0.282810181379318</v>
      </c>
      <c r="H675" s="5">
        <v>17.0737342834473</v>
      </c>
      <c r="I675" t="s">
        <v>3</v>
      </c>
    </row>
    <row r="676" spans="1:9">
      <c r="A676" s="4" t="s">
        <v>1412</v>
      </c>
      <c r="B676" s="4" t="s">
        <v>1413</v>
      </c>
      <c r="C676" s="4" t="s">
        <v>47</v>
      </c>
      <c r="D676" s="2">
        <f>479090304/(10^6)</f>
        <v>479.090304</v>
      </c>
      <c r="E676" s="5">
        <v>25.4267578125</v>
      </c>
      <c r="F676" s="5">
        <v>0.497879564762115</v>
      </c>
      <c r="G676" s="5">
        <v>4.34817361831665</v>
      </c>
      <c r="H676" s="5">
        <v>9.13637447357178</v>
      </c>
      <c r="I676" t="s">
        <v>3</v>
      </c>
    </row>
    <row r="677" spans="1:9">
      <c r="A677" s="4" t="s">
        <v>1414</v>
      </c>
      <c r="B677" s="4" t="s">
        <v>1415</v>
      </c>
      <c r="C677" s="4" t="s">
        <v>45</v>
      </c>
      <c r="D677" s="2">
        <f>471667872/(10^6)</f>
        <v>471.667872</v>
      </c>
      <c r="E677" s="5">
        <v>1.70329666137695</v>
      </c>
      <c r="F677" s="5">
        <v>0.239957019686699</v>
      </c>
      <c r="G677" s="5">
        <v>0.562431752681732</v>
      </c>
      <c r="H677" s="5">
        <v>6.58171081542969</v>
      </c>
      <c r="I677" t="s">
        <v>3</v>
      </c>
    </row>
    <row r="678" spans="1:9">
      <c r="A678" s="4" t="s">
        <v>1416</v>
      </c>
      <c r="B678" s="4" t="s">
        <v>1417</v>
      </c>
      <c r="C678" s="4" t="s">
        <v>41</v>
      </c>
      <c r="D678" s="2">
        <f>470488288/(10^6)</f>
        <v>470.488288</v>
      </c>
      <c r="E678" s="5">
        <v>16.8387260437012</v>
      </c>
      <c r="F678" s="5">
        <v>2.78353047370911</v>
      </c>
      <c r="G678" s="5">
        <v>2.22192311286926</v>
      </c>
      <c r="H678" s="5">
        <v>9.31700897216797</v>
      </c>
      <c r="I678" t="s">
        <v>3</v>
      </c>
    </row>
    <row r="679" spans="1:9">
      <c r="A679" s="4" t="s">
        <v>1418</v>
      </c>
      <c r="B679" s="4" t="s">
        <v>1419</v>
      </c>
      <c r="C679" s="4" t="s">
        <v>39</v>
      </c>
      <c r="D679" s="2">
        <f>469204768/(10^6)</f>
        <v>469.204768</v>
      </c>
      <c r="E679" s="5">
        <v>7.36719751358032</v>
      </c>
      <c r="F679" s="5">
        <v>0.567610800266266</v>
      </c>
      <c r="G679" s="5">
        <v>1.00013852119446</v>
      </c>
      <c r="H679" s="5">
        <v>7.68113040924072</v>
      </c>
      <c r="I679" t="s">
        <v>3</v>
      </c>
    </row>
    <row r="680" spans="1:9">
      <c r="A680" s="4" t="s">
        <v>1420</v>
      </c>
      <c r="B680" s="4" t="s">
        <v>1421</v>
      </c>
      <c r="C680" s="4" t="s">
        <v>51</v>
      </c>
      <c r="D680" s="2">
        <f>468983328/(10^6)</f>
        <v>468.983328</v>
      </c>
      <c r="E680" s="5">
        <v>8.19180774688721</v>
      </c>
      <c r="F680" s="5">
        <v>1.11116528511047</v>
      </c>
      <c r="G680" s="5">
        <v>0.481503784656525</v>
      </c>
      <c r="H680" s="5">
        <v>2.52669811248779</v>
      </c>
      <c r="I680" t="s">
        <v>3</v>
      </c>
    </row>
    <row r="681" spans="1:9">
      <c r="A681" s="4" t="s">
        <v>1422</v>
      </c>
      <c r="B681" s="4" t="s">
        <v>1423</v>
      </c>
      <c r="C681" s="4" t="s">
        <v>45</v>
      </c>
      <c r="D681" s="2">
        <f>467950880/(10^6)</f>
        <v>467.95088</v>
      </c>
      <c r="E681" s="5">
        <v>6.03773593902588</v>
      </c>
      <c r="F681" s="5">
        <v>0.600136518478394</v>
      </c>
      <c r="G681" s="5">
        <v>3.29638624191284</v>
      </c>
      <c r="H681" s="3" t="s">
        <v>86</v>
      </c>
      <c r="I681" t="s">
        <v>3</v>
      </c>
    </row>
    <row r="682" spans="1:9">
      <c r="A682" s="4" t="s">
        <v>1424</v>
      </c>
      <c r="B682" s="4" t="s">
        <v>1425</v>
      </c>
      <c r="C682" s="4" t="s">
        <v>37</v>
      </c>
      <c r="D682" s="2">
        <f>453900736/(10^6)</f>
        <v>453.900736</v>
      </c>
      <c r="E682" s="5">
        <v>7.53623151779175</v>
      </c>
      <c r="F682" s="5">
        <v>0.418122500181198</v>
      </c>
      <c r="G682" s="3" t="s">
        <v>86</v>
      </c>
      <c r="H682" s="5">
        <v>19.2046585083008</v>
      </c>
      <c r="I682" t="s">
        <v>3</v>
      </c>
    </row>
    <row r="683" spans="1:9">
      <c r="A683" s="4" t="s">
        <v>1426</v>
      </c>
      <c r="B683" s="4" t="s">
        <v>1427</v>
      </c>
      <c r="C683" s="4" t="s">
        <v>49</v>
      </c>
      <c r="D683" s="2">
        <f>452609952/(10^6)</f>
        <v>452.609952</v>
      </c>
      <c r="E683" s="3" t="s">
        <v>86</v>
      </c>
      <c r="F683" s="3" t="s">
        <v>86</v>
      </c>
      <c r="G683" s="3" t="s">
        <v>86</v>
      </c>
      <c r="H683" s="3" t="s">
        <v>86</v>
      </c>
      <c r="I683" t="s">
        <v>3</v>
      </c>
    </row>
    <row r="684" spans="1:9">
      <c r="A684" s="4" t="s">
        <v>1428</v>
      </c>
      <c r="B684" s="4" t="s">
        <v>1429</v>
      </c>
      <c r="C684" s="4" t="s">
        <v>39</v>
      </c>
      <c r="D684" s="2">
        <f>451558944/(10^6)</f>
        <v>451.558944</v>
      </c>
      <c r="E684" s="5">
        <v>4.06953191757202</v>
      </c>
      <c r="F684" s="5">
        <v>0.397420048713684</v>
      </c>
      <c r="G684" s="5">
        <v>0.612803936004639</v>
      </c>
      <c r="H684" s="5">
        <v>6.9830584526062</v>
      </c>
      <c r="I684" t="s">
        <v>3</v>
      </c>
    </row>
    <row r="685" spans="1:9">
      <c r="A685" s="4" t="s">
        <v>1430</v>
      </c>
      <c r="B685" s="4" t="s">
        <v>1431</v>
      </c>
      <c r="C685" s="4" t="s">
        <v>45</v>
      </c>
      <c r="D685" s="2">
        <f>451220064/(10^6)</f>
        <v>451.220064</v>
      </c>
      <c r="E685" s="3" t="s">
        <v>86</v>
      </c>
      <c r="F685" s="3" t="s">
        <v>86</v>
      </c>
      <c r="G685" s="3" t="s">
        <v>86</v>
      </c>
      <c r="H685" s="3" t="s">
        <v>86</v>
      </c>
      <c r="I685" t="s">
        <v>3</v>
      </c>
    </row>
    <row r="686" spans="1:9">
      <c r="A686" s="4" t="s">
        <v>1432</v>
      </c>
      <c r="B686" s="4" t="s">
        <v>1433</v>
      </c>
      <c r="C686" s="4" t="s">
        <v>31</v>
      </c>
      <c r="D686" s="2">
        <f>449583744/(10^6)</f>
        <v>449.583744</v>
      </c>
      <c r="E686" s="5">
        <v>21.9947528839111</v>
      </c>
      <c r="F686" s="5">
        <v>4.75862312316895</v>
      </c>
      <c r="G686" s="5">
        <v>6.02611494064331</v>
      </c>
      <c r="H686" s="5">
        <v>13.9942264556885</v>
      </c>
      <c r="I686" t="s">
        <v>3</v>
      </c>
    </row>
    <row r="687" spans="1:9">
      <c r="A687" s="4" t="s">
        <v>1434</v>
      </c>
      <c r="B687" s="4" t="s">
        <v>1435</v>
      </c>
      <c r="C687" s="4" t="s">
        <v>49</v>
      </c>
      <c r="D687" s="2">
        <f>447455424/(10^6)</f>
        <v>447.455424</v>
      </c>
      <c r="E687" s="3" t="s">
        <v>86</v>
      </c>
      <c r="F687" s="3" t="s">
        <v>86</v>
      </c>
      <c r="G687" s="3" t="s">
        <v>86</v>
      </c>
      <c r="H687" s="3" t="s">
        <v>86</v>
      </c>
      <c r="I687" t="s">
        <v>3</v>
      </c>
    </row>
    <row r="688" spans="1:9">
      <c r="A688" s="4" t="s">
        <v>1436</v>
      </c>
      <c r="B688" s="4" t="s">
        <v>1437</v>
      </c>
      <c r="C688" s="4" t="s">
        <v>47</v>
      </c>
      <c r="D688" s="2">
        <f>441412640/(10^6)</f>
        <v>441.41264</v>
      </c>
      <c r="E688" s="5">
        <v>16.741849899292</v>
      </c>
      <c r="F688" s="5">
        <v>0.32023623585701</v>
      </c>
      <c r="G688" s="5">
        <v>0.249354481697083</v>
      </c>
      <c r="H688" s="5">
        <v>4.86736488342285</v>
      </c>
      <c r="I688" t="s">
        <v>3</v>
      </c>
    </row>
    <row r="689" spans="1:9">
      <c r="A689" s="4" t="s">
        <v>1438</v>
      </c>
      <c r="B689" s="4" t="s">
        <v>1439</v>
      </c>
      <c r="C689" s="4" t="s">
        <v>51</v>
      </c>
      <c r="D689" s="2">
        <f>437335680/(10^6)</f>
        <v>437.33568</v>
      </c>
      <c r="E689" s="5">
        <v>8.77242755889893</v>
      </c>
      <c r="F689" s="5">
        <v>3.01026558876038</v>
      </c>
      <c r="G689" s="5">
        <v>2.7667818069458</v>
      </c>
      <c r="H689" s="5">
        <v>4.14854097366333</v>
      </c>
      <c r="I689" t="s">
        <v>3</v>
      </c>
    </row>
    <row r="690" spans="1:9">
      <c r="A690" s="4" t="s">
        <v>1440</v>
      </c>
      <c r="B690" s="4" t="s">
        <v>1441</v>
      </c>
      <c r="C690" s="4" t="s">
        <v>47</v>
      </c>
      <c r="D690" s="2">
        <f>418613312/(10^6)</f>
        <v>418.613312</v>
      </c>
      <c r="E690" s="3" t="s">
        <v>86</v>
      </c>
      <c r="F690" s="5">
        <v>0.475601613521576</v>
      </c>
      <c r="G690" s="5">
        <v>0.297743916511536</v>
      </c>
      <c r="H690" s="5">
        <v>47.7360534667969</v>
      </c>
      <c r="I690" t="s">
        <v>3</v>
      </c>
    </row>
    <row r="691" spans="1:9">
      <c r="A691" s="4" t="s">
        <v>1442</v>
      </c>
      <c r="B691" s="4" t="s">
        <v>1443</v>
      </c>
      <c r="C691" s="4" t="s">
        <v>45</v>
      </c>
      <c r="D691" s="2">
        <f>406871168/(10^6)</f>
        <v>406.871168</v>
      </c>
      <c r="E691" s="5">
        <v>11.9130439758301</v>
      </c>
      <c r="F691" s="5">
        <v>0.687445938587189</v>
      </c>
      <c r="G691" s="5">
        <v>4.70900440216065</v>
      </c>
      <c r="H691" s="5">
        <v>10.8265352249146</v>
      </c>
      <c r="I691" t="s">
        <v>3</v>
      </c>
    </row>
    <row r="692" spans="1:9">
      <c r="A692" s="4" t="s">
        <v>1444</v>
      </c>
      <c r="B692" s="4" t="s">
        <v>1445</v>
      </c>
      <c r="C692" s="4" t="s">
        <v>47</v>
      </c>
      <c r="D692" s="2">
        <f>396407648/(10^6)</f>
        <v>396.407648</v>
      </c>
      <c r="E692" s="5">
        <v>6.56037569046021</v>
      </c>
      <c r="F692" s="5">
        <v>0.367550849914551</v>
      </c>
      <c r="G692" s="5">
        <v>2.43770933151245</v>
      </c>
      <c r="H692" s="5">
        <v>27.9861259460449</v>
      </c>
      <c r="I692" t="s">
        <v>3</v>
      </c>
    </row>
    <row r="693" spans="1:9">
      <c r="A693" s="4" t="s">
        <v>1446</v>
      </c>
      <c r="B693" s="4" t="s">
        <v>1447</v>
      </c>
      <c r="C693" s="4" t="s">
        <v>49</v>
      </c>
      <c r="D693" s="2">
        <f>389366528/(10^6)</f>
        <v>389.366528</v>
      </c>
      <c r="E693" s="3" t="s">
        <v>86</v>
      </c>
      <c r="F693" s="3" t="s">
        <v>86</v>
      </c>
      <c r="G693" s="3" t="s">
        <v>86</v>
      </c>
      <c r="H693" s="3" t="s">
        <v>86</v>
      </c>
      <c r="I693" t="s">
        <v>3</v>
      </c>
    </row>
    <row r="694" spans="1:9">
      <c r="A694" s="4" t="s">
        <v>1448</v>
      </c>
      <c r="B694" s="4" t="s">
        <v>1449</v>
      </c>
      <c r="C694" s="4" t="s">
        <v>45</v>
      </c>
      <c r="D694" s="2">
        <f>377664992/(10^6)</f>
        <v>377.664992</v>
      </c>
      <c r="E694" s="3" t="s">
        <v>86</v>
      </c>
      <c r="F694" s="5">
        <v>0.585848391056061</v>
      </c>
      <c r="G694" s="5">
        <v>6.15479326248169</v>
      </c>
      <c r="H694" s="5">
        <v>23.0016536712646</v>
      </c>
      <c r="I694" t="s">
        <v>3</v>
      </c>
    </row>
    <row r="695" spans="1:9">
      <c r="A695" s="4" t="s">
        <v>1450</v>
      </c>
      <c r="B695" s="4" t="s">
        <v>1451</v>
      </c>
      <c r="C695" s="4" t="s">
        <v>47</v>
      </c>
      <c r="D695" s="2">
        <f>373955904/(10^6)</f>
        <v>373.955904</v>
      </c>
      <c r="E695" s="3" t="s">
        <v>86</v>
      </c>
      <c r="F695" s="5">
        <v>0.603879809379578</v>
      </c>
      <c r="G695" s="5">
        <v>0.778064072132111</v>
      </c>
      <c r="H695" s="3" t="s">
        <v>86</v>
      </c>
      <c r="I695" t="s">
        <v>3</v>
      </c>
    </row>
    <row r="696" spans="1:9">
      <c r="A696" s="4" t="s">
        <v>1452</v>
      </c>
      <c r="B696" s="4" t="s">
        <v>1453</v>
      </c>
      <c r="C696" s="4" t="s">
        <v>45</v>
      </c>
      <c r="D696" s="2">
        <f>373024896/(10^6)</f>
        <v>373.024896</v>
      </c>
      <c r="E696" s="5">
        <v>139.130477905273</v>
      </c>
      <c r="F696" s="5">
        <v>0.20158064365387</v>
      </c>
      <c r="G696" s="5">
        <v>4.28070735931396</v>
      </c>
      <c r="H696" s="5">
        <v>64.7378082275391</v>
      </c>
      <c r="I696" t="s">
        <v>3</v>
      </c>
    </row>
    <row r="697" spans="1:9">
      <c r="A697" s="4" t="s">
        <v>1454</v>
      </c>
      <c r="B697" s="4" t="s">
        <v>1455</v>
      </c>
      <c r="C697" s="4" t="s">
        <v>31</v>
      </c>
      <c r="D697" s="2">
        <f>369241632/(10^6)</f>
        <v>369.241632</v>
      </c>
      <c r="E697" s="3" t="s">
        <v>86</v>
      </c>
      <c r="F697" s="5">
        <v>0.656578421592712</v>
      </c>
      <c r="G697" s="5">
        <v>0.193277463316917</v>
      </c>
      <c r="H697" s="5">
        <v>23.2729759216309</v>
      </c>
      <c r="I697" t="s">
        <v>3</v>
      </c>
    </row>
    <row r="698" spans="1:9">
      <c r="A698" s="4" t="s">
        <v>1456</v>
      </c>
      <c r="B698" s="4" t="s">
        <v>1457</v>
      </c>
      <c r="C698" s="4" t="s">
        <v>49</v>
      </c>
      <c r="D698" s="2">
        <f>366509344/(10^6)</f>
        <v>366.509344</v>
      </c>
      <c r="E698" s="3" t="s">
        <v>86</v>
      </c>
      <c r="F698" s="3" t="s">
        <v>86</v>
      </c>
      <c r="G698" s="3" t="s">
        <v>86</v>
      </c>
      <c r="H698" s="3" t="s">
        <v>86</v>
      </c>
      <c r="I698" t="s">
        <v>3</v>
      </c>
    </row>
    <row r="699" spans="1:9">
      <c r="A699" s="4" t="s">
        <v>1458</v>
      </c>
      <c r="B699" s="4" t="s">
        <v>1459</v>
      </c>
      <c r="C699" s="4" t="s">
        <v>41</v>
      </c>
      <c r="D699" s="2">
        <f>361528352/(10^6)</f>
        <v>361.528352</v>
      </c>
      <c r="E699" s="5">
        <v>15.8088235855103</v>
      </c>
      <c r="F699" s="5">
        <v>6.80143022537231</v>
      </c>
      <c r="G699" s="5">
        <v>7.44459867477417</v>
      </c>
      <c r="H699" s="5">
        <v>9.81961250305176</v>
      </c>
      <c r="I699" t="s">
        <v>3</v>
      </c>
    </row>
    <row r="700" spans="1:9">
      <c r="A700" s="4" t="s">
        <v>1460</v>
      </c>
      <c r="B700" s="4" t="s">
        <v>1461</v>
      </c>
      <c r="C700" s="4" t="s">
        <v>39</v>
      </c>
      <c r="D700" s="2">
        <f>361527808/(10^6)</f>
        <v>361.527808</v>
      </c>
      <c r="E700" s="5">
        <v>4.23140478134155</v>
      </c>
      <c r="F700" s="5">
        <v>0.304190695285797</v>
      </c>
      <c r="G700" s="5">
        <v>0.426436722278595</v>
      </c>
      <c r="H700" s="5">
        <v>8.78168392181396</v>
      </c>
      <c r="I700" t="s">
        <v>3</v>
      </c>
    </row>
    <row r="701" spans="1:9">
      <c r="A701" s="4" t="s">
        <v>1462</v>
      </c>
      <c r="B701" s="4" t="s">
        <v>1463</v>
      </c>
      <c r="C701" s="4" t="s">
        <v>45</v>
      </c>
      <c r="D701" s="2">
        <f>350311840/(10^6)</f>
        <v>350.31184</v>
      </c>
      <c r="E701" s="5">
        <v>3.45469212532044</v>
      </c>
      <c r="F701" s="5">
        <v>0.24571518599987</v>
      </c>
      <c r="G701" s="5">
        <v>3.44771265983581</v>
      </c>
      <c r="H701" s="5">
        <v>12.0786037445068</v>
      </c>
      <c r="I701" t="s">
        <v>3</v>
      </c>
    </row>
    <row r="702" spans="1:9">
      <c r="A702" s="4" t="s">
        <v>1464</v>
      </c>
      <c r="B702" s="4" t="s">
        <v>1465</v>
      </c>
      <c r="C702" s="4" t="s">
        <v>45</v>
      </c>
      <c r="D702" s="2">
        <f>346029120/(10^6)</f>
        <v>346.02912</v>
      </c>
      <c r="E702" s="3" t="s">
        <v>86</v>
      </c>
      <c r="F702" s="5">
        <v>0.63745790719986</v>
      </c>
      <c r="G702" s="5">
        <v>4.13745880126953</v>
      </c>
      <c r="H702" s="5">
        <v>14.008113861084</v>
      </c>
      <c r="I702" t="s">
        <v>3</v>
      </c>
    </row>
    <row r="703" spans="1:9">
      <c r="A703" s="4" t="s">
        <v>1466</v>
      </c>
      <c r="B703" s="4" t="s">
        <v>1467</v>
      </c>
      <c r="C703" s="4" t="s">
        <v>45</v>
      </c>
      <c r="D703" s="2">
        <f>315901376/(10^6)</f>
        <v>315.901376</v>
      </c>
      <c r="E703" s="5">
        <v>10.8643159866333</v>
      </c>
      <c r="F703" s="5">
        <v>1.12539947032929</v>
      </c>
      <c r="G703" s="5">
        <v>2.86748385429382</v>
      </c>
      <c r="H703" s="5">
        <v>18.4045429229736</v>
      </c>
      <c r="I703" t="s">
        <v>3</v>
      </c>
    </row>
    <row r="704" spans="1:9">
      <c r="A704" s="4" t="s">
        <v>1468</v>
      </c>
      <c r="B704" s="4" t="s">
        <v>1469</v>
      </c>
      <c r="C704" s="4" t="s">
        <v>35</v>
      </c>
      <c r="D704" s="2">
        <f>312974112/(10^6)</f>
        <v>312.974112</v>
      </c>
      <c r="E704" s="5">
        <v>10.8041391372681</v>
      </c>
      <c r="F704" s="5">
        <v>1.33811950683594</v>
      </c>
      <c r="G704" s="5">
        <v>0.645431160926819</v>
      </c>
      <c r="H704" s="5">
        <v>5.22164535522461</v>
      </c>
      <c r="I704" t="s">
        <v>3</v>
      </c>
    </row>
    <row r="705" spans="1:9">
      <c r="A705" s="4" t="s">
        <v>1470</v>
      </c>
      <c r="B705" s="4" t="s">
        <v>1471</v>
      </c>
      <c r="C705" s="4" t="s">
        <v>51</v>
      </c>
      <c r="D705" s="2">
        <f>311625120/(10^6)</f>
        <v>311.62512</v>
      </c>
      <c r="E705" s="5">
        <v>8.29068565368652</v>
      </c>
      <c r="F705" s="5">
        <v>3.25319480895996</v>
      </c>
      <c r="G705" s="5">
        <v>1.3539297580719</v>
      </c>
      <c r="H705" s="5">
        <v>4.90045309066772</v>
      </c>
      <c r="I705" t="s">
        <v>3</v>
      </c>
    </row>
    <row r="706" spans="1:9">
      <c r="A706" s="4" t="s">
        <v>1472</v>
      </c>
      <c r="B706" s="4" t="s">
        <v>1473</v>
      </c>
      <c r="C706" s="4" t="s">
        <v>31</v>
      </c>
      <c r="D706" s="2">
        <f>310213920/(10^6)</f>
        <v>310.21392</v>
      </c>
      <c r="E706" s="5">
        <v>8.28460025787354</v>
      </c>
      <c r="F706" s="5">
        <v>1.28914451599121</v>
      </c>
      <c r="G706" s="5">
        <v>1.01117050647736</v>
      </c>
      <c r="H706" s="5">
        <v>2.79281115531921</v>
      </c>
      <c r="I706" t="s">
        <v>3</v>
      </c>
    </row>
    <row r="707" spans="1:9">
      <c r="A707" s="4" t="s">
        <v>1474</v>
      </c>
      <c r="B707" s="4" t="s">
        <v>1475</v>
      </c>
      <c r="C707" s="4" t="s">
        <v>45</v>
      </c>
      <c r="D707" s="2">
        <f>304437728/(10^6)</f>
        <v>304.437728</v>
      </c>
      <c r="E707" s="5">
        <v>15.9016399383545</v>
      </c>
      <c r="F707" s="5">
        <v>0.340399950742722</v>
      </c>
      <c r="G707" s="5">
        <v>2.71419787406921</v>
      </c>
      <c r="H707" s="5">
        <v>14.6284313201904</v>
      </c>
      <c r="I707" t="s">
        <v>3</v>
      </c>
    </row>
    <row r="708" spans="1:9">
      <c r="A708" s="4" t="s">
        <v>1476</v>
      </c>
      <c r="B708" s="4" t="s">
        <v>1477</v>
      </c>
      <c r="C708" s="4" t="s">
        <v>45</v>
      </c>
      <c r="D708" s="2">
        <f>303508480/(10^6)</f>
        <v>303.50848</v>
      </c>
      <c r="E708" s="5">
        <v>6.34920597076416</v>
      </c>
      <c r="F708" s="5">
        <v>0.610456168651581</v>
      </c>
      <c r="G708" s="5">
        <v>4.1714129447937</v>
      </c>
      <c r="H708" s="3" t="s">
        <v>86</v>
      </c>
      <c r="I708" t="s">
        <v>3</v>
      </c>
    </row>
    <row r="709" spans="1:9">
      <c r="A709" s="4" t="s">
        <v>1478</v>
      </c>
      <c r="B709" s="4" t="s">
        <v>1479</v>
      </c>
      <c r="C709" s="4" t="s">
        <v>45</v>
      </c>
      <c r="D709" s="2">
        <f>301868384/(10^6)</f>
        <v>301.868384</v>
      </c>
      <c r="E709" s="5">
        <v>13.9544858932495</v>
      </c>
      <c r="F709" s="5">
        <v>0.829907298088074</v>
      </c>
      <c r="G709" s="5">
        <v>0.953339159488678</v>
      </c>
      <c r="H709" s="5">
        <v>16.1539859771729</v>
      </c>
      <c r="I709" t="s">
        <v>3</v>
      </c>
    </row>
    <row r="710" spans="1:9">
      <c r="A710" s="4" t="s">
        <v>1480</v>
      </c>
      <c r="B710" s="4" t="s">
        <v>1481</v>
      </c>
      <c r="C710" s="4" t="s">
        <v>35</v>
      </c>
      <c r="D710" s="2">
        <f>301041152/(10^6)</f>
        <v>301.041152</v>
      </c>
      <c r="E710" s="5">
        <v>24.2622947692871</v>
      </c>
      <c r="F710" s="5">
        <v>0.696989476680756</v>
      </c>
      <c r="G710" s="5">
        <v>1.17781126499176</v>
      </c>
      <c r="H710" s="5">
        <v>4.45146369934082</v>
      </c>
      <c r="I710" t="s">
        <v>3</v>
      </c>
    </row>
    <row r="711" spans="1:9">
      <c r="A711" s="4" t="s">
        <v>1482</v>
      </c>
      <c r="B711" s="4" t="s">
        <v>1483</v>
      </c>
      <c r="C711" s="4" t="s">
        <v>47</v>
      </c>
      <c r="D711" s="2">
        <f>296351008/(10^6)</f>
        <v>296.351008</v>
      </c>
      <c r="E711" s="5">
        <v>10.8843536376953</v>
      </c>
      <c r="F711" s="5">
        <v>1.43568575382233</v>
      </c>
      <c r="G711" s="5">
        <v>3.80182957649231</v>
      </c>
      <c r="H711" s="5">
        <v>4.49931240081787</v>
      </c>
      <c r="I711" t="s">
        <v>3</v>
      </c>
    </row>
    <row r="712" spans="1:9">
      <c r="A712" s="4" t="s">
        <v>1484</v>
      </c>
      <c r="B712" s="4" t="s">
        <v>1485</v>
      </c>
      <c r="C712" s="4" t="s">
        <v>45</v>
      </c>
      <c r="D712" s="2">
        <f>295826496/(10^6)</f>
        <v>295.826496</v>
      </c>
      <c r="E712" s="3" t="s">
        <v>86</v>
      </c>
      <c r="F712" s="5">
        <v>0.463638126850128</v>
      </c>
      <c r="G712" s="5">
        <v>2.53741312026977</v>
      </c>
      <c r="H712" s="5">
        <v>79.0121002197266</v>
      </c>
      <c r="I712" t="s">
        <v>3</v>
      </c>
    </row>
    <row r="713" spans="1:9">
      <c r="A713" s="4" t="s">
        <v>1486</v>
      </c>
      <c r="B713" s="4" t="s">
        <v>1487</v>
      </c>
      <c r="C713" s="4" t="s">
        <v>47</v>
      </c>
      <c r="D713" s="2">
        <f>294472352/(10^6)</f>
        <v>294.472352</v>
      </c>
      <c r="E713" s="3" t="s">
        <v>86</v>
      </c>
      <c r="F713" s="5">
        <v>2.82762217521667</v>
      </c>
      <c r="G713" s="5">
        <v>0.627036273479462</v>
      </c>
      <c r="H713" s="5">
        <v>4.79310750961304</v>
      </c>
      <c r="I713" t="s">
        <v>3</v>
      </c>
    </row>
    <row r="714" spans="1:9">
      <c r="A714" s="4" t="s">
        <v>1488</v>
      </c>
      <c r="B714" s="4" t="s">
        <v>1489</v>
      </c>
      <c r="C714" s="4" t="s">
        <v>35</v>
      </c>
      <c r="D714" s="2">
        <f>288875360/(10^6)</f>
        <v>288.87536</v>
      </c>
      <c r="E714" s="3" t="s">
        <v>86</v>
      </c>
      <c r="F714" s="5">
        <v>0.417161226272583</v>
      </c>
      <c r="G714" s="5">
        <v>0.346041768789291</v>
      </c>
      <c r="H714" s="5">
        <v>11.3014497756958</v>
      </c>
      <c r="I714" t="s">
        <v>3</v>
      </c>
    </row>
    <row r="715" spans="1:9">
      <c r="A715" s="4" t="s">
        <v>1490</v>
      </c>
      <c r="B715" s="4" t="s">
        <v>1491</v>
      </c>
      <c r="C715" s="4" t="s">
        <v>45</v>
      </c>
      <c r="D715" s="2">
        <f>279291136/(10^6)</f>
        <v>279.291136</v>
      </c>
      <c r="E715" s="5">
        <v>9.66624927520752</v>
      </c>
      <c r="F715" s="5">
        <v>0.515269756317139</v>
      </c>
      <c r="G715" s="5">
        <v>3.95166563987732</v>
      </c>
      <c r="H715" s="3" t="s">
        <v>86</v>
      </c>
      <c r="I715" t="s">
        <v>3</v>
      </c>
    </row>
    <row r="716" spans="1:9">
      <c r="A716" s="4" t="s">
        <v>1492</v>
      </c>
      <c r="B716" s="4" t="s">
        <v>1493</v>
      </c>
      <c r="C716" s="4" t="s">
        <v>43</v>
      </c>
      <c r="D716" s="2">
        <f>278854784/(10^6)</f>
        <v>278.854784</v>
      </c>
      <c r="E716" s="5">
        <v>9.84125328063965</v>
      </c>
      <c r="F716" s="5">
        <v>0.950356423854828</v>
      </c>
      <c r="G716" s="5">
        <v>5.72397756576538</v>
      </c>
      <c r="H716" s="3" t="s">
        <v>86</v>
      </c>
      <c r="I716" t="s">
        <v>3</v>
      </c>
    </row>
    <row r="717" spans="1:9">
      <c r="A717" s="4" t="s">
        <v>1494</v>
      </c>
      <c r="B717" s="4" t="s">
        <v>1495</v>
      </c>
      <c r="C717" s="4" t="s">
        <v>35</v>
      </c>
      <c r="D717" s="2">
        <f>276435552/(10^6)</f>
        <v>276.435552</v>
      </c>
      <c r="E717" s="5">
        <v>14.858377456665</v>
      </c>
      <c r="F717" s="5">
        <v>0.848378717899323</v>
      </c>
      <c r="G717" s="5">
        <v>0.476120680570602</v>
      </c>
      <c r="H717" s="5">
        <v>8.75169086456299</v>
      </c>
      <c r="I717" t="s">
        <v>3</v>
      </c>
    </row>
    <row r="718" spans="1:9">
      <c r="A718" s="4" t="s">
        <v>1496</v>
      </c>
      <c r="B718" s="4" t="s">
        <v>1497</v>
      </c>
      <c r="C718" s="4" t="s">
        <v>31</v>
      </c>
      <c r="D718" s="2">
        <f>270185984/(10^6)</f>
        <v>270.185984</v>
      </c>
      <c r="E718" s="5">
        <v>50.7614212036133</v>
      </c>
      <c r="F718" s="5">
        <v>0.709720253944397</v>
      </c>
      <c r="G718" s="5">
        <v>2.21972680091858</v>
      </c>
      <c r="H718" s="5">
        <v>9.70544338226318</v>
      </c>
      <c r="I718" t="s">
        <v>3</v>
      </c>
    </row>
    <row r="719" spans="1:9">
      <c r="A719" s="4" t="s">
        <v>1498</v>
      </c>
      <c r="B719" s="4" t="s">
        <v>1499</v>
      </c>
      <c r="C719" s="4" t="s">
        <v>47</v>
      </c>
      <c r="D719" s="2">
        <f>269147744/(10^6)</f>
        <v>269.147744</v>
      </c>
      <c r="E719" s="5">
        <v>4.90454339981079</v>
      </c>
      <c r="F719" s="5">
        <v>0.642497658729553</v>
      </c>
      <c r="G719" s="5">
        <v>0.50389164686203</v>
      </c>
      <c r="H719" s="5">
        <v>3.11544466018677</v>
      </c>
      <c r="I719" t="s">
        <v>3</v>
      </c>
    </row>
    <row r="720" spans="1:9">
      <c r="A720" s="4" t="s">
        <v>1500</v>
      </c>
      <c r="B720" s="4" t="s">
        <v>1501</v>
      </c>
      <c r="C720" s="4" t="s">
        <v>49</v>
      </c>
      <c r="D720" s="2">
        <f>263903200/(10^6)</f>
        <v>263.9032</v>
      </c>
      <c r="E720" s="3" t="s">
        <v>86</v>
      </c>
      <c r="F720" s="3" t="s">
        <v>86</v>
      </c>
      <c r="G720" s="3" t="s">
        <v>86</v>
      </c>
      <c r="H720" s="3" t="s">
        <v>86</v>
      </c>
      <c r="I720" t="s">
        <v>3</v>
      </c>
    </row>
    <row r="721" spans="1:9">
      <c r="A721" s="4" t="s">
        <v>1502</v>
      </c>
      <c r="B721" s="4" t="s">
        <v>1503</v>
      </c>
      <c r="C721" s="4" t="s">
        <v>45</v>
      </c>
      <c r="D721" s="2">
        <f>263660784/(10^6)</f>
        <v>263.660784</v>
      </c>
      <c r="E721" s="5">
        <v>8.98661613464355</v>
      </c>
      <c r="F721" s="5">
        <v>0.37927633523941</v>
      </c>
      <c r="G721" s="5">
        <v>0.282582521438599</v>
      </c>
      <c r="H721" s="5">
        <v>13.9332122802734</v>
      </c>
      <c r="I721" t="s">
        <v>3</v>
      </c>
    </row>
    <row r="722" spans="1:9">
      <c r="A722" s="4" t="s">
        <v>1504</v>
      </c>
      <c r="B722" s="4" t="s">
        <v>1505</v>
      </c>
      <c r="C722" s="4" t="s">
        <v>45</v>
      </c>
      <c r="D722" s="2">
        <f>252540000/(10^6)</f>
        <v>252.54</v>
      </c>
      <c r="E722" s="3" t="s">
        <v>86</v>
      </c>
      <c r="F722" s="5">
        <v>0.418472349643707</v>
      </c>
      <c r="G722" s="5">
        <v>1.24775302410126</v>
      </c>
      <c r="H722" s="5">
        <v>7.29512929916382</v>
      </c>
      <c r="I722" t="s">
        <v>3</v>
      </c>
    </row>
    <row r="723" spans="1:9">
      <c r="A723" s="4" t="s">
        <v>1506</v>
      </c>
      <c r="B723" s="4" t="s">
        <v>1507</v>
      </c>
      <c r="C723" s="4" t="s">
        <v>49</v>
      </c>
      <c r="D723" s="2">
        <f>246872688/(10^6)</f>
        <v>246.872688</v>
      </c>
      <c r="E723" s="3" t="s">
        <v>86</v>
      </c>
      <c r="F723" s="3" t="s">
        <v>86</v>
      </c>
      <c r="G723" s="3" t="s">
        <v>86</v>
      </c>
      <c r="H723" s="3" t="s">
        <v>86</v>
      </c>
      <c r="I723" t="s">
        <v>3</v>
      </c>
    </row>
    <row r="724" spans="1:9">
      <c r="A724" s="4" t="s">
        <v>1508</v>
      </c>
      <c r="B724" s="4" t="s">
        <v>1509</v>
      </c>
      <c r="C724" s="4" t="s">
        <v>45</v>
      </c>
      <c r="D724" s="2">
        <f>244060816/(10^6)</f>
        <v>244.060816</v>
      </c>
      <c r="E724" s="5">
        <v>2.97111797332764</v>
      </c>
      <c r="F724" s="5">
        <v>0.580335080623627</v>
      </c>
      <c r="G724" s="5">
        <v>5.80549097061157</v>
      </c>
      <c r="H724" s="3" t="s">
        <v>86</v>
      </c>
      <c r="I724" t="s">
        <v>3</v>
      </c>
    </row>
    <row r="725" spans="1:9">
      <c r="A725" s="4" t="s">
        <v>1510</v>
      </c>
      <c r="B725" s="4" t="s">
        <v>1511</v>
      </c>
      <c r="C725" s="4" t="s">
        <v>31</v>
      </c>
      <c r="D725" s="2">
        <f>240825664/(10^6)</f>
        <v>240.825664</v>
      </c>
      <c r="E725" s="5">
        <v>86.7781677246094</v>
      </c>
      <c r="F725" s="5">
        <v>0.377935171127319</v>
      </c>
      <c r="G725" s="5">
        <v>1.45427238941193</v>
      </c>
      <c r="H725" s="5">
        <v>15.594916343689</v>
      </c>
      <c r="I725" t="s">
        <v>3</v>
      </c>
    </row>
    <row r="726" spans="1:9">
      <c r="A726" s="4" t="s">
        <v>1512</v>
      </c>
      <c r="B726" s="4" t="s">
        <v>1513</v>
      </c>
      <c r="C726" s="4" t="s">
        <v>51</v>
      </c>
      <c r="D726" s="2">
        <f>237620320/(10^6)</f>
        <v>237.62032</v>
      </c>
      <c r="E726" s="5">
        <v>9.84000015258789</v>
      </c>
      <c r="F726" s="5">
        <v>1.35615193843842</v>
      </c>
      <c r="G726" s="5">
        <v>2.50094556808472</v>
      </c>
      <c r="H726" s="5">
        <v>7.97693109512329</v>
      </c>
      <c r="I726" t="s">
        <v>3</v>
      </c>
    </row>
    <row r="727" spans="1:9">
      <c r="A727" s="4" t="s">
        <v>1514</v>
      </c>
      <c r="B727" s="4" t="s">
        <v>1515</v>
      </c>
      <c r="C727" s="4" t="s">
        <v>47</v>
      </c>
      <c r="D727" s="2">
        <f>233482864/(10^6)</f>
        <v>233.482864</v>
      </c>
      <c r="E727" s="5">
        <v>11.6465864181519</v>
      </c>
      <c r="F727" s="5">
        <v>3.14603567123413</v>
      </c>
      <c r="G727" s="5">
        <v>1.35525417327881</v>
      </c>
      <c r="H727" s="5">
        <v>3.78307008743286</v>
      </c>
      <c r="I727" t="s">
        <v>3</v>
      </c>
    </row>
    <row r="728" spans="1:9">
      <c r="A728" s="4" t="s">
        <v>1516</v>
      </c>
      <c r="B728" s="4" t="s">
        <v>1517</v>
      </c>
      <c r="C728" s="4" t="s">
        <v>45</v>
      </c>
      <c r="D728" s="2">
        <f>232976176/(10^6)</f>
        <v>232.976176</v>
      </c>
      <c r="E728" s="5">
        <v>3.23801493644714</v>
      </c>
      <c r="F728" s="5">
        <v>0.546614110469818</v>
      </c>
      <c r="G728" s="5">
        <v>2.42738342285156</v>
      </c>
      <c r="H728" s="5">
        <v>14.8633918762207</v>
      </c>
      <c r="I728" t="s">
        <v>3</v>
      </c>
    </row>
    <row r="729" spans="1:9">
      <c r="A729" s="4" t="s">
        <v>1518</v>
      </c>
      <c r="B729" s="4" t="s">
        <v>1519</v>
      </c>
      <c r="C729" s="4" t="s">
        <v>27</v>
      </c>
      <c r="D729" s="2">
        <f>231100688/(10^6)</f>
        <v>231.100688</v>
      </c>
      <c r="E729" s="5">
        <v>25.8658504486084</v>
      </c>
      <c r="F729" s="5">
        <v>0.721215307712555</v>
      </c>
      <c r="G729" s="5">
        <v>0.231146723031998</v>
      </c>
      <c r="H729" s="5">
        <v>4.47672033309937</v>
      </c>
      <c r="I729" t="s">
        <v>3</v>
      </c>
    </row>
    <row r="730" spans="1:9">
      <c r="A730" s="4" t="s">
        <v>1520</v>
      </c>
      <c r="B730" s="4" t="s">
        <v>1521</v>
      </c>
      <c r="C730" s="4" t="s">
        <v>45</v>
      </c>
      <c r="D730" s="2">
        <f>228881504/(10^6)</f>
        <v>228.881504</v>
      </c>
      <c r="E730" s="5">
        <v>7.74774789810181</v>
      </c>
      <c r="F730" s="5">
        <v>0.75106018781662</v>
      </c>
      <c r="G730" s="5">
        <v>2.95674896240234</v>
      </c>
      <c r="H730" s="5">
        <v>3.62086892127991</v>
      </c>
      <c r="I730" t="s">
        <v>3</v>
      </c>
    </row>
    <row r="731" spans="1:9">
      <c r="A731" s="4" t="s">
        <v>1522</v>
      </c>
      <c r="B731" s="4" t="s">
        <v>1523</v>
      </c>
      <c r="C731" s="4" t="s">
        <v>45</v>
      </c>
      <c r="D731" s="2">
        <f>227768992/(10^6)</f>
        <v>227.768992</v>
      </c>
      <c r="E731" s="5">
        <v>14.4989337921143</v>
      </c>
      <c r="F731" s="5">
        <v>0.41547042131424</v>
      </c>
      <c r="G731" s="5">
        <v>2.42004942893982</v>
      </c>
      <c r="H731" s="5">
        <v>14.845627784729</v>
      </c>
      <c r="I731" t="s">
        <v>3</v>
      </c>
    </row>
    <row r="732" spans="1:9">
      <c r="A732" s="4" t="s">
        <v>1524</v>
      </c>
      <c r="B732" s="4" t="s">
        <v>1525</v>
      </c>
      <c r="C732" s="4" t="s">
        <v>45</v>
      </c>
      <c r="D732" s="2">
        <f>225317760/(10^6)</f>
        <v>225.31776</v>
      </c>
      <c r="E732" s="5">
        <v>14.2857151031494</v>
      </c>
      <c r="F732" s="5">
        <v>0.495555937290192</v>
      </c>
      <c r="G732" s="5">
        <v>3.86260175704956</v>
      </c>
      <c r="H732" s="3" t="s">
        <v>86</v>
      </c>
      <c r="I732" t="s">
        <v>3</v>
      </c>
    </row>
    <row r="733" spans="1:9">
      <c r="A733" s="4" t="s">
        <v>1526</v>
      </c>
      <c r="B733" s="4" t="s">
        <v>1527</v>
      </c>
      <c r="C733" s="4" t="s">
        <v>45</v>
      </c>
      <c r="D733" s="2">
        <f>220194656/(10^6)</f>
        <v>220.194656</v>
      </c>
      <c r="E733" s="5">
        <v>24.9657497406006</v>
      </c>
      <c r="F733" s="5">
        <v>1.01611530780792</v>
      </c>
      <c r="G733" s="5">
        <v>0.566936552524567</v>
      </c>
      <c r="H733" s="5">
        <v>22.300479888916</v>
      </c>
      <c r="I733" t="s">
        <v>3</v>
      </c>
    </row>
    <row r="734" spans="1:9">
      <c r="A734" s="4" t="s">
        <v>1528</v>
      </c>
      <c r="B734" s="4" t="s">
        <v>1529</v>
      </c>
      <c r="C734" s="4" t="s">
        <v>51</v>
      </c>
      <c r="D734" s="2">
        <f>218696352/(10^6)</f>
        <v>218.696352</v>
      </c>
      <c r="E734" s="5">
        <v>7.19951248168945</v>
      </c>
      <c r="F734" s="5">
        <v>0.517334222793579</v>
      </c>
      <c r="G734" s="5">
        <v>0.354734003543854</v>
      </c>
      <c r="H734" s="5">
        <v>4.03953266143799</v>
      </c>
      <c r="I734" t="s">
        <v>3</v>
      </c>
    </row>
    <row r="735" spans="1:9">
      <c r="A735" s="4" t="s">
        <v>1530</v>
      </c>
      <c r="B735" s="4" t="s">
        <v>1531</v>
      </c>
      <c r="C735" s="4" t="s">
        <v>31</v>
      </c>
      <c r="D735" s="2">
        <f>209839952/(10^6)</f>
        <v>209.839952</v>
      </c>
      <c r="E735" s="5">
        <v>5.30317640304565</v>
      </c>
      <c r="F735" s="5">
        <v>0.380164295434952</v>
      </c>
      <c r="G735" s="5">
        <v>0.071439146995544</v>
      </c>
      <c r="H735" s="5">
        <v>4.05175304412842</v>
      </c>
      <c r="I735" t="s">
        <v>3</v>
      </c>
    </row>
    <row r="736" spans="1:9">
      <c r="A736" s="4" t="s">
        <v>1532</v>
      </c>
      <c r="B736" s="4" t="s">
        <v>1533</v>
      </c>
      <c r="C736" s="4" t="s">
        <v>35</v>
      </c>
      <c r="D736" s="2">
        <f>209493392/(10^6)</f>
        <v>209.493392</v>
      </c>
      <c r="E736" s="5">
        <v>18.4370746612549</v>
      </c>
      <c r="F736" s="5">
        <v>0.413224577903748</v>
      </c>
      <c r="G736" s="5">
        <v>0.076602831482887</v>
      </c>
      <c r="H736" s="5">
        <v>23.3737621307373</v>
      </c>
      <c r="I736" t="s">
        <v>3</v>
      </c>
    </row>
    <row r="737" spans="1:9">
      <c r="A737" s="4" t="s">
        <v>1534</v>
      </c>
      <c r="B737" s="4" t="s">
        <v>1535</v>
      </c>
      <c r="C737" s="4" t="s">
        <v>41</v>
      </c>
      <c r="D737" s="2">
        <f>204927216/(10^6)</f>
        <v>204.927216</v>
      </c>
      <c r="E737" s="5">
        <v>16.2408924102783</v>
      </c>
      <c r="F737" s="5">
        <v>2.32470464706421</v>
      </c>
      <c r="G737" s="5">
        <v>2.27110910415649</v>
      </c>
      <c r="H737" s="3" t="s">
        <v>86</v>
      </c>
      <c r="I737" t="s">
        <v>3</v>
      </c>
    </row>
    <row r="738" spans="1:9">
      <c r="A738" s="4" t="s">
        <v>1536</v>
      </c>
      <c r="B738" s="4" t="s">
        <v>1537</v>
      </c>
      <c r="C738" s="4" t="s">
        <v>37</v>
      </c>
      <c r="D738" s="2">
        <f>204806848/(10^6)</f>
        <v>204.806848</v>
      </c>
      <c r="E738" s="5">
        <v>3.6986255645752</v>
      </c>
      <c r="F738" s="5">
        <v>0.558652460575104</v>
      </c>
      <c r="G738" s="5">
        <v>0.534069716930389</v>
      </c>
      <c r="H738" s="5">
        <v>0.340666949748993</v>
      </c>
      <c r="I738" t="s">
        <v>3</v>
      </c>
    </row>
    <row r="739" spans="1:9">
      <c r="A739" s="4" t="s">
        <v>1538</v>
      </c>
      <c r="B739" s="4" t="s">
        <v>1539</v>
      </c>
      <c r="C739" s="4" t="s">
        <v>31</v>
      </c>
      <c r="D739" s="2">
        <f>204722768/(10^6)</f>
        <v>204.722768</v>
      </c>
      <c r="E739" s="5">
        <v>79.1666641235352</v>
      </c>
      <c r="F739" s="5">
        <v>0.435096234083176</v>
      </c>
      <c r="G739" s="5">
        <v>7.28639364242554</v>
      </c>
      <c r="H739" s="5">
        <v>53.5635414123535</v>
      </c>
      <c r="I739" t="s">
        <v>3</v>
      </c>
    </row>
    <row r="740" spans="1:9">
      <c r="A740" s="4" t="s">
        <v>1540</v>
      </c>
      <c r="B740" s="4" t="s">
        <v>1541</v>
      </c>
      <c r="C740" s="4" t="s">
        <v>45</v>
      </c>
      <c r="D740" s="2">
        <f>203879168/(10^6)</f>
        <v>203.879168</v>
      </c>
      <c r="E740" s="3" t="s">
        <v>86</v>
      </c>
      <c r="F740" s="5">
        <v>0.397479206323624</v>
      </c>
      <c r="G740" s="5">
        <v>6.82819366455078</v>
      </c>
      <c r="H740" s="3" t="s">
        <v>86</v>
      </c>
      <c r="I740" t="s">
        <v>3</v>
      </c>
    </row>
    <row r="741" spans="1:9">
      <c r="A741" s="4" t="s">
        <v>1542</v>
      </c>
      <c r="B741" s="4" t="s">
        <v>1543</v>
      </c>
      <c r="C741" s="4" t="s">
        <v>31</v>
      </c>
      <c r="D741" s="2">
        <f>203345264/(10^6)</f>
        <v>203.345264</v>
      </c>
      <c r="E741" s="5">
        <v>9.91666698455811</v>
      </c>
      <c r="F741" s="5">
        <v>0.881723165512085</v>
      </c>
      <c r="G741" s="5">
        <v>0.511204421520233</v>
      </c>
      <c r="H741" s="5">
        <v>5.08001708984375</v>
      </c>
      <c r="I741" t="s">
        <v>3</v>
      </c>
    </row>
    <row r="742" spans="1:9">
      <c r="A742" s="4" t="s">
        <v>1544</v>
      </c>
      <c r="B742" s="4" t="s">
        <v>1545</v>
      </c>
      <c r="C742" s="4" t="s">
        <v>31</v>
      </c>
      <c r="D742" s="2">
        <f>199038080/(10^6)</f>
        <v>199.03808</v>
      </c>
      <c r="E742" s="5">
        <v>10.3853578567505</v>
      </c>
      <c r="F742" s="5">
        <v>0.788241982460022</v>
      </c>
      <c r="G742" s="5">
        <v>0.382218599319458</v>
      </c>
      <c r="H742" s="5">
        <v>4.62247514724731</v>
      </c>
      <c r="I742" t="s">
        <v>3</v>
      </c>
    </row>
    <row r="743" spans="1:9">
      <c r="A743" s="4" t="s">
        <v>1546</v>
      </c>
      <c r="B743" s="4" t="s">
        <v>1547</v>
      </c>
      <c r="C743" s="4" t="s">
        <v>31</v>
      </c>
      <c r="D743" s="2">
        <f>196928864/(10^6)</f>
        <v>196.928864</v>
      </c>
      <c r="E743" s="5">
        <v>8.50183010101318</v>
      </c>
      <c r="F743" s="5">
        <v>1.02056562900543</v>
      </c>
      <c r="G743" s="5">
        <v>0.29381263256073</v>
      </c>
      <c r="H743" s="5">
        <v>7.70644378662109</v>
      </c>
      <c r="I743" t="s">
        <v>3</v>
      </c>
    </row>
    <row r="744" spans="1:9">
      <c r="A744" s="4" t="s">
        <v>1548</v>
      </c>
      <c r="B744" s="4" t="s">
        <v>1549</v>
      </c>
      <c r="C744" s="4" t="s">
        <v>47</v>
      </c>
      <c r="D744" s="2">
        <f>195872320/(10^6)</f>
        <v>195.87232</v>
      </c>
      <c r="E744" s="5">
        <v>57.468879699707</v>
      </c>
      <c r="F744" s="5">
        <v>0.405619621276855</v>
      </c>
      <c r="G744" s="5">
        <v>4.86616277694702</v>
      </c>
      <c r="H744" s="5">
        <v>18.8881969451904</v>
      </c>
      <c r="I744" t="s">
        <v>3</v>
      </c>
    </row>
    <row r="745" spans="1:9">
      <c r="A745" s="4" t="s">
        <v>1550</v>
      </c>
      <c r="B745" s="4" t="s">
        <v>1551</v>
      </c>
      <c r="C745" s="4" t="s">
        <v>49</v>
      </c>
      <c r="D745" s="2">
        <f>195592304/(10^6)</f>
        <v>195.592304</v>
      </c>
      <c r="E745" s="3" t="s">
        <v>86</v>
      </c>
      <c r="F745" s="3" t="s">
        <v>86</v>
      </c>
      <c r="G745" s="3" t="s">
        <v>86</v>
      </c>
      <c r="H745" s="3" t="s">
        <v>86</v>
      </c>
      <c r="I745" t="s">
        <v>3</v>
      </c>
    </row>
    <row r="746" spans="1:9">
      <c r="A746" s="4" t="s">
        <v>1552</v>
      </c>
      <c r="B746" s="4" t="s">
        <v>1553</v>
      </c>
      <c r="C746" s="4" t="s">
        <v>47</v>
      </c>
      <c r="D746" s="2">
        <f>186751328/(10^6)</f>
        <v>186.751328</v>
      </c>
      <c r="E746" s="5">
        <v>7.75862073898315</v>
      </c>
      <c r="F746" s="5">
        <v>0.56299364566803</v>
      </c>
      <c r="G746" s="5">
        <v>1.28139412403107</v>
      </c>
      <c r="H746" s="5">
        <v>15.4647407531738</v>
      </c>
      <c r="I746" t="s">
        <v>3</v>
      </c>
    </row>
    <row r="747" spans="1:9">
      <c r="A747" s="4" t="s">
        <v>1554</v>
      </c>
      <c r="B747" s="4" t="s">
        <v>1555</v>
      </c>
      <c r="C747" s="4" t="s">
        <v>45</v>
      </c>
      <c r="D747" s="2">
        <f>185853968/(10^6)</f>
        <v>185.853968</v>
      </c>
      <c r="E747" s="5">
        <v>5.49102401733398</v>
      </c>
      <c r="F747" s="5">
        <v>0.627039313316345</v>
      </c>
      <c r="G747" s="5">
        <v>3.31326246261597</v>
      </c>
      <c r="H747" s="5">
        <v>13.9581289291382</v>
      </c>
      <c r="I747" t="s">
        <v>3</v>
      </c>
    </row>
    <row r="748" spans="1:9">
      <c r="A748" s="4" t="s">
        <v>1556</v>
      </c>
      <c r="B748" s="4" t="s">
        <v>1557</v>
      </c>
      <c r="C748" s="4" t="s">
        <v>45</v>
      </c>
      <c r="D748" s="2">
        <f>182819808/(10^6)</f>
        <v>182.819808</v>
      </c>
      <c r="E748" s="5">
        <v>7.29537343978882</v>
      </c>
      <c r="F748" s="5">
        <v>0.219916492700577</v>
      </c>
      <c r="G748" s="5">
        <v>0.782618999481201</v>
      </c>
      <c r="H748" s="5">
        <v>35.6490020751953</v>
      </c>
      <c r="I748" t="s">
        <v>3</v>
      </c>
    </row>
    <row r="749" spans="1:9">
      <c r="A749" s="4" t="s">
        <v>1558</v>
      </c>
      <c r="B749" s="4" t="s">
        <v>1559</v>
      </c>
      <c r="C749" s="4" t="s">
        <v>37</v>
      </c>
      <c r="D749" s="2">
        <f>180817376/(10^6)</f>
        <v>180.817376</v>
      </c>
      <c r="E749" s="3" t="s">
        <v>86</v>
      </c>
      <c r="F749" s="5">
        <v>0.505098223686218</v>
      </c>
      <c r="G749" s="5">
        <v>0.946411192417145</v>
      </c>
      <c r="H749" s="3" t="s">
        <v>86</v>
      </c>
      <c r="I749" t="s">
        <v>3</v>
      </c>
    </row>
    <row r="750" spans="1:9">
      <c r="A750" s="4" t="s">
        <v>1560</v>
      </c>
      <c r="B750" s="4" t="s">
        <v>1561</v>
      </c>
      <c r="C750" s="4" t="s">
        <v>45</v>
      </c>
      <c r="D750" s="2">
        <f>178713168/(10^6)</f>
        <v>178.713168</v>
      </c>
      <c r="E750" s="3" t="s">
        <v>86</v>
      </c>
      <c r="F750" s="3" t="s">
        <v>86</v>
      </c>
      <c r="G750" s="3" t="s">
        <v>86</v>
      </c>
      <c r="H750" s="5">
        <v>8.71038818359375</v>
      </c>
      <c r="I750" t="s">
        <v>3</v>
      </c>
    </row>
    <row r="751" spans="1:9">
      <c r="A751" s="4" t="s">
        <v>1562</v>
      </c>
      <c r="B751" s="4" t="s">
        <v>1563</v>
      </c>
      <c r="C751" s="4" t="s">
        <v>35</v>
      </c>
      <c r="D751" s="2">
        <f>172929168/(10^6)</f>
        <v>172.929168</v>
      </c>
      <c r="E751" s="5">
        <v>6.468825340271</v>
      </c>
      <c r="F751" s="5">
        <v>0.818392872810364</v>
      </c>
      <c r="G751" s="5">
        <v>0.584954142570496</v>
      </c>
      <c r="H751" s="5">
        <v>4.63013458251953</v>
      </c>
      <c r="I751" t="s">
        <v>3</v>
      </c>
    </row>
    <row r="752" spans="1:9">
      <c r="A752" s="4" t="s">
        <v>1564</v>
      </c>
      <c r="B752" s="4" t="s">
        <v>1565</v>
      </c>
      <c r="C752" s="4" t="s">
        <v>31</v>
      </c>
      <c r="D752" s="2">
        <f>169849360/(10^6)</f>
        <v>169.84936</v>
      </c>
      <c r="E752" s="5">
        <v>5.64435577392578</v>
      </c>
      <c r="F752" s="5">
        <v>0.811563551425934</v>
      </c>
      <c r="G752" s="5">
        <v>0.362729400396347</v>
      </c>
      <c r="H752" s="5">
        <v>2.31454372406006</v>
      </c>
      <c r="I752" t="s">
        <v>3</v>
      </c>
    </row>
    <row r="753" spans="1:9">
      <c r="A753" s="4" t="s">
        <v>1566</v>
      </c>
      <c r="B753" s="4" t="s">
        <v>1567</v>
      </c>
      <c r="C753" s="4" t="s">
        <v>49</v>
      </c>
      <c r="D753" s="2">
        <f>167109568/(10^6)</f>
        <v>167.109568</v>
      </c>
      <c r="E753" s="3" t="s">
        <v>86</v>
      </c>
      <c r="F753" s="3" t="s">
        <v>86</v>
      </c>
      <c r="G753" s="3" t="s">
        <v>86</v>
      </c>
      <c r="H753" s="3" t="s">
        <v>86</v>
      </c>
      <c r="I753" t="s">
        <v>3</v>
      </c>
    </row>
    <row r="754" spans="1:9">
      <c r="A754" s="4" t="s">
        <v>1568</v>
      </c>
      <c r="B754" s="4" t="s">
        <v>1569</v>
      </c>
      <c r="C754" s="4" t="s">
        <v>31</v>
      </c>
      <c r="D754" s="2">
        <f>162990112/(10^6)</f>
        <v>162.990112</v>
      </c>
      <c r="E754" s="5">
        <v>4.31654644012451</v>
      </c>
      <c r="F754" s="5">
        <v>0.610308110713959</v>
      </c>
      <c r="G754" s="5">
        <v>0.204823419451714</v>
      </c>
      <c r="H754" s="5">
        <v>5.42610597610474</v>
      </c>
      <c r="I754" t="s">
        <v>3</v>
      </c>
    </row>
    <row r="755" spans="1:9">
      <c r="A755" s="4" t="s">
        <v>1570</v>
      </c>
      <c r="B755" s="4" t="s">
        <v>1571</v>
      </c>
      <c r="C755" s="4" t="s">
        <v>31</v>
      </c>
      <c r="D755" s="2">
        <f>160639184/(10^6)</f>
        <v>160.639184</v>
      </c>
      <c r="E755" s="5">
        <v>28.3673477172852</v>
      </c>
      <c r="F755" s="5">
        <v>0.544684946537018</v>
      </c>
      <c r="G755" s="5">
        <v>1.93965578079224</v>
      </c>
      <c r="H755" s="5">
        <v>20.0315361022949</v>
      </c>
      <c r="I755" t="s">
        <v>3</v>
      </c>
    </row>
    <row r="756" spans="1:9">
      <c r="A756" s="4" t="s">
        <v>1572</v>
      </c>
      <c r="B756" s="4" t="s">
        <v>1573</v>
      </c>
      <c r="C756" s="4" t="s">
        <v>37</v>
      </c>
      <c r="D756" s="2">
        <f>156995088/(10^6)</f>
        <v>156.995088</v>
      </c>
      <c r="E756" s="5">
        <v>3.65890693664551</v>
      </c>
      <c r="F756" s="5">
        <v>0.916047096252441</v>
      </c>
      <c r="G756" s="5">
        <v>0.440308541059494</v>
      </c>
      <c r="H756" s="5">
        <v>2.92170977592468</v>
      </c>
      <c r="I756" t="s">
        <v>3</v>
      </c>
    </row>
    <row r="757" spans="1:9">
      <c r="A757" s="4" t="s">
        <v>1574</v>
      </c>
      <c r="B757" s="4" t="s">
        <v>1575</v>
      </c>
      <c r="C757" s="4" t="s">
        <v>51</v>
      </c>
      <c r="D757" s="2">
        <f>154104112/(10^6)</f>
        <v>154.104112</v>
      </c>
      <c r="E757" s="5">
        <v>5.57068777084351</v>
      </c>
      <c r="F757" s="5">
        <v>0.994682252407074</v>
      </c>
      <c r="G757" s="5">
        <v>0.420631021261215</v>
      </c>
      <c r="H757" s="5">
        <v>0.643824398517609</v>
      </c>
      <c r="I757" t="s">
        <v>3</v>
      </c>
    </row>
    <row r="758" spans="1:9">
      <c r="A758" s="4" t="s">
        <v>1576</v>
      </c>
      <c r="B758" s="4" t="s">
        <v>1577</v>
      </c>
      <c r="C758" s="4" t="s">
        <v>47</v>
      </c>
      <c r="D758" s="2">
        <f>153072016/(10^6)</f>
        <v>153.072016</v>
      </c>
      <c r="E758" s="5">
        <v>10.9195404052734</v>
      </c>
      <c r="F758" s="5">
        <v>2.48421216011047</v>
      </c>
      <c r="G758" s="5">
        <v>1.05233418941498</v>
      </c>
      <c r="H758" s="5">
        <v>4.96485185623169</v>
      </c>
      <c r="I758" t="s">
        <v>3</v>
      </c>
    </row>
    <row r="759" spans="1:9">
      <c r="A759" s="4" t="s">
        <v>1578</v>
      </c>
      <c r="B759" s="4" t="s">
        <v>1579</v>
      </c>
      <c r="C759" s="4" t="s">
        <v>43</v>
      </c>
      <c r="D759" s="2">
        <f>151572144/(10^6)</f>
        <v>151.572144</v>
      </c>
      <c r="E759" s="5">
        <v>22.3943672180176</v>
      </c>
      <c r="F759" s="5">
        <v>2.37229871749878</v>
      </c>
      <c r="G759" s="5">
        <v>1.70036387443543</v>
      </c>
      <c r="H759" s="5">
        <v>8.29902648925781</v>
      </c>
      <c r="I759" t="s">
        <v>3</v>
      </c>
    </row>
    <row r="760" spans="1:9">
      <c r="A760" s="4" t="s">
        <v>1580</v>
      </c>
      <c r="B760" s="4" t="s">
        <v>1581</v>
      </c>
      <c r="C760" s="4" t="s">
        <v>31</v>
      </c>
      <c r="D760" s="2">
        <f>147442512/(10^6)</f>
        <v>147.442512</v>
      </c>
      <c r="E760" s="5">
        <v>12.2591943740845</v>
      </c>
      <c r="F760" s="5">
        <v>0.718527734279633</v>
      </c>
      <c r="G760" s="5">
        <v>1.00083744525909</v>
      </c>
      <c r="H760" s="5">
        <v>3.62411689758301</v>
      </c>
      <c r="I760" t="s">
        <v>3</v>
      </c>
    </row>
    <row r="761" spans="1:9">
      <c r="A761" s="4" t="s">
        <v>1582</v>
      </c>
      <c r="B761" s="4" t="s">
        <v>1583</v>
      </c>
      <c r="C761" s="4" t="s">
        <v>51</v>
      </c>
      <c r="D761" s="2">
        <f>144347376/(10^6)</f>
        <v>144.347376</v>
      </c>
      <c r="E761" s="5">
        <v>16.808069229126</v>
      </c>
      <c r="F761" s="5">
        <v>3.60659217834473</v>
      </c>
      <c r="G761" s="5">
        <v>3.41150403022766</v>
      </c>
      <c r="H761" s="5">
        <v>8.3947811126709</v>
      </c>
      <c r="I761" t="s">
        <v>3</v>
      </c>
    </row>
    <row r="762" spans="1:9">
      <c r="A762" s="4" t="s">
        <v>1584</v>
      </c>
      <c r="B762" s="4" t="s">
        <v>1585</v>
      </c>
      <c r="C762" s="4" t="s">
        <v>47</v>
      </c>
      <c r="D762" s="2">
        <f>144335168/(10^6)</f>
        <v>144.335168</v>
      </c>
      <c r="E762" s="3" t="s">
        <v>86</v>
      </c>
      <c r="F762" s="5">
        <v>0.311387956142426</v>
      </c>
      <c r="G762" s="5">
        <v>0.605023622512817</v>
      </c>
      <c r="H762" s="5">
        <v>13.2429914474487</v>
      </c>
      <c r="I762" t="s">
        <v>3</v>
      </c>
    </row>
    <row r="763" spans="1:9">
      <c r="A763" s="4" t="s">
        <v>1586</v>
      </c>
      <c r="B763" s="4" t="s">
        <v>1587</v>
      </c>
      <c r="C763" s="4" t="s">
        <v>31</v>
      </c>
      <c r="D763" s="2">
        <f>143831552/(10^6)</f>
        <v>143.831552</v>
      </c>
      <c r="E763" s="5">
        <v>8.73239421844482</v>
      </c>
      <c r="F763" s="5">
        <v>0.677354276180267</v>
      </c>
      <c r="G763" s="5">
        <v>0.625884592533112</v>
      </c>
      <c r="H763" s="5">
        <v>5.92666864395142</v>
      </c>
      <c r="I763" t="s">
        <v>3</v>
      </c>
    </row>
    <row r="764" spans="1:9">
      <c r="A764" s="4" t="s">
        <v>1588</v>
      </c>
      <c r="B764" s="4" t="s">
        <v>1589</v>
      </c>
      <c r="C764" s="4" t="s">
        <v>31</v>
      </c>
      <c r="D764" s="2">
        <f>142692672/(10^6)</f>
        <v>142.692672</v>
      </c>
      <c r="E764" s="5">
        <v>9.56480121612549</v>
      </c>
      <c r="F764" s="5">
        <v>0.970006048679352</v>
      </c>
      <c r="G764" s="5">
        <v>0.255445539951324</v>
      </c>
      <c r="H764" s="5">
        <v>5.31258296966553</v>
      </c>
      <c r="I764" t="s">
        <v>3</v>
      </c>
    </row>
    <row r="765" spans="1:9">
      <c r="A765" s="4" t="s">
        <v>1590</v>
      </c>
      <c r="B765" s="4" t="s">
        <v>1591</v>
      </c>
      <c r="C765" s="4" t="s">
        <v>45</v>
      </c>
      <c r="D765" s="2">
        <f>142427344/(10^6)</f>
        <v>142.427344</v>
      </c>
      <c r="E765" s="5">
        <v>7.62129878997803</v>
      </c>
      <c r="F765" s="5">
        <v>0.453099608421326</v>
      </c>
      <c r="G765" s="5">
        <v>0.512821674346924</v>
      </c>
      <c r="H765" s="5">
        <v>9.97463607788086</v>
      </c>
      <c r="I765" t="s">
        <v>3</v>
      </c>
    </row>
    <row r="766" spans="1:9">
      <c r="A766" s="4" t="s">
        <v>1592</v>
      </c>
      <c r="B766" s="4" t="s">
        <v>1593</v>
      </c>
      <c r="C766" s="4" t="s">
        <v>49</v>
      </c>
      <c r="D766" s="2">
        <f>136603648/(10^6)</f>
        <v>136.603648</v>
      </c>
      <c r="E766" s="3" t="s">
        <v>86</v>
      </c>
      <c r="F766" s="3" t="s">
        <v>86</v>
      </c>
      <c r="G766" s="3" t="s">
        <v>86</v>
      </c>
      <c r="H766" s="3" t="s">
        <v>86</v>
      </c>
      <c r="I766" t="s">
        <v>3</v>
      </c>
    </row>
    <row r="767" spans="1:9">
      <c r="A767" s="4" t="s">
        <v>1594</v>
      </c>
      <c r="B767" s="4" t="s">
        <v>1595</v>
      </c>
      <c r="C767" s="4" t="s">
        <v>49</v>
      </c>
      <c r="D767" s="2">
        <f>135300112/(10^6)</f>
        <v>135.300112</v>
      </c>
      <c r="E767" s="3" t="s">
        <v>86</v>
      </c>
      <c r="F767" s="3" t="s">
        <v>86</v>
      </c>
      <c r="G767" s="3" t="s">
        <v>86</v>
      </c>
      <c r="H767" s="3" t="s">
        <v>86</v>
      </c>
      <c r="I767" t="s">
        <v>3</v>
      </c>
    </row>
    <row r="768" spans="1:9">
      <c r="A768" s="4" t="s">
        <v>1596</v>
      </c>
      <c r="B768" s="4" t="s">
        <v>1597</v>
      </c>
      <c r="C768" s="4" t="s">
        <v>31</v>
      </c>
      <c r="D768" s="2">
        <f>131451032/(10^6)</f>
        <v>131.451032</v>
      </c>
      <c r="E768" s="5">
        <v>4.75543451309204</v>
      </c>
      <c r="F768" s="5">
        <v>0.247515127062798</v>
      </c>
      <c r="G768" s="5">
        <v>0.326707690954208</v>
      </c>
      <c r="H768" s="5">
        <v>10.2677536010742</v>
      </c>
      <c r="I768" t="s">
        <v>3</v>
      </c>
    </row>
    <row r="769" spans="1:9">
      <c r="A769" s="4" t="s">
        <v>1598</v>
      </c>
      <c r="B769" s="4" t="s">
        <v>1599</v>
      </c>
      <c r="C769" s="4" t="s">
        <v>47</v>
      </c>
      <c r="D769" s="2">
        <f>131087104/(10^6)</f>
        <v>131.087104</v>
      </c>
      <c r="E769" s="5">
        <v>6.24874019622803</v>
      </c>
      <c r="F769" s="5">
        <v>0.441301852464676</v>
      </c>
      <c r="G769" s="5">
        <v>1.91059648990631</v>
      </c>
      <c r="H769" s="5">
        <v>9.46761417388916</v>
      </c>
      <c r="I769" t="s">
        <v>3</v>
      </c>
    </row>
    <row r="770" spans="1:9">
      <c r="A770" s="4" t="s">
        <v>1600</v>
      </c>
      <c r="B770" s="4" t="s">
        <v>1601</v>
      </c>
      <c r="C770" s="4" t="s">
        <v>45</v>
      </c>
      <c r="D770" s="2">
        <f>130486432/(10^6)</f>
        <v>130.486432</v>
      </c>
      <c r="E770" s="5">
        <v>26.2626266479492</v>
      </c>
      <c r="F770" s="5">
        <v>0.890865445137024</v>
      </c>
      <c r="G770" s="5">
        <v>11.8386297225952</v>
      </c>
      <c r="H770" s="5">
        <v>32.644458770752</v>
      </c>
      <c r="I770" t="s">
        <v>3</v>
      </c>
    </row>
    <row r="771" spans="1:9">
      <c r="A771" s="4" t="s">
        <v>1602</v>
      </c>
      <c r="B771" s="4" t="s">
        <v>1603</v>
      </c>
      <c r="C771" s="4" t="s">
        <v>51</v>
      </c>
      <c r="D771" s="2">
        <f>129086680/(10^6)</f>
        <v>129.08668</v>
      </c>
      <c r="E771" s="5">
        <v>7.39034032821655</v>
      </c>
      <c r="F771" s="5">
        <v>1.01315307617188</v>
      </c>
      <c r="G771" s="5">
        <v>0.381092876195908</v>
      </c>
      <c r="H771" s="5">
        <v>6.69234752655029</v>
      </c>
      <c r="I771" t="s">
        <v>3</v>
      </c>
    </row>
    <row r="772" spans="1:9">
      <c r="A772" s="4" t="s">
        <v>1604</v>
      </c>
      <c r="B772" s="4" t="s">
        <v>1605</v>
      </c>
      <c r="C772" s="4" t="s">
        <v>49</v>
      </c>
      <c r="D772" s="2">
        <f>128943848/(10^6)</f>
        <v>128.943848</v>
      </c>
      <c r="E772" s="3" t="s">
        <v>86</v>
      </c>
      <c r="F772" s="3" t="s">
        <v>86</v>
      </c>
      <c r="G772" s="3" t="s">
        <v>86</v>
      </c>
      <c r="H772" s="3" t="s">
        <v>86</v>
      </c>
      <c r="I772" t="s">
        <v>3</v>
      </c>
    </row>
    <row r="773" spans="1:9">
      <c r="A773" s="4" t="s">
        <v>1606</v>
      </c>
      <c r="B773" s="4" t="s">
        <v>1607</v>
      </c>
      <c r="C773" s="4" t="s">
        <v>35</v>
      </c>
      <c r="D773" s="2">
        <f>122733352/(10^6)</f>
        <v>122.733352</v>
      </c>
      <c r="E773" s="3" t="s">
        <v>86</v>
      </c>
      <c r="F773" s="5">
        <v>0.27659210562706</v>
      </c>
      <c r="G773" s="5">
        <v>0.064823687076569</v>
      </c>
      <c r="H773" s="5">
        <v>9.5700159072876</v>
      </c>
      <c r="I773" t="s">
        <v>3</v>
      </c>
    </row>
    <row r="774" spans="1:9">
      <c r="A774" s="4" t="s">
        <v>1608</v>
      </c>
      <c r="B774" s="4" t="s">
        <v>1609</v>
      </c>
      <c r="C774" s="4" t="s">
        <v>45</v>
      </c>
      <c r="D774" s="2">
        <f>119566768/(10^6)</f>
        <v>119.566768</v>
      </c>
      <c r="E774" s="5">
        <v>0.837869226932526</v>
      </c>
      <c r="F774" s="5">
        <v>0.153466135263443</v>
      </c>
      <c r="G774" s="5">
        <v>2.30989694595337</v>
      </c>
      <c r="H774" s="3" t="s">
        <v>86</v>
      </c>
      <c r="I774" t="s">
        <v>3</v>
      </c>
    </row>
    <row r="775" spans="1:9">
      <c r="A775" s="4" t="s">
        <v>1610</v>
      </c>
      <c r="B775" s="4" t="s">
        <v>1611</v>
      </c>
      <c r="C775" s="4" t="s">
        <v>51</v>
      </c>
      <c r="D775" s="2">
        <f>118516776/(10^6)</f>
        <v>118.516776</v>
      </c>
      <c r="E775" s="3" t="s">
        <v>86</v>
      </c>
      <c r="F775" s="5">
        <v>0.449465095996857</v>
      </c>
      <c r="G775" s="3" t="s">
        <v>86</v>
      </c>
      <c r="H775" s="3" t="s">
        <v>86</v>
      </c>
      <c r="I775" t="s">
        <v>3</v>
      </c>
    </row>
    <row r="776" spans="1:9">
      <c r="A776" s="4" t="s">
        <v>1612</v>
      </c>
      <c r="B776" s="4" t="s">
        <v>1613</v>
      </c>
      <c r="C776" s="4" t="s">
        <v>41</v>
      </c>
      <c r="D776" s="2">
        <f>118441888/(10^6)</f>
        <v>118.441888</v>
      </c>
      <c r="E776" s="5">
        <v>8.31099224090576</v>
      </c>
      <c r="F776" s="5">
        <v>0.544853746891022</v>
      </c>
      <c r="G776" s="5">
        <v>7.0104022026062</v>
      </c>
      <c r="H776" s="5">
        <v>51.3110313415527</v>
      </c>
      <c r="I776" t="s">
        <v>3</v>
      </c>
    </row>
    <row r="777" spans="1:9">
      <c r="A777" s="4" t="s">
        <v>1614</v>
      </c>
      <c r="B777" s="4" t="s">
        <v>1615</v>
      </c>
      <c r="C777" s="4" t="s">
        <v>43</v>
      </c>
      <c r="D777" s="2">
        <f>118316072/(10^6)</f>
        <v>118.316072</v>
      </c>
      <c r="E777" s="5">
        <v>7.95300626754761</v>
      </c>
      <c r="F777" s="5">
        <v>0.426836788654327</v>
      </c>
      <c r="G777" s="5">
        <v>1.74837577342987</v>
      </c>
      <c r="H777" s="3" t="s">
        <v>86</v>
      </c>
      <c r="I777" t="s">
        <v>3</v>
      </c>
    </row>
    <row r="778" spans="1:9">
      <c r="A778" s="4" t="s">
        <v>1616</v>
      </c>
      <c r="B778" s="4" t="s">
        <v>1617</v>
      </c>
      <c r="C778" s="4" t="s">
        <v>31</v>
      </c>
      <c r="D778" s="2">
        <f>117364152/(10^6)</f>
        <v>117.364152</v>
      </c>
      <c r="E778" s="5">
        <v>4.84042549133301</v>
      </c>
      <c r="F778" s="5">
        <v>0.425763875246048</v>
      </c>
      <c r="G778" s="5">
        <v>0.872311770915985</v>
      </c>
      <c r="H778" s="5">
        <v>7.75162506103516</v>
      </c>
      <c r="I778" t="s">
        <v>3</v>
      </c>
    </row>
    <row r="779" spans="1:9">
      <c r="A779" s="4" t="s">
        <v>1618</v>
      </c>
      <c r="B779" s="4" t="s">
        <v>1619</v>
      </c>
      <c r="C779" s="4" t="s">
        <v>47</v>
      </c>
      <c r="D779" s="2">
        <f>117316160/(10^6)</f>
        <v>117.31616</v>
      </c>
      <c r="E779" s="5">
        <v>4.58982419967651</v>
      </c>
      <c r="F779" s="5">
        <v>0.795648336410522</v>
      </c>
      <c r="G779" s="5">
        <v>0.332737475633621</v>
      </c>
      <c r="H779" s="5">
        <v>2.46972870826721</v>
      </c>
      <c r="I779" t="s">
        <v>3</v>
      </c>
    </row>
    <row r="780" spans="1:9">
      <c r="A780" s="4" t="s">
        <v>1620</v>
      </c>
      <c r="B780" s="4" t="s">
        <v>1621</v>
      </c>
      <c r="C780" s="4" t="s">
        <v>33</v>
      </c>
      <c r="D780" s="2">
        <f>117009752/(10^6)</f>
        <v>117.009752</v>
      </c>
      <c r="E780" s="5">
        <v>8.72180461883545</v>
      </c>
      <c r="F780" s="5">
        <v>0.11599999666214</v>
      </c>
      <c r="G780" s="5">
        <v>0.523432612419128</v>
      </c>
      <c r="H780" s="5">
        <v>9.2369966506958</v>
      </c>
      <c r="I780" t="s">
        <v>3</v>
      </c>
    </row>
    <row r="781" spans="1:9">
      <c r="A781" s="4" t="s">
        <v>1622</v>
      </c>
      <c r="B781" s="4" t="s">
        <v>1623</v>
      </c>
      <c r="C781" s="4" t="s">
        <v>45</v>
      </c>
      <c r="D781" s="2">
        <f>116801120/(10^6)</f>
        <v>116.80112</v>
      </c>
      <c r="E781" s="5">
        <v>8.21033191680908</v>
      </c>
      <c r="F781" s="5">
        <v>2.37446045875549</v>
      </c>
      <c r="G781" s="5">
        <v>0.392175853252411</v>
      </c>
      <c r="H781" s="5">
        <v>3.28042149543762</v>
      </c>
      <c r="I781" t="s">
        <v>3</v>
      </c>
    </row>
    <row r="782" spans="1:9">
      <c r="A782" s="4" t="s">
        <v>1624</v>
      </c>
      <c r="B782" s="4" t="s">
        <v>1625</v>
      </c>
      <c r="C782" s="4" t="s">
        <v>33</v>
      </c>
      <c r="D782" s="2">
        <f>115831816/(10^6)</f>
        <v>115.831816</v>
      </c>
      <c r="E782" s="5">
        <v>8.33891296386719</v>
      </c>
      <c r="F782" s="5">
        <v>0.743845641613007</v>
      </c>
      <c r="G782" s="5">
        <v>0.598467528820038</v>
      </c>
      <c r="H782" s="5">
        <v>5.11583375930786</v>
      </c>
      <c r="I782" t="s">
        <v>3</v>
      </c>
    </row>
    <row r="783" spans="1:9">
      <c r="A783" s="4" t="s">
        <v>1626</v>
      </c>
      <c r="B783" s="4" t="s">
        <v>1627</v>
      </c>
      <c r="C783" s="4" t="s">
        <v>31</v>
      </c>
      <c r="D783" s="2">
        <f>113778368/(10^6)</f>
        <v>113.778368</v>
      </c>
      <c r="E783" s="5">
        <v>18.973747253418</v>
      </c>
      <c r="F783" s="5">
        <v>0.412926733493805</v>
      </c>
      <c r="G783" s="5">
        <v>0.225037291646004</v>
      </c>
      <c r="H783" s="5">
        <v>3.41111350059509</v>
      </c>
      <c r="I783" t="s">
        <v>3</v>
      </c>
    </row>
    <row r="784" spans="1:9">
      <c r="A784" s="4" t="s">
        <v>1628</v>
      </c>
      <c r="B784" s="4" t="s">
        <v>1629</v>
      </c>
      <c r="C784" s="4" t="s">
        <v>45</v>
      </c>
      <c r="D784" s="2">
        <f>113008432/(10^6)</f>
        <v>113.008432</v>
      </c>
      <c r="E784" s="3" t="s">
        <v>86</v>
      </c>
      <c r="F784" s="5">
        <v>0.367494493722916</v>
      </c>
      <c r="G784" s="5">
        <v>1.83250737190247</v>
      </c>
      <c r="H784" s="3" t="s">
        <v>86</v>
      </c>
      <c r="I784" t="s">
        <v>3</v>
      </c>
    </row>
    <row r="785" spans="1:9">
      <c r="A785" s="4" t="s">
        <v>1630</v>
      </c>
      <c r="B785" s="4" t="s">
        <v>1631</v>
      </c>
      <c r="C785" s="4" t="s">
        <v>33</v>
      </c>
      <c r="D785" s="2">
        <f>111906544/(10^6)</f>
        <v>111.906544</v>
      </c>
      <c r="E785" s="5">
        <v>11.5235948562622</v>
      </c>
      <c r="F785" s="5">
        <v>2.60125136375427</v>
      </c>
      <c r="G785" s="5">
        <v>2.12282848358154</v>
      </c>
      <c r="H785" s="5">
        <v>8.30142021179199</v>
      </c>
      <c r="I785" t="s">
        <v>3</v>
      </c>
    </row>
    <row r="786" spans="1:9">
      <c r="A786" s="4" t="s">
        <v>1632</v>
      </c>
      <c r="B786" s="4" t="s">
        <v>1633</v>
      </c>
      <c r="C786" s="4" t="s">
        <v>45</v>
      </c>
      <c r="D786" s="2">
        <f>110595896/(10^6)</f>
        <v>110.595896</v>
      </c>
      <c r="E786" s="3" t="s">
        <v>86</v>
      </c>
      <c r="F786" s="5">
        <v>0.448776066303253</v>
      </c>
      <c r="G786" s="5">
        <v>7.1274299621582</v>
      </c>
      <c r="H786" s="5">
        <v>34.3869514465332</v>
      </c>
      <c r="I786" t="s">
        <v>3</v>
      </c>
    </row>
    <row r="787" spans="1:9">
      <c r="A787" s="4" t="s">
        <v>1634</v>
      </c>
      <c r="B787" s="4" t="s">
        <v>1635</v>
      </c>
      <c r="C787" s="4" t="s">
        <v>43</v>
      </c>
      <c r="D787" s="2">
        <f>109437480/(10^6)</f>
        <v>109.43748</v>
      </c>
      <c r="E787" s="5">
        <v>10.1018257141113</v>
      </c>
      <c r="F787" s="5">
        <v>0.554027676582336</v>
      </c>
      <c r="G787" s="5">
        <v>1.9154886007309</v>
      </c>
      <c r="H787" s="3" t="s">
        <v>86</v>
      </c>
      <c r="I787" t="s">
        <v>3</v>
      </c>
    </row>
    <row r="788" spans="1:9">
      <c r="A788" s="4" t="s">
        <v>1636</v>
      </c>
      <c r="B788" s="4" t="s">
        <v>1637</v>
      </c>
      <c r="C788" s="4" t="s">
        <v>47</v>
      </c>
      <c r="D788" s="2">
        <f>109271048/(10^6)</f>
        <v>109.271048</v>
      </c>
      <c r="E788" s="5">
        <v>15.877272605896</v>
      </c>
      <c r="F788" s="5">
        <v>0.860850930213928</v>
      </c>
      <c r="G788" s="5">
        <v>0.77393102645874</v>
      </c>
      <c r="H788" s="5">
        <v>4.77791881561279</v>
      </c>
      <c r="I788" t="s">
        <v>3</v>
      </c>
    </row>
    <row r="789" spans="1:9">
      <c r="A789" s="4" t="s">
        <v>1638</v>
      </c>
      <c r="B789" s="4" t="s">
        <v>1639</v>
      </c>
      <c r="C789" s="4" t="s">
        <v>31</v>
      </c>
      <c r="D789" s="2">
        <f>109068016/(10^6)</f>
        <v>109.068016</v>
      </c>
      <c r="E789" s="5">
        <v>18.6693820953369</v>
      </c>
      <c r="F789" s="5">
        <v>0.478686302900314</v>
      </c>
      <c r="G789" s="5">
        <v>0.624659299850464</v>
      </c>
      <c r="H789" s="5">
        <v>13.3898096084595</v>
      </c>
      <c r="I789" t="s">
        <v>3</v>
      </c>
    </row>
    <row r="790" spans="1:9">
      <c r="A790" s="4" t="s">
        <v>1640</v>
      </c>
      <c r="B790" s="4" t="s">
        <v>1641</v>
      </c>
      <c r="C790" s="4" t="s">
        <v>31</v>
      </c>
      <c r="D790" s="2">
        <f>108287568/(10^6)</f>
        <v>108.287568</v>
      </c>
      <c r="E790" s="5">
        <v>11.7159767150879</v>
      </c>
      <c r="F790" s="5">
        <v>0.911136567592621</v>
      </c>
      <c r="G790" s="5">
        <v>0.768010437488556</v>
      </c>
      <c r="H790" s="5">
        <v>2.8599648475647</v>
      </c>
      <c r="I790" t="s">
        <v>3</v>
      </c>
    </row>
    <row r="791" spans="1:9">
      <c r="A791" s="4" t="s">
        <v>1642</v>
      </c>
      <c r="B791" s="4" t="s">
        <v>1643</v>
      </c>
      <c r="C791" s="4" t="s">
        <v>49</v>
      </c>
      <c r="D791" s="2">
        <f>103527800/(10^6)</f>
        <v>103.5278</v>
      </c>
      <c r="E791" s="3" t="s">
        <v>86</v>
      </c>
      <c r="F791" s="3" t="s">
        <v>86</v>
      </c>
      <c r="G791" s="3" t="s">
        <v>86</v>
      </c>
      <c r="H791" s="3" t="s">
        <v>86</v>
      </c>
      <c r="I791" t="s">
        <v>3</v>
      </c>
    </row>
    <row r="792" spans="1:9">
      <c r="A792" s="4" t="s">
        <v>1644</v>
      </c>
      <c r="B792" s="4" t="s">
        <v>1645</v>
      </c>
      <c r="C792" s="4" t="s">
        <v>41</v>
      </c>
      <c r="D792" s="2">
        <f>103305608/(10^6)</f>
        <v>103.305608</v>
      </c>
      <c r="E792" s="5">
        <v>20.0704212188721</v>
      </c>
      <c r="F792" s="5">
        <v>2.38457798957825</v>
      </c>
      <c r="G792" s="5">
        <v>3.50829672813416</v>
      </c>
      <c r="H792" s="5">
        <v>9.72221660614014</v>
      </c>
      <c r="I792" t="s">
        <v>3</v>
      </c>
    </row>
    <row r="793" spans="1:9">
      <c r="A793" s="4" t="s">
        <v>1646</v>
      </c>
      <c r="B793" s="4" t="s">
        <v>1647</v>
      </c>
      <c r="C793" s="4" t="s">
        <v>49</v>
      </c>
      <c r="D793" s="2">
        <f>99143896/(10^6)</f>
        <v>99.143896</v>
      </c>
      <c r="E793" s="3" t="s">
        <v>86</v>
      </c>
      <c r="F793" s="3" t="s">
        <v>86</v>
      </c>
      <c r="G793" s="3" t="s">
        <v>86</v>
      </c>
      <c r="H793" s="3" t="s">
        <v>86</v>
      </c>
      <c r="I793" t="s">
        <v>3</v>
      </c>
    </row>
    <row r="794" spans="1:9">
      <c r="A794" s="4" t="s">
        <v>1648</v>
      </c>
      <c r="B794" s="4" t="s">
        <v>1649</v>
      </c>
      <c r="C794" s="4" t="s">
        <v>43</v>
      </c>
      <c r="D794" s="2">
        <f>97388824/(10^6)</f>
        <v>97.388824</v>
      </c>
      <c r="E794" s="5">
        <v>5.24805068969727</v>
      </c>
      <c r="F794" s="5">
        <v>0.626848578453064</v>
      </c>
      <c r="G794" s="5">
        <v>0.566106200218201</v>
      </c>
      <c r="H794" s="5">
        <v>13.9531488418579</v>
      </c>
      <c r="I794" t="s">
        <v>3</v>
      </c>
    </row>
    <row r="795" spans="1:9">
      <c r="A795" s="4" t="s">
        <v>1650</v>
      </c>
      <c r="B795" s="4" t="s">
        <v>1651</v>
      </c>
      <c r="C795" s="4" t="s">
        <v>49</v>
      </c>
      <c r="D795" s="2">
        <f>97375312/(10^6)</f>
        <v>97.375312</v>
      </c>
      <c r="E795" s="3" t="s">
        <v>86</v>
      </c>
      <c r="F795" s="3" t="s">
        <v>86</v>
      </c>
      <c r="G795" s="3" t="s">
        <v>86</v>
      </c>
      <c r="H795" s="3" t="s">
        <v>86</v>
      </c>
      <c r="I795" t="s">
        <v>3</v>
      </c>
    </row>
    <row r="796" spans="1:9">
      <c r="A796" s="4" t="s">
        <v>1652</v>
      </c>
      <c r="B796" s="4" t="s">
        <v>1651</v>
      </c>
      <c r="C796" s="4" t="s">
        <v>49</v>
      </c>
      <c r="D796" s="2">
        <f>96993528/(10^6)</f>
        <v>96.993528</v>
      </c>
      <c r="E796" s="3" t="s">
        <v>86</v>
      </c>
      <c r="F796" s="3" t="s">
        <v>86</v>
      </c>
      <c r="G796" s="3" t="s">
        <v>86</v>
      </c>
      <c r="H796" s="3" t="s">
        <v>86</v>
      </c>
      <c r="I796" t="s">
        <v>3</v>
      </c>
    </row>
    <row r="797" spans="1:9">
      <c r="A797" s="4" t="s">
        <v>1653</v>
      </c>
      <c r="B797" s="4" t="s">
        <v>1654</v>
      </c>
      <c r="C797" s="4" t="s">
        <v>47</v>
      </c>
      <c r="D797" s="2">
        <f>96866488/(10^6)</f>
        <v>96.866488</v>
      </c>
      <c r="E797" s="5">
        <v>7.72994136810303</v>
      </c>
      <c r="F797" s="5">
        <v>1.32563233375549</v>
      </c>
      <c r="G797" s="5">
        <v>0.413742542266846</v>
      </c>
      <c r="H797" s="5">
        <v>1.98752164840698</v>
      </c>
      <c r="I797" t="s">
        <v>3</v>
      </c>
    </row>
    <row r="798" spans="1:9">
      <c r="A798" s="4" t="s">
        <v>1655</v>
      </c>
      <c r="B798" s="4" t="s">
        <v>1656</v>
      </c>
      <c r="C798" s="4" t="s">
        <v>47</v>
      </c>
      <c r="D798" s="2">
        <f>96585144/(10^6)</f>
        <v>96.585144</v>
      </c>
      <c r="E798" s="5">
        <v>10.7696342468262</v>
      </c>
      <c r="F798" s="5">
        <v>1.91074478626251</v>
      </c>
      <c r="G798" s="5">
        <v>0.852954745292664</v>
      </c>
      <c r="H798" s="5">
        <v>4.83794212341309</v>
      </c>
      <c r="I798" t="s">
        <v>3</v>
      </c>
    </row>
    <row r="799" spans="1:9">
      <c r="A799" s="4" t="s">
        <v>1657</v>
      </c>
      <c r="B799" s="4" t="s">
        <v>1658</v>
      </c>
      <c r="C799" s="4" t="s">
        <v>37</v>
      </c>
      <c r="D799" s="2">
        <f>96551088/(10^6)</f>
        <v>96.551088</v>
      </c>
      <c r="E799" s="5">
        <v>8.27586269378662</v>
      </c>
      <c r="F799" s="5">
        <v>0.671122193336487</v>
      </c>
      <c r="G799" s="5">
        <v>1.04334211349487</v>
      </c>
      <c r="H799" s="5">
        <v>4.68703174591065</v>
      </c>
      <c r="I799" t="s">
        <v>3</v>
      </c>
    </row>
    <row r="800" spans="1:9">
      <c r="A800" s="4" t="s">
        <v>1659</v>
      </c>
      <c r="B800" s="4" t="s">
        <v>1660</v>
      </c>
      <c r="C800" s="4" t="s">
        <v>37</v>
      </c>
      <c r="D800" s="2">
        <f>96493816/(10^6)</f>
        <v>96.493816</v>
      </c>
      <c r="E800" s="5">
        <v>1.45108830928802</v>
      </c>
      <c r="F800" s="5">
        <v>0.9331014752388</v>
      </c>
      <c r="G800" s="5">
        <v>0.932088255882263</v>
      </c>
      <c r="H800" s="5">
        <v>0.81867653131485</v>
      </c>
      <c r="I800" t="s">
        <v>3</v>
      </c>
    </row>
    <row r="801" spans="1:9">
      <c r="A801" s="4" t="s">
        <v>1661</v>
      </c>
      <c r="B801" s="4" t="s">
        <v>1662</v>
      </c>
      <c r="C801" s="4" t="s">
        <v>49</v>
      </c>
      <c r="D801" s="2">
        <f>96466504/(10^6)</f>
        <v>96.466504</v>
      </c>
      <c r="E801" s="3" t="s">
        <v>86</v>
      </c>
      <c r="F801" s="3" t="s">
        <v>86</v>
      </c>
      <c r="G801" s="3" t="s">
        <v>86</v>
      </c>
      <c r="H801" s="3" t="s">
        <v>86</v>
      </c>
      <c r="I801" t="s">
        <v>3</v>
      </c>
    </row>
    <row r="802" spans="1:9">
      <c r="A802" s="4" t="s">
        <v>1663</v>
      </c>
      <c r="B802" s="4" t="s">
        <v>1664</v>
      </c>
      <c r="C802" s="4" t="s">
        <v>45</v>
      </c>
      <c r="D802" s="2">
        <f>96374016/(10^6)</f>
        <v>96.374016</v>
      </c>
      <c r="E802" s="5">
        <v>10.0671148300171</v>
      </c>
      <c r="F802" s="5">
        <v>1.18008947372437</v>
      </c>
      <c r="G802" s="5">
        <v>0.668717443943024</v>
      </c>
      <c r="H802" s="5">
        <v>5.50703620910645</v>
      </c>
      <c r="I802" t="s">
        <v>3</v>
      </c>
    </row>
    <row r="803" spans="1:9">
      <c r="A803" s="4" t="s">
        <v>1665</v>
      </c>
      <c r="B803" s="4" t="s">
        <v>1666</v>
      </c>
      <c r="C803" s="4" t="s">
        <v>31</v>
      </c>
      <c r="D803" s="2">
        <f>95813192/(10^6)</f>
        <v>95.813192</v>
      </c>
      <c r="E803" s="5">
        <v>8.4152717590332</v>
      </c>
      <c r="F803" s="5">
        <v>0.715603888034821</v>
      </c>
      <c r="G803" s="5">
        <v>0.38830029964447</v>
      </c>
      <c r="H803" s="5">
        <v>6.22438144683838</v>
      </c>
      <c r="I803" t="s">
        <v>3</v>
      </c>
    </row>
    <row r="804" spans="1:9">
      <c r="A804" s="4" t="s">
        <v>1667</v>
      </c>
      <c r="B804" s="4" t="s">
        <v>1668</v>
      </c>
      <c r="C804" s="4" t="s">
        <v>47</v>
      </c>
      <c r="D804" s="2">
        <f>94404912/(10^6)</f>
        <v>94.404912</v>
      </c>
      <c r="E804" s="5">
        <v>9.38901329040527</v>
      </c>
      <c r="F804" s="5">
        <v>1.00493466854096</v>
      </c>
      <c r="G804" s="5">
        <v>0.634893536567688</v>
      </c>
      <c r="H804" s="5">
        <v>8.89981269836426</v>
      </c>
      <c r="I804" t="s">
        <v>3</v>
      </c>
    </row>
    <row r="805" spans="1:9">
      <c r="A805" s="4" t="s">
        <v>1669</v>
      </c>
      <c r="B805" s="4" t="s">
        <v>1670</v>
      </c>
      <c r="C805" s="4" t="s">
        <v>49</v>
      </c>
      <c r="D805" s="2">
        <f>93251144/(10^6)</f>
        <v>93.251144</v>
      </c>
      <c r="E805" s="3" t="s">
        <v>86</v>
      </c>
      <c r="F805" s="3" t="s">
        <v>86</v>
      </c>
      <c r="G805" s="3" t="s">
        <v>86</v>
      </c>
      <c r="H805" s="3" t="s">
        <v>86</v>
      </c>
      <c r="I805" t="s">
        <v>3</v>
      </c>
    </row>
    <row r="806" spans="1:9">
      <c r="A806" s="4" t="s">
        <v>1671</v>
      </c>
      <c r="B806" s="4" t="s">
        <v>1672</v>
      </c>
      <c r="C806" s="4" t="s">
        <v>43</v>
      </c>
      <c r="D806" s="2">
        <f>93212760/(10^6)</f>
        <v>93.21276</v>
      </c>
      <c r="E806" s="5">
        <v>9.14668369293213</v>
      </c>
      <c r="F806" s="5">
        <v>0.460751622915268</v>
      </c>
      <c r="G806" s="5">
        <v>5.647629737854</v>
      </c>
      <c r="H806" s="5">
        <v>5.06673002243042</v>
      </c>
      <c r="I806" t="s">
        <v>3</v>
      </c>
    </row>
    <row r="807" spans="1:9">
      <c r="A807" s="4" t="s">
        <v>1673</v>
      </c>
      <c r="B807" s="4" t="s">
        <v>1674</v>
      </c>
      <c r="C807" s="4" t="s">
        <v>47</v>
      </c>
      <c r="D807" s="2">
        <f>92355104/(10^6)</f>
        <v>92.355104</v>
      </c>
      <c r="E807" s="5">
        <v>66.8367309570312</v>
      </c>
      <c r="F807" s="5">
        <v>1.39675223827362</v>
      </c>
      <c r="G807" s="5">
        <v>1.08684289455414</v>
      </c>
      <c r="H807" s="5">
        <v>4.84164619445801</v>
      </c>
      <c r="I807" t="s">
        <v>3</v>
      </c>
    </row>
    <row r="808" spans="1:9">
      <c r="A808" s="4" t="s">
        <v>1675</v>
      </c>
      <c r="B808" s="4" t="s">
        <v>1676</v>
      </c>
      <c r="C808" s="4" t="s">
        <v>49</v>
      </c>
      <c r="D808" s="2">
        <f>92144592/(10^6)</f>
        <v>92.144592</v>
      </c>
      <c r="E808" s="3" t="s">
        <v>86</v>
      </c>
      <c r="F808" s="3" t="s">
        <v>86</v>
      </c>
      <c r="G808" s="3" t="s">
        <v>86</v>
      </c>
      <c r="H808" s="3" t="s">
        <v>86</v>
      </c>
      <c r="I808" t="s">
        <v>3</v>
      </c>
    </row>
    <row r="809" spans="1:9">
      <c r="A809" s="4" t="s">
        <v>1677</v>
      </c>
      <c r="B809" s="4" t="s">
        <v>1678</v>
      </c>
      <c r="C809" s="4" t="s">
        <v>47</v>
      </c>
      <c r="D809" s="2">
        <f>91662512/(10^6)</f>
        <v>91.662512</v>
      </c>
      <c r="E809" s="5">
        <v>19.6590900421143</v>
      </c>
      <c r="F809" s="5">
        <v>0.491696566343307</v>
      </c>
      <c r="G809" s="5">
        <v>4.26286840438843</v>
      </c>
      <c r="H809" s="5">
        <v>14.4020128250122</v>
      </c>
      <c r="I809" t="s">
        <v>3</v>
      </c>
    </row>
    <row r="810" spans="1:9">
      <c r="A810" s="4" t="s">
        <v>1679</v>
      </c>
      <c r="B810" s="4" t="s">
        <v>1680</v>
      </c>
      <c r="C810" s="4" t="s">
        <v>31</v>
      </c>
      <c r="D810" s="2">
        <f>91607520/(10^6)</f>
        <v>91.60752</v>
      </c>
      <c r="E810" s="5">
        <v>10.1783237457275</v>
      </c>
      <c r="F810" s="5">
        <v>0.622252762317657</v>
      </c>
      <c r="G810" s="5">
        <v>0.661664485931396</v>
      </c>
      <c r="H810" s="5">
        <v>1.43852496147156</v>
      </c>
      <c r="I810" t="s">
        <v>3</v>
      </c>
    </row>
    <row r="811" spans="1:9">
      <c r="A811" s="4" t="s">
        <v>1681</v>
      </c>
      <c r="B811" s="4" t="s">
        <v>1682</v>
      </c>
      <c r="C811" s="4" t="s">
        <v>45</v>
      </c>
      <c r="D811" s="2">
        <f>91422840/(10^6)</f>
        <v>91.42284</v>
      </c>
      <c r="E811" s="5">
        <v>2.82610607147217</v>
      </c>
      <c r="F811" s="5">
        <v>0.434172064065933</v>
      </c>
      <c r="G811" s="5">
        <v>0.40561318397522</v>
      </c>
      <c r="H811" s="5">
        <v>3.40473675727844</v>
      </c>
      <c r="I811" t="s">
        <v>3</v>
      </c>
    </row>
    <row r="812" spans="1:9">
      <c r="A812" s="4" t="s">
        <v>1683</v>
      </c>
      <c r="B812" s="4" t="s">
        <v>1684</v>
      </c>
      <c r="C812" s="4" t="s">
        <v>49</v>
      </c>
      <c r="D812" s="2">
        <f>90393312/(10^6)</f>
        <v>90.393312</v>
      </c>
      <c r="E812" s="3" t="s">
        <v>86</v>
      </c>
      <c r="F812" s="3" t="s">
        <v>86</v>
      </c>
      <c r="G812" s="3" t="s">
        <v>86</v>
      </c>
      <c r="H812" s="3" t="s">
        <v>86</v>
      </c>
      <c r="I812" t="s">
        <v>3</v>
      </c>
    </row>
    <row r="813" spans="1:9">
      <c r="A813" s="4" t="s">
        <v>1685</v>
      </c>
      <c r="B813" s="4" t="s">
        <v>1686</v>
      </c>
      <c r="C813" s="4" t="s">
        <v>51</v>
      </c>
      <c r="D813" s="2">
        <f>89811312/(10^6)</f>
        <v>89.811312</v>
      </c>
      <c r="E813" s="5">
        <v>6.70634460449219</v>
      </c>
      <c r="F813" s="5">
        <v>0.798642098903656</v>
      </c>
      <c r="G813" s="5">
        <v>1.42788779735565</v>
      </c>
      <c r="H813" s="3" t="s">
        <v>86</v>
      </c>
      <c r="I813" t="s">
        <v>3</v>
      </c>
    </row>
    <row r="814" spans="1:9">
      <c r="A814" s="4" t="s">
        <v>1687</v>
      </c>
      <c r="B814" s="4" t="s">
        <v>1688</v>
      </c>
      <c r="C814" s="4" t="s">
        <v>31</v>
      </c>
      <c r="D814" s="2">
        <f>87861272/(10^6)</f>
        <v>87.861272</v>
      </c>
      <c r="E814" s="5">
        <v>16.0606460571289</v>
      </c>
      <c r="F814" s="5">
        <v>0.757006883621216</v>
      </c>
      <c r="G814" s="5">
        <v>0.413236796855927</v>
      </c>
      <c r="H814" s="5">
        <v>10.2012729644775</v>
      </c>
      <c r="I814" t="s">
        <v>3</v>
      </c>
    </row>
    <row r="815" spans="1:9">
      <c r="A815" s="4" t="s">
        <v>1689</v>
      </c>
      <c r="B815" s="4" t="s">
        <v>1690</v>
      </c>
      <c r="C815" s="4" t="s">
        <v>37</v>
      </c>
      <c r="D815" s="2">
        <f>86372560/(10^6)</f>
        <v>86.37256</v>
      </c>
      <c r="E815" s="5">
        <v>3.77906966209412</v>
      </c>
      <c r="F815" s="5">
        <v>0.61386775970459</v>
      </c>
      <c r="G815" s="5">
        <v>0.08769953250885</v>
      </c>
      <c r="H815" s="5">
        <v>3.93417143821716</v>
      </c>
      <c r="I815" t="s">
        <v>3</v>
      </c>
    </row>
    <row r="816" spans="1:9">
      <c r="A816" s="4" t="s">
        <v>1691</v>
      </c>
      <c r="B816" s="4" t="s">
        <v>1692</v>
      </c>
      <c r="C816" s="4" t="s">
        <v>47</v>
      </c>
      <c r="D816" s="2">
        <f>85364784/(10^6)</f>
        <v>85.364784</v>
      </c>
      <c r="E816" s="3" t="s">
        <v>86</v>
      </c>
      <c r="F816" s="5">
        <v>0.964198052883148</v>
      </c>
      <c r="G816" s="5">
        <v>1.10604619979858</v>
      </c>
      <c r="H816" s="3" t="s">
        <v>86</v>
      </c>
      <c r="I816" t="s">
        <v>3</v>
      </c>
    </row>
    <row r="817" spans="1:9">
      <c r="A817" s="4" t="s">
        <v>1693</v>
      </c>
      <c r="B817" s="4" t="s">
        <v>1694</v>
      </c>
      <c r="C817" s="4" t="s">
        <v>47</v>
      </c>
      <c r="D817" s="2">
        <f>85162072/(10^6)</f>
        <v>85.162072</v>
      </c>
      <c r="E817" s="3" t="s">
        <v>86</v>
      </c>
      <c r="F817" s="5">
        <v>0.501944482326508</v>
      </c>
      <c r="G817" s="5">
        <v>4.3565559387207</v>
      </c>
      <c r="H817" s="5">
        <v>140.542388916016</v>
      </c>
      <c r="I817" t="s">
        <v>3</v>
      </c>
    </row>
    <row r="818" spans="1:9">
      <c r="A818" s="4" t="s">
        <v>1695</v>
      </c>
      <c r="B818" s="4" t="s">
        <v>1696</v>
      </c>
      <c r="C818" s="4" t="s">
        <v>49</v>
      </c>
      <c r="D818" s="2">
        <f>84730552/(10^6)</f>
        <v>84.730552</v>
      </c>
      <c r="E818" s="3" t="s">
        <v>86</v>
      </c>
      <c r="F818" s="3" t="s">
        <v>86</v>
      </c>
      <c r="G818" s="3" t="s">
        <v>86</v>
      </c>
      <c r="H818" s="3" t="s">
        <v>86</v>
      </c>
      <c r="I818" t="s">
        <v>3</v>
      </c>
    </row>
    <row r="819" spans="1:9">
      <c r="A819" s="4" t="s">
        <v>1697</v>
      </c>
      <c r="B819" s="4" t="s">
        <v>1698</v>
      </c>
      <c r="C819" s="4" t="s">
        <v>47</v>
      </c>
      <c r="D819" s="2">
        <f>84104568/(10^6)</f>
        <v>84.104568</v>
      </c>
      <c r="E819" s="5">
        <v>11.5133829116821</v>
      </c>
      <c r="F819" s="5">
        <v>3.44488000869751</v>
      </c>
      <c r="G819" s="5">
        <v>0.570503115653992</v>
      </c>
      <c r="H819" s="5">
        <v>4.5341362953186</v>
      </c>
      <c r="I819" t="s">
        <v>3</v>
      </c>
    </row>
    <row r="820" spans="1:9">
      <c r="A820" s="4" t="s">
        <v>1699</v>
      </c>
      <c r="B820" s="4" t="s">
        <v>1700</v>
      </c>
      <c r="C820" s="4" t="s">
        <v>45</v>
      </c>
      <c r="D820" s="2">
        <f>83902488/(10^6)</f>
        <v>83.902488</v>
      </c>
      <c r="E820" s="3" t="s">
        <v>86</v>
      </c>
      <c r="F820" s="5">
        <v>0.791848242282867</v>
      </c>
      <c r="G820" s="5">
        <v>2.47197461128235</v>
      </c>
      <c r="H820" s="5">
        <v>29.7092380523682</v>
      </c>
      <c r="I820" t="s">
        <v>3</v>
      </c>
    </row>
    <row r="821" spans="1:9">
      <c r="A821" s="4" t="s">
        <v>1701</v>
      </c>
      <c r="B821" s="4" t="s">
        <v>1702</v>
      </c>
      <c r="C821" s="4" t="s">
        <v>45</v>
      </c>
      <c r="D821" s="2">
        <f>83826728/(10^6)</f>
        <v>83.826728</v>
      </c>
      <c r="E821" s="5">
        <v>8.18111991882324</v>
      </c>
      <c r="F821" s="5">
        <v>0.183244422078133</v>
      </c>
      <c r="G821" s="5">
        <v>1.6504133939743</v>
      </c>
      <c r="H821" s="5">
        <v>27.1975517272949</v>
      </c>
      <c r="I821" t="s">
        <v>3</v>
      </c>
    </row>
    <row r="822" spans="1:9">
      <c r="A822" s="4" t="s">
        <v>1703</v>
      </c>
      <c r="B822" s="4" t="s">
        <v>1704</v>
      </c>
      <c r="C822" s="4" t="s">
        <v>27</v>
      </c>
      <c r="D822" s="2">
        <f>82120840/(10^6)</f>
        <v>82.12084</v>
      </c>
      <c r="E822" s="5">
        <v>4.01521110534668</v>
      </c>
      <c r="F822" s="5">
        <v>0.564132273197174</v>
      </c>
      <c r="G822" s="3" t="s">
        <v>86</v>
      </c>
      <c r="H822" s="5">
        <v>2.72954106330872</v>
      </c>
      <c r="I822" t="s">
        <v>3</v>
      </c>
    </row>
    <row r="823" spans="1:9">
      <c r="A823" s="4" t="s">
        <v>1705</v>
      </c>
      <c r="B823" s="4" t="s">
        <v>1706</v>
      </c>
      <c r="C823" s="4" t="s">
        <v>35</v>
      </c>
      <c r="D823" s="2">
        <f>81888448/(10^6)</f>
        <v>81.888448</v>
      </c>
      <c r="E823" s="5">
        <v>3.08177018165588</v>
      </c>
      <c r="F823" s="5">
        <v>0.571937322616577</v>
      </c>
      <c r="G823" s="5">
        <v>0.229294642806053</v>
      </c>
      <c r="H823" s="5">
        <v>5.71289777755737</v>
      </c>
      <c r="I823" t="s">
        <v>3</v>
      </c>
    </row>
    <row r="824" spans="1:9">
      <c r="A824" s="4" t="s">
        <v>1707</v>
      </c>
      <c r="B824" s="4" t="s">
        <v>1708</v>
      </c>
      <c r="C824" s="4" t="s">
        <v>47</v>
      </c>
      <c r="D824" s="2">
        <f>81586664/(10^6)</f>
        <v>81.586664</v>
      </c>
      <c r="E824" s="5">
        <v>13.5356006622314</v>
      </c>
      <c r="F824" s="5">
        <v>0.78843230009079</v>
      </c>
      <c r="G824" s="5">
        <v>1.34266269207001</v>
      </c>
      <c r="H824" s="5">
        <v>6.52598810195923</v>
      </c>
      <c r="I824" t="s">
        <v>3</v>
      </c>
    </row>
    <row r="825" spans="1:9">
      <c r="A825" s="4" t="s">
        <v>1709</v>
      </c>
      <c r="B825" s="4" t="s">
        <v>1710</v>
      </c>
      <c r="C825" s="4" t="s">
        <v>43</v>
      </c>
      <c r="D825" s="2">
        <f>80150008/(10^6)</f>
        <v>80.150008</v>
      </c>
      <c r="E825" s="5">
        <v>9.43308448791504</v>
      </c>
      <c r="F825" s="5">
        <v>0.434732288122177</v>
      </c>
      <c r="G825" s="5">
        <v>3.57538509368896</v>
      </c>
      <c r="H825" s="3" t="s">
        <v>86</v>
      </c>
      <c r="I825" t="s">
        <v>3</v>
      </c>
    </row>
    <row r="826" spans="1:9">
      <c r="A826" s="4" t="s">
        <v>1711</v>
      </c>
      <c r="B826" s="4" t="s">
        <v>1712</v>
      </c>
      <c r="C826" s="4" t="s">
        <v>31</v>
      </c>
      <c r="D826" s="2">
        <f>79901080/(10^6)</f>
        <v>79.90108</v>
      </c>
      <c r="E826" s="5">
        <v>4.32856702804565</v>
      </c>
      <c r="F826" s="5">
        <v>0.437610626220703</v>
      </c>
      <c r="G826" s="5">
        <v>0.337775856256485</v>
      </c>
      <c r="H826" s="5">
        <v>8.93722629547119</v>
      </c>
      <c r="I826" t="s">
        <v>3</v>
      </c>
    </row>
    <row r="827" spans="1:9">
      <c r="A827" s="4" t="s">
        <v>1713</v>
      </c>
      <c r="B827" s="4" t="s">
        <v>1714</v>
      </c>
      <c r="C827" s="4" t="s">
        <v>31</v>
      </c>
      <c r="D827" s="2">
        <f>78818744/(10^6)</f>
        <v>78.818744</v>
      </c>
      <c r="E827" s="3" t="s">
        <v>86</v>
      </c>
      <c r="F827" s="5">
        <v>0.634615957736969</v>
      </c>
      <c r="G827" s="5">
        <v>3.66857576370239</v>
      </c>
      <c r="H827" s="3" t="s">
        <v>86</v>
      </c>
      <c r="I827" t="s">
        <v>3</v>
      </c>
    </row>
    <row r="828" spans="1:9">
      <c r="A828" s="4" t="s">
        <v>1715</v>
      </c>
      <c r="B828" s="4" t="s">
        <v>1716</v>
      </c>
      <c r="C828" s="4" t="s">
        <v>45</v>
      </c>
      <c r="D828" s="2">
        <f>75998104/(10^6)</f>
        <v>75.998104</v>
      </c>
      <c r="E828" s="5">
        <v>7.61421346664429</v>
      </c>
      <c r="F828" s="5">
        <v>0.732216358184814</v>
      </c>
      <c r="G828" s="5">
        <v>0.288803964853287</v>
      </c>
      <c r="H828" s="5">
        <v>6.30116844177246</v>
      </c>
      <c r="I828" t="s">
        <v>3</v>
      </c>
    </row>
    <row r="829" spans="1:9">
      <c r="A829" s="4" t="s">
        <v>1717</v>
      </c>
      <c r="B829" s="4" t="s">
        <v>1718</v>
      </c>
      <c r="C829" s="4" t="s">
        <v>31</v>
      </c>
      <c r="D829" s="2">
        <f>74212928/(10^6)</f>
        <v>74.212928</v>
      </c>
      <c r="E829" s="5">
        <v>10.375</v>
      </c>
      <c r="F829" s="5">
        <v>0.45644623041153</v>
      </c>
      <c r="G829" s="5">
        <v>0.218365997076035</v>
      </c>
      <c r="H829" s="5">
        <v>1.9544540643692</v>
      </c>
      <c r="I829" t="s">
        <v>3</v>
      </c>
    </row>
    <row r="830" spans="1:9">
      <c r="A830" s="4" t="s">
        <v>1719</v>
      </c>
      <c r="B830" s="4" t="s">
        <v>1720</v>
      </c>
      <c r="C830" s="4" t="s">
        <v>37</v>
      </c>
      <c r="D830" s="2">
        <f>74070912/(10^6)</f>
        <v>74.070912</v>
      </c>
      <c r="E830" s="5">
        <v>8.90557956695557</v>
      </c>
      <c r="F830" s="5">
        <v>0.417202413082123</v>
      </c>
      <c r="G830" s="5">
        <v>0.74925297498703</v>
      </c>
      <c r="H830" s="5">
        <v>8.82776737213135</v>
      </c>
      <c r="I830" t="s">
        <v>3</v>
      </c>
    </row>
    <row r="831" spans="1:9">
      <c r="A831" s="4" t="s">
        <v>1721</v>
      </c>
      <c r="B831" s="4" t="s">
        <v>1722</v>
      </c>
      <c r="C831" s="4" t="s">
        <v>37</v>
      </c>
      <c r="D831" s="2">
        <f>73658360/(10^6)</f>
        <v>73.65836</v>
      </c>
      <c r="E831" s="5">
        <v>12.5911731719971</v>
      </c>
      <c r="F831" s="5">
        <v>11.6024827957153</v>
      </c>
      <c r="G831" s="5">
        <v>2.99035263061523</v>
      </c>
      <c r="H831" s="5">
        <v>9.57565498352051</v>
      </c>
      <c r="I831" t="s">
        <v>3</v>
      </c>
    </row>
    <row r="832" spans="1:9">
      <c r="A832" s="4" t="s">
        <v>1723</v>
      </c>
      <c r="B832" s="4" t="s">
        <v>1724</v>
      </c>
      <c r="C832" s="4" t="s">
        <v>27</v>
      </c>
      <c r="D832" s="2">
        <f>73620120/(10^6)</f>
        <v>73.62012</v>
      </c>
      <c r="E832" s="3" t="s">
        <v>86</v>
      </c>
      <c r="F832" s="5">
        <v>0.58995509147644</v>
      </c>
      <c r="G832" s="5">
        <v>0.315236777067184</v>
      </c>
      <c r="H832" s="5">
        <v>21.1829433441162</v>
      </c>
      <c r="I832" t="s">
        <v>3</v>
      </c>
    </row>
    <row r="833" spans="1:9">
      <c r="A833" s="4" t="s">
        <v>1725</v>
      </c>
      <c r="B833" s="4" t="s">
        <v>1726</v>
      </c>
      <c r="C833" s="4" t="s">
        <v>41</v>
      </c>
      <c r="D833" s="2">
        <f>72787240/(10^6)</f>
        <v>72.78724</v>
      </c>
      <c r="E833" s="3" t="s">
        <v>86</v>
      </c>
      <c r="F833" s="5">
        <v>0.58595734834671</v>
      </c>
      <c r="G833" s="5">
        <v>0.910674691200256</v>
      </c>
      <c r="H833" s="5">
        <v>9.57074069976807</v>
      </c>
      <c r="I833" t="s">
        <v>3</v>
      </c>
    </row>
    <row r="834" spans="1:9">
      <c r="A834" s="4" t="s">
        <v>1727</v>
      </c>
      <c r="B834" s="4" t="s">
        <v>1728</v>
      </c>
      <c r="C834" s="4" t="s">
        <v>47</v>
      </c>
      <c r="D834" s="2">
        <f>72535424/(10^6)</f>
        <v>72.535424</v>
      </c>
      <c r="E834" s="5">
        <v>1.67930269241333</v>
      </c>
      <c r="F834" s="5">
        <v>0.149066254496574</v>
      </c>
      <c r="G834" s="5">
        <v>0.925585687160492</v>
      </c>
      <c r="H834" s="5">
        <v>6.36733961105347</v>
      </c>
      <c r="I834" t="s">
        <v>3</v>
      </c>
    </row>
    <row r="835" spans="1:9">
      <c r="A835" s="4" t="s">
        <v>1729</v>
      </c>
      <c r="B835" s="4" t="s">
        <v>1730</v>
      </c>
      <c r="C835" s="4" t="s">
        <v>49</v>
      </c>
      <c r="D835" s="2">
        <f>68174848/(10^6)</f>
        <v>68.174848</v>
      </c>
      <c r="E835" s="3" t="s">
        <v>86</v>
      </c>
      <c r="F835" s="3" t="s">
        <v>86</v>
      </c>
      <c r="G835" s="3" t="s">
        <v>86</v>
      </c>
      <c r="H835" s="3" t="s">
        <v>86</v>
      </c>
      <c r="I835" t="s">
        <v>3</v>
      </c>
    </row>
    <row r="836" spans="1:9">
      <c r="A836" s="4" t="s">
        <v>1731</v>
      </c>
      <c r="B836" s="4" t="s">
        <v>1732</v>
      </c>
      <c r="C836" s="4" t="s">
        <v>41</v>
      </c>
      <c r="D836" s="2">
        <f>67686792/(10^6)</f>
        <v>67.686792</v>
      </c>
      <c r="E836" s="5">
        <v>6.91675186157227</v>
      </c>
      <c r="F836" s="5">
        <v>0.648471891880035</v>
      </c>
      <c r="G836" s="5">
        <v>0.998105585575104</v>
      </c>
      <c r="H836" s="5">
        <v>3.82907867431641</v>
      </c>
      <c r="I836" t="s">
        <v>3</v>
      </c>
    </row>
    <row r="837" spans="1:9">
      <c r="A837" s="4" t="s">
        <v>1733</v>
      </c>
      <c r="B837" s="4" t="s">
        <v>1734</v>
      </c>
      <c r="C837" s="4" t="s">
        <v>45</v>
      </c>
      <c r="D837" s="2">
        <f>66705468/(10^6)</f>
        <v>66.705468</v>
      </c>
      <c r="E837" s="5">
        <v>14.7195844650269</v>
      </c>
      <c r="F837" s="5">
        <v>0.744974970817566</v>
      </c>
      <c r="G837" s="5">
        <v>0.784795165061951</v>
      </c>
      <c r="H837" s="5">
        <v>3.94162368774414</v>
      </c>
      <c r="I837" t="s">
        <v>3</v>
      </c>
    </row>
    <row r="838" spans="1:9">
      <c r="A838" s="4" t="s">
        <v>1735</v>
      </c>
      <c r="B838" s="4" t="s">
        <v>1736</v>
      </c>
      <c r="C838" s="4" t="s">
        <v>41</v>
      </c>
      <c r="D838" s="2">
        <f>66004692/(10^6)</f>
        <v>66.004692</v>
      </c>
      <c r="E838" s="3" t="s">
        <v>86</v>
      </c>
      <c r="F838" s="5">
        <v>6.22397708892822</v>
      </c>
      <c r="G838" s="5">
        <v>123.72013092041</v>
      </c>
      <c r="H838" s="3" t="s">
        <v>86</v>
      </c>
      <c r="I838" t="s">
        <v>3</v>
      </c>
    </row>
    <row r="839" spans="1:9">
      <c r="A839" s="4" t="s">
        <v>1737</v>
      </c>
      <c r="B839" s="4" t="s">
        <v>1738</v>
      </c>
      <c r="C839" s="4" t="s">
        <v>27</v>
      </c>
      <c r="D839" s="2">
        <f>65099964/(10^6)</f>
        <v>65.099964</v>
      </c>
      <c r="E839" s="5">
        <v>4.05696392059326</v>
      </c>
      <c r="F839" s="5">
        <v>0.55338329076767</v>
      </c>
      <c r="G839" s="5">
        <v>0.126037195324898</v>
      </c>
      <c r="H839" s="5">
        <v>2.02825260162354</v>
      </c>
      <c r="I839" t="s">
        <v>3</v>
      </c>
    </row>
    <row r="840" spans="1:9">
      <c r="A840" s="4" t="s">
        <v>1739</v>
      </c>
      <c r="B840" s="4" t="s">
        <v>1740</v>
      </c>
      <c r="C840" s="4" t="s">
        <v>31</v>
      </c>
      <c r="D840" s="2">
        <f>64743596/(10^6)</f>
        <v>64.743596</v>
      </c>
      <c r="E840" s="5">
        <v>6.42193746566772</v>
      </c>
      <c r="F840" s="5">
        <v>0.763400316238403</v>
      </c>
      <c r="G840" s="5">
        <v>0.583945453166962</v>
      </c>
      <c r="H840" s="5">
        <v>2.19400453567505</v>
      </c>
      <c r="I840" t="s">
        <v>3</v>
      </c>
    </row>
    <row r="841" spans="1:9">
      <c r="A841" s="4" t="s">
        <v>1741</v>
      </c>
      <c r="B841" s="4" t="s">
        <v>1742</v>
      </c>
      <c r="C841" s="4" t="s">
        <v>31</v>
      </c>
      <c r="D841" s="2">
        <f>64097972/(10^6)</f>
        <v>64.097972</v>
      </c>
      <c r="E841" s="5">
        <v>4.54029512405396</v>
      </c>
      <c r="F841" s="5">
        <v>0.525161147117615</v>
      </c>
      <c r="G841" s="5">
        <v>0.645957291126251</v>
      </c>
      <c r="H841" s="5">
        <v>1.11832356452942</v>
      </c>
      <c r="I841" t="s">
        <v>3</v>
      </c>
    </row>
    <row r="842" spans="1:9">
      <c r="A842" s="4" t="s">
        <v>1743</v>
      </c>
      <c r="B842" s="4" t="s">
        <v>1744</v>
      </c>
      <c r="C842" s="4" t="s">
        <v>31</v>
      </c>
      <c r="D842" s="2">
        <f>63134208/(10^6)</f>
        <v>63.134208</v>
      </c>
      <c r="E842" s="5">
        <v>6.86257982254028</v>
      </c>
      <c r="F842" s="5">
        <v>0.740504860877991</v>
      </c>
      <c r="G842" s="5">
        <v>1.43503355979919</v>
      </c>
      <c r="H842" s="5">
        <v>4.82252168655396</v>
      </c>
      <c r="I842" t="s">
        <v>3</v>
      </c>
    </row>
    <row r="843" spans="1:9">
      <c r="A843" s="4" t="s">
        <v>1745</v>
      </c>
      <c r="B843" s="4" t="s">
        <v>1746</v>
      </c>
      <c r="C843" s="4" t="s">
        <v>31</v>
      </c>
      <c r="D843" s="2">
        <f>63077408/(10^6)</f>
        <v>63.077408</v>
      </c>
      <c r="E843" s="5">
        <v>6.07596397399902</v>
      </c>
      <c r="F843" s="5">
        <v>0.612028896808624</v>
      </c>
      <c r="G843" s="5">
        <v>0.548872411251068</v>
      </c>
      <c r="H843" s="5">
        <v>2.63764977455139</v>
      </c>
      <c r="I843" t="s">
        <v>3</v>
      </c>
    </row>
    <row r="844" spans="1:9">
      <c r="A844" s="4" t="s">
        <v>1747</v>
      </c>
      <c r="B844" s="4" t="s">
        <v>1748</v>
      </c>
      <c r="C844" s="4" t="s">
        <v>37</v>
      </c>
      <c r="D844" s="2">
        <f>62892564/(10^6)</f>
        <v>62.892564</v>
      </c>
      <c r="E844" s="5">
        <v>15.1735420227051</v>
      </c>
      <c r="F844" s="5">
        <v>0.348784267902374</v>
      </c>
      <c r="G844" s="5">
        <v>0.200431823730469</v>
      </c>
      <c r="H844" s="5">
        <v>3.20992255210877</v>
      </c>
      <c r="I844" t="s">
        <v>3</v>
      </c>
    </row>
    <row r="845" spans="1:9">
      <c r="A845" s="4" t="s">
        <v>1749</v>
      </c>
      <c r="B845" s="4" t="s">
        <v>1750</v>
      </c>
      <c r="C845" s="4" t="s">
        <v>47</v>
      </c>
      <c r="D845" s="2">
        <f>62794380/(10^6)</f>
        <v>62.79438</v>
      </c>
      <c r="E845" s="5">
        <v>79.648078918457</v>
      </c>
      <c r="F845" s="5">
        <v>1.10657703876495</v>
      </c>
      <c r="G845" s="5">
        <v>0.998308718204498</v>
      </c>
      <c r="H845" s="5">
        <v>19.1911449432373</v>
      </c>
      <c r="I845" t="s">
        <v>3</v>
      </c>
    </row>
    <row r="846" spans="1:9">
      <c r="A846" s="4" t="s">
        <v>1751</v>
      </c>
      <c r="B846" s="4" t="s">
        <v>1752</v>
      </c>
      <c r="C846" s="4" t="s">
        <v>51</v>
      </c>
      <c r="D846" s="2">
        <f>62462112/(10^6)</f>
        <v>62.462112</v>
      </c>
      <c r="E846" s="3" t="s">
        <v>86</v>
      </c>
      <c r="F846" s="5">
        <v>0.595238149166107</v>
      </c>
      <c r="G846" s="5">
        <v>0.228990167379379</v>
      </c>
      <c r="H846" s="5">
        <v>11.6970558166504</v>
      </c>
      <c r="I846" t="s">
        <v>3</v>
      </c>
    </row>
    <row r="847" spans="1:9">
      <c r="A847" s="4" t="s">
        <v>1753</v>
      </c>
      <c r="B847" s="4" t="s">
        <v>1754</v>
      </c>
      <c r="C847" s="4" t="s">
        <v>31</v>
      </c>
      <c r="D847" s="2">
        <f>62015348/(10^6)</f>
        <v>62.015348</v>
      </c>
      <c r="E847" s="5">
        <v>6.10312128067017</v>
      </c>
      <c r="F847" s="5">
        <v>0.531871676445007</v>
      </c>
      <c r="G847" s="5">
        <v>0.866797566413879</v>
      </c>
      <c r="H847" s="5">
        <v>2.09776210784912</v>
      </c>
      <c r="I847" t="s">
        <v>3</v>
      </c>
    </row>
    <row r="848" spans="1:9">
      <c r="A848" s="4" t="s">
        <v>1755</v>
      </c>
      <c r="B848" s="4" t="s">
        <v>1756</v>
      </c>
      <c r="C848" s="4" t="s">
        <v>31</v>
      </c>
      <c r="D848" s="2">
        <f>61907680/(10^6)</f>
        <v>61.90768</v>
      </c>
      <c r="E848" s="5">
        <v>8.9940824508667</v>
      </c>
      <c r="F848" s="5">
        <v>0.33762863278389</v>
      </c>
      <c r="G848" s="5">
        <v>0.646643400192261</v>
      </c>
      <c r="H848" s="5">
        <v>3.6015100479126</v>
      </c>
      <c r="I848" t="s">
        <v>3</v>
      </c>
    </row>
    <row r="849" spans="1:9">
      <c r="A849" s="4" t="s">
        <v>1757</v>
      </c>
      <c r="B849" s="4" t="s">
        <v>1758</v>
      </c>
      <c r="C849" s="4" t="s">
        <v>47</v>
      </c>
      <c r="D849" s="2">
        <f>61514376/(10^6)</f>
        <v>61.514376</v>
      </c>
      <c r="E849" s="5">
        <v>6.31227731704712</v>
      </c>
      <c r="F849" s="5">
        <v>0.319917351007462</v>
      </c>
      <c r="G849" s="5">
        <v>0.182600408792496</v>
      </c>
      <c r="H849" s="5">
        <v>3.94834184646606</v>
      </c>
      <c r="I849" t="s">
        <v>3</v>
      </c>
    </row>
    <row r="850" spans="1:9">
      <c r="A850" s="4" t="s">
        <v>1759</v>
      </c>
      <c r="B850" s="4" t="s">
        <v>1760</v>
      </c>
      <c r="C850" s="4" t="s">
        <v>31</v>
      </c>
      <c r="D850" s="2">
        <f>61499196/(10^6)</f>
        <v>61.499196</v>
      </c>
      <c r="E850" s="3" t="s">
        <v>86</v>
      </c>
      <c r="F850" s="5">
        <v>3.86508131027222</v>
      </c>
      <c r="G850" s="5">
        <v>9.30391025543213</v>
      </c>
      <c r="H850" s="3" t="s">
        <v>86</v>
      </c>
      <c r="I850" t="s">
        <v>3</v>
      </c>
    </row>
    <row r="851" spans="1:9">
      <c r="A851" s="4" t="s">
        <v>1761</v>
      </c>
      <c r="B851" s="4" t="s">
        <v>1762</v>
      </c>
      <c r="C851" s="4" t="s">
        <v>31</v>
      </c>
      <c r="D851" s="2">
        <f>60845488/(10^6)</f>
        <v>60.845488</v>
      </c>
      <c r="E851" s="5">
        <v>1.16197490692139</v>
      </c>
      <c r="F851" s="5">
        <v>0.732847332954407</v>
      </c>
      <c r="G851" s="5">
        <v>5.63113403320312</v>
      </c>
      <c r="H851" s="5">
        <v>1.09574258327484</v>
      </c>
      <c r="I851" t="s">
        <v>3</v>
      </c>
    </row>
    <row r="852" spans="1:9">
      <c r="A852" s="4" t="s">
        <v>1763</v>
      </c>
      <c r="B852" s="4" t="s">
        <v>1764</v>
      </c>
      <c r="C852" s="4" t="s">
        <v>27</v>
      </c>
      <c r="D852" s="2">
        <f>60598436/(10^6)</f>
        <v>60.598436</v>
      </c>
      <c r="E852" s="3" t="s">
        <v>86</v>
      </c>
      <c r="F852" s="5">
        <v>0.743701100349426</v>
      </c>
      <c r="G852" s="5">
        <v>1.24501621723175</v>
      </c>
      <c r="H852" s="5">
        <v>7.29492330551147</v>
      </c>
      <c r="I852" t="s">
        <v>3</v>
      </c>
    </row>
    <row r="853" spans="1:9">
      <c r="A853" s="4" t="s">
        <v>1765</v>
      </c>
      <c r="B853" s="4" t="s">
        <v>1766</v>
      </c>
      <c r="C853" s="4" t="s">
        <v>31</v>
      </c>
      <c r="D853" s="2">
        <f>60290632/(10^6)</f>
        <v>60.290632</v>
      </c>
      <c r="E853" s="5">
        <v>10.4761905670166</v>
      </c>
      <c r="F853" s="5">
        <v>1.00373208522797</v>
      </c>
      <c r="G853" s="5">
        <v>1.01942467689514</v>
      </c>
      <c r="H853" s="5">
        <v>6.42921924591065</v>
      </c>
      <c r="I853" t="s">
        <v>3</v>
      </c>
    </row>
    <row r="854" spans="1:9">
      <c r="A854" s="4" t="s">
        <v>1767</v>
      </c>
      <c r="B854" s="4" t="s">
        <v>1768</v>
      </c>
      <c r="C854" s="4" t="s">
        <v>49</v>
      </c>
      <c r="D854" s="2">
        <f>58993888/(10^6)</f>
        <v>58.993888</v>
      </c>
      <c r="E854" s="3" t="s">
        <v>86</v>
      </c>
      <c r="F854" s="3" t="s">
        <v>86</v>
      </c>
      <c r="G854" s="3" t="s">
        <v>86</v>
      </c>
      <c r="H854" s="3" t="s">
        <v>86</v>
      </c>
      <c r="I854" t="s">
        <v>3</v>
      </c>
    </row>
    <row r="855" spans="1:9">
      <c r="A855" s="4" t="s">
        <v>1769</v>
      </c>
      <c r="B855" s="4" t="s">
        <v>1770</v>
      </c>
      <c r="C855" s="4" t="s">
        <v>51</v>
      </c>
      <c r="D855" s="2">
        <f>58729360/(10^6)</f>
        <v>58.72936</v>
      </c>
      <c r="E855" s="5">
        <v>15.6779670715332</v>
      </c>
      <c r="F855" s="5">
        <v>1.16531765460968</v>
      </c>
      <c r="G855" s="5">
        <v>0.267929941415787</v>
      </c>
      <c r="H855" s="5">
        <v>6.64217662811279</v>
      </c>
      <c r="I855" t="s">
        <v>3</v>
      </c>
    </row>
    <row r="856" spans="1:9">
      <c r="A856" s="4" t="s">
        <v>1771</v>
      </c>
      <c r="B856" s="4" t="s">
        <v>1772</v>
      </c>
      <c r="C856" s="4" t="s">
        <v>37</v>
      </c>
      <c r="D856" s="2">
        <f>57523676/(10^6)</f>
        <v>57.523676</v>
      </c>
      <c r="E856" s="5">
        <v>6.13095235824585</v>
      </c>
      <c r="F856" s="5">
        <v>0.554423332214355</v>
      </c>
      <c r="G856" s="5">
        <v>0.209441795945168</v>
      </c>
      <c r="H856" s="5">
        <v>6.22782802581787</v>
      </c>
      <c r="I856" t="s">
        <v>3</v>
      </c>
    </row>
    <row r="857" spans="1:9">
      <c r="A857" s="4" t="s">
        <v>1773</v>
      </c>
      <c r="B857" s="4" t="s">
        <v>1774</v>
      </c>
      <c r="C857" s="4" t="s">
        <v>41</v>
      </c>
      <c r="D857" s="2">
        <f>57020272/(10^6)</f>
        <v>57.020272</v>
      </c>
      <c r="E857" s="5">
        <v>18.2857131958008</v>
      </c>
      <c r="F857" s="5">
        <v>0.629368722438812</v>
      </c>
      <c r="G857" s="5">
        <v>1.43383300304413</v>
      </c>
      <c r="H857" s="3" t="s">
        <v>86</v>
      </c>
      <c r="I857" t="s">
        <v>3</v>
      </c>
    </row>
    <row r="858" spans="1:9">
      <c r="A858" s="4" t="s">
        <v>1775</v>
      </c>
      <c r="B858" s="4" t="s">
        <v>1776</v>
      </c>
      <c r="C858" s="4" t="s">
        <v>31</v>
      </c>
      <c r="D858" s="2">
        <f>56877200/(10^6)</f>
        <v>56.8772</v>
      </c>
      <c r="E858" s="5">
        <v>4.81321859359741</v>
      </c>
      <c r="F858" s="5">
        <v>0.35297229886055</v>
      </c>
      <c r="G858" s="5">
        <v>0.48335388302803</v>
      </c>
      <c r="H858" s="5">
        <v>6.53765487670898</v>
      </c>
      <c r="I858" t="s">
        <v>3</v>
      </c>
    </row>
    <row r="859" spans="1:9">
      <c r="A859" s="4" t="s">
        <v>1777</v>
      </c>
      <c r="B859" s="4" t="s">
        <v>1778</v>
      </c>
      <c r="C859" s="4" t="s">
        <v>49</v>
      </c>
      <c r="D859" s="2">
        <f>56646788/(10^6)</f>
        <v>56.646788</v>
      </c>
      <c r="E859" s="3" t="s">
        <v>86</v>
      </c>
      <c r="F859" s="3" t="s">
        <v>86</v>
      </c>
      <c r="G859" s="3" t="s">
        <v>86</v>
      </c>
      <c r="H859" s="3" t="s">
        <v>86</v>
      </c>
      <c r="I859" t="s">
        <v>3</v>
      </c>
    </row>
    <row r="860" spans="1:9">
      <c r="A860" s="4" t="s">
        <v>1779</v>
      </c>
      <c r="B860" s="4" t="s">
        <v>1778</v>
      </c>
      <c r="C860" s="4" t="s">
        <v>49</v>
      </c>
      <c r="D860" s="2">
        <f>56430000/(10^6)</f>
        <v>56.43</v>
      </c>
      <c r="E860" s="3" t="s">
        <v>86</v>
      </c>
      <c r="F860" s="3" t="s">
        <v>86</v>
      </c>
      <c r="G860" s="3" t="s">
        <v>86</v>
      </c>
      <c r="H860" s="3" t="s">
        <v>86</v>
      </c>
      <c r="I860" t="s">
        <v>3</v>
      </c>
    </row>
    <row r="861" spans="1:9">
      <c r="A861" s="4" t="s">
        <v>1780</v>
      </c>
      <c r="B861" s="4" t="s">
        <v>1781</v>
      </c>
      <c r="C861" s="4" t="s">
        <v>31</v>
      </c>
      <c r="D861" s="2">
        <f>56178108/(10^6)</f>
        <v>56.178108</v>
      </c>
      <c r="E861" s="5">
        <v>4.74898195266724</v>
      </c>
      <c r="F861" s="5">
        <v>0.492236703634262</v>
      </c>
      <c r="G861" s="5">
        <v>0.424198716878891</v>
      </c>
      <c r="H861" s="5">
        <v>1.34960699081421</v>
      </c>
      <c r="I861" t="s">
        <v>3</v>
      </c>
    </row>
    <row r="862" spans="1:9">
      <c r="A862" s="4" t="s">
        <v>1782</v>
      </c>
      <c r="B862" s="4" t="s">
        <v>1783</v>
      </c>
      <c r="C862" s="4" t="s">
        <v>45</v>
      </c>
      <c r="D862" s="2">
        <f>56114204/(10^6)</f>
        <v>56.114204</v>
      </c>
      <c r="E862" s="3" t="s">
        <v>86</v>
      </c>
      <c r="F862" s="5">
        <v>0.712383925914764</v>
      </c>
      <c r="G862" s="5">
        <v>0.97559380531311</v>
      </c>
      <c r="H862" s="3" t="s">
        <v>86</v>
      </c>
      <c r="I862" t="s">
        <v>3</v>
      </c>
    </row>
    <row r="863" spans="1:9">
      <c r="A863" s="4" t="s">
        <v>1784</v>
      </c>
      <c r="B863" s="4" t="s">
        <v>1785</v>
      </c>
      <c r="C863" s="4" t="s">
        <v>31</v>
      </c>
      <c r="D863" s="2">
        <f>55968084/(10^6)</f>
        <v>55.968084</v>
      </c>
      <c r="E863" s="3" t="s">
        <v>86</v>
      </c>
      <c r="F863" s="5">
        <v>0.491623222827911</v>
      </c>
      <c r="G863" s="5">
        <v>0.402517557144165</v>
      </c>
      <c r="H863" s="5">
        <v>16.9467487335205</v>
      </c>
      <c r="I863" t="s">
        <v>3</v>
      </c>
    </row>
    <row r="864" spans="1:9">
      <c r="A864" s="4" t="s">
        <v>1786</v>
      </c>
      <c r="B864" s="4" t="s">
        <v>1787</v>
      </c>
      <c r="C864" s="4" t="s">
        <v>41</v>
      </c>
      <c r="D864" s="2">
        <f>55627788/(10^6)</f>
        <v>55.627788</v>
      </c>
      <c r="E864" s="5">
        <v>20.4444446563721</v>
      </c>
      <c r="F864" s="5">
        <v>2.56750178337097</v>
      </c>
      <c r="G864" s="5">
        <v>4.82559680938721</v>
      </c>
      <c r="H864" s="5">
        <v>18.7521495819092</v>
      </c>
      <c r="I864" t="s">
        <v>3</v>
      </c>
    </row>
    <row r="865" spans="1:9">
      <c r="A865" s="4" t="s">
        <v>1788</v>
      </c>
      <c r="B865" s="4" t="s">
        <v>1789</v>
      </c>
      <c r="C865" s="4" t="s">
        <v>45</v>
      </c>
      <c r="D865" s="2">
        <f>55181736/(10^6)</f>
        <v>55.181736</v>
      </c>
      <c r="E865" s="5">
        <v>20.3538761138916</v>
      </c>
      <c r="F865" s="5">
        <v>0.630924582481384</v>
      </c>
      <c r="G865" s="5">
        <v>0.865041255950928</v>
      </c>
      <c r="H865" s="5">
        <v>13.568413734436</v>
      </c>
      <c r="I865" t="s">
        <v>3</v>
      </c>
    </row>
    <row r="866" spans="1:9">
      <c r="A866" s="4" t="s">
        <v>1790</v>
      </c>
      <c r="B866" s="4" t="s">
        <v>1791</v>
      </c>
      <c r="C866" s="4" t="s">
        <v>31</v>
      </c>
      <c r="D866" s="2">
        <f>54677068/(10^6)</f>
        <v>54.677068</v>
      </c>
      <c r="E866" s="5">
        <v>11.9852495193481</v>
      </c>
      <c r="F866" s="5">
        <v>0.685087919235229</v>
      </c>
      <c r="G866" s="5">
        <v>0.227545887231827</v>
      </c>
      <c r="H866" s="5">
        <v>8.05936336517334</v>
      </c>
      <c r="I866" t="s">
        <v>3</v>
      </c>
    </row>
    <row r="867" spans="1:9">
      <c r="A867" s="4" t="s">
        <v>1792</v>
      </c>
      <c r="B867" s="4" t="s">
        <v>1793</v>
      </c>
      <c r="C867" s="4" t="s">
        <v>27</v>
      </c>
      <c r="D867" s="2">
        <f>54662380/(10^6)</f>
        <v>54.66238</v>
      </c>
      <c r="E867" s="3" t="s">
        <v>86</v>
      </c>
      <c r="F867" s="5">
        <v>0.667259752750397</v>
      </c>
      <c r="G867" s="5">
        <v>0.583702981472015</v>
      </c>
      <c r="H867" s="3" t="s">
        <v>86</v>
      </c>
      <c r="I867" t="s">
        <v>3</v>
      </c>
    </row>
    <row r="868" spans="1:9">
      <c r="A868" s="4" t="s">
        <v>1794</v>
      </c>
      <c r="B868" s="4" t="s">
        <v>1795</v>
      </c>
      <c r="C868" s="4" t="s">
        <v>31</v>
      </c>
      <c r="D868" s="2">
        <f>54505204/(10^6)</f>
        <v>54.505204</v>
      </c>
      <c r="E868" s="5">
        <v>4.43993377685547</v>
      </c>
      <c r="F868" s="5">
        <v>2.86642456054688</v>
      </c>
      <c r="G868" s="5">
        <v>2.01376056671143</v>
      </c>
      <c r="H868" s="5">
        <v>2.72128486633301</v>
      </c>
      <c r="I868" t="s">
        <v>3</v>
      </c>
    </row>
    <row r="869" spans="1:9">
      <c r="A869" s="4" t="s">
        <v>1796</v>
      </c>
      <c r="B869" s="4" t="s">
        <v>1797</v>
      </c>
      <c r="C869" s="4" t="s">
        <v>27</v>
      </c>
      <c r="D869" s="2">
        <f>53834320/(10^6)</f>
        <v>53.83432</v>
      </c>
      <c r="E869" s="3" t="s">
        <v>86</v>
      </c>
      <c r="F869" s="5">
        <v>0.919905245304108</v>
      </c>
      <c r="G869" s="5">
        <v>0.763430595397949</v>
      </c>
      <c r="H869" s="3" t="s">
        <v>86</v>
      </c>
      <c r="I869" t="s">
        <v>3</v>
      </c>
    </row>
    <row r="870" spans="1:9">
      <c r="A870" s="4" t="s">
        <v>1798</v>
      </c>
      <c r="B870" s="4" t="s">
        <v>1799</v>
      </c>
      <c r="C870" s="4" t="s">
        <v>37</v>
      </c>
      <c r="D870" s="2">
        <f>53206232/(10^6)</f>
        <v>53.206232</v>
      </c>
      <c r="E870" s="5">
        <v>22.0189418792725</v>
      </c>
      <c r="F870" s="5">
        <v>3.09853076934814</v>
      </c>
      <c r="G870" s="5">
        <v>3.16689801216125</v>
      </c>
      <c r="H870" s="5">
        <v>14.7735071182251</v>
      </c>
      <c r="I870" t="s">
        <v>3</v>
      </c>
    </row>
    <row r="871" spans="1:9">
      <c r="A871" s="4" t="s">
        <v>1800</v>
      </c>
      <c r="B871" s="4" t="s">
        <v>1801</v>
      </c>
      <c r="C871" s="4" t="s">
        <v>41</v>
      </c>
      <c r="D871" s="2">
        <f>52513552/(10^6)</f>
        <v>52.513552</v>
      </c>
      <c r="E871" s="3" t="s">
        <v>86</v>
      </c>
      <c r="F871" s="5">
        <v>2.10684323310852</v>
      </c>
      <c r="G871" s="5">
        <v>1.91885626316071</v>
      </c>
      <c r="H871" s="5">
        <v>3.57062029838562</v>
      </c>
      <c r="I871" t="s">
        <v>3</v>
      </c>
    </row>
    <row r="872" spans="1:9">
      <c r="A872" s="4" t="s">
        <v>1802</v>
      </c>
      <c r="B872" s="4" t="s">
        <v>1803</v>
      </c>
      <c r="C872" s="4" t="s">
        <v>45</v>
      </c>
      <c r="D872" s="2">
        <f>52266324/(10^6)</f>
        <v>52.266324</v>
      </c>
      <c r="E872" s="5">
        <v>15.1430177688599</v>
      </c>
      <c r="F872" s="5">
        <v>0.38569775223732</v>
      </c>
      <c r="G872" s="5">
        <v>5.29307985305786</v>
      </c>
      <c r="H872" s="3" t="s">
        <v>86</v>
      </c>
      <c r="I872" t="s">
        <v>3</v>
      </c>
    </row>
    <row r="873" spans="1:9">
      <c r="A873" s="4" t="s">
        <v>1804</v>
      </c>
      <c r="B873" s="4" t="s">
        <v>1805</v>
      </c>
      <c r="C873" s="4" t="s">
        <v>35</v>
      </c>
      <c r="D873" s="2">
        <f>51133472/(10^6)</f>
        <v>51.133472</v>
      </c>
      <c r="E873" s="3" t="s">
        <v>86</v>
      </c>
      <c r="F873" s="5">
        <v>3.16017270088196</v>
      </c>
      <c r="G873" s="5">
        <v>7.3977484703064</v>
      </c>
      <c r="H873" s="3" t="s">
        <v>86</v>
      </c>
      <c r="I873" t="s">
        <v>3</v>
      </c>
    </row>
    <row r="874" spans="1:9">
      <c r="A874" s="4" t="s">
        <v>1806</v>
      </c>
      <c r="B874" s="4" t="s">
        <v>1807</v>
      </c>
      <c r="C874" s="4" t="s">
        <v>51</v>
      </c>
      <c r="D874" s="2">
        <f>50784448/(10^6)</f>
        <v>50.784448</v>
      </c>
      <c r="E874" s="5">
        <v>9.68558216094971</v>
      </c>
      <c r="F874" s="5">
        <v>1.75765454769135</v>
      </c>
      <c r="G874" s="5">
        <v>0.49989378452301</v>
      </c>
      <c r="H874" s="5">
        <v>6.8515305519104</v>
      </c>
      <c r="I874" t="s">
        <v>3</v>
      </c>
    </row>
    <row r="875" spans="1:9">
      <c r="A875" s="4" t="s">
        <v>1808</v>
      </c>
      <c r="B875" s="4" t="s">
        <v>1809</v>
      </c>
      <c r="C875" s="4" t="s">
        <v>27</v>
      </c>
      <c r="D875" s="2">
        <f>50564552/(10^6)</f>
        <v>50.564552</v>
      </c>
      <c r="E875" s="3" t="s">
        <v>86</v>
      </c>
      <c r="F875" s="5">
        <v>0.165631547570229</v>
      </c>
      <c r="G875" s="5">
        <v>0.449252784252167</v>
      </c>
      <c r="H875" s="3" t="s">
        <v>86</v>
      </c>
      <c r="I875" t="s">
        <v>3</v>
      </c>
    </row>
    <row r="876" spans="1:9">
      <c r="A876" s="4" t="s">
        <v>1810</v>
      </c>
      <c r="B876" s="4" t="s">
        <v>1811</v>
      </c>
      <c r="C876" s="4" t="s">
        <v>43</v>
      </c>
      <c r="D876" s="2">
        <f>50150356/(10^6)</f>
        <v>50.150356</v>
      </c>
      <c r="E876" s="5">
        <v>7.56972074508667</v>
      </c>
      <c r="F876" s="5">
        <v>0.39905571937561</v>
      </c>
      <c r="G876" s="5">
        <v>1.31616318225861</v>
      </c>
      <c r="H876" s="5">
        <v>12.3898324966431</v>
      </c>
      <c r="I876" t="s">
        <v>3</v>
      </c>
    </row>
    <row r="877" spans="1:9">
      <c r="A877" s="4" t="s">
        <v>1812</v>
      </c>
      <c r="B877" s="4" t="s">
        <v>1813</v>
      </c>
      <c r="C877" s="4" t="s">
        <v>51</v>
      </c>
      <c r="D877" s="2">
        <f>50022588/(10^6)</f>
        <v>50.022588</v>
      </c>
      <c r="E877" s="5">
        <v>4.4803318977356</v>
      </c>
      <c r="F877" s="5">
        <v>0.357491225004196</v>
      </c>
      <c r="G877" s="5">
        <v>0.189028799533844</v>
      </c>
      <c r="H877" s="5">
        <v>0.379566580057144</v>
      </c>
      <c r="I877" t="s">
        <v>3</v>
      </c>
    </row>
    <row r="878" spans="1:9">
      <c r="A878" s="4" t="s">
        <v>1814</v>
      </c>
      <c r="B878" s="4" t="s">
        <v>1815</v>
      </c>
      <c r="C878" s="4" t="s">
        <v>33</v>
      </c>
      <c r="D878" s="2">
        <f>49503932/(10^6)</f>
        <v>49.503932</v>
      </c>
      <c r="E878" s="3" t="s">
        <v>86</v>
      </c>
      <c r="F878" s="5">
        <v>0.703504681587219</v>
      </c>
      <c r="G878" s="3" t="s">
        <v>86</v>
      </c>
      <c r="H878" s="3" t="s">
        <v>86</v>
      </c>
      <c r="I878" t="s">
        <v>3</v>
      </c>
    </row>
    <row r="879" spans="1:9">
      <c r="A879" s="4" t="s">
        <v>1816</v>
      </c>
      <c r="B879" s="4" t="s">
        <v>1817</v>
      </c>
      <c r="C879" s="4" t="s">
        <v>31</v>
      </c>
      <c r="D879" s="2">
        <f>49243320/(10^6)</f>
        <v>49.24332</v>
      </c>
      <c r="E879" s="5">
        <v>7.04399394989014</v>
      </c>
      <c r="F879" s="5">
        <v>0.480018585920334</v>
      </c>
      <c r="G879" s="5">
        <v>0.481187254190445</v>
      </c>
      <c r="H879" s="5">
        <v>3.2639148235321</v>
      </c>
      <c r="I879" t="s">
        <v>3</v>
      </c>
    </row>
    <row r="880" spans="1:9">
      <c r="A880" s="4" t="s">
        <v>1818</v>
      </c>
      <c r="B880" s="4" t="s">
        <v>1819</v>
      </c>
      <c r="C880" s="4" t="s">
        <v>51</v>
      </c>
      <c r="D880" s="2">
        <f>49039852/(10^6)</f>
        <v>49.039852</v>
      </c>
      <c r="E880" s="5">
        <v>6.94712209701538</v>
      </c>
      <c r="F880" s="5">
        <v>1.13942968845367</v>
      </c>
      <c r="G880" s="5">
        <v>2.6387312412262</v>
      </c>
      <c r="H880" s="5">
        <v>3.1116669178009</v>
      </c>
      <c r="I880" t="s">
        <v>3</v>
      </c>
    </row>
    <row r="881" spans="1:9">
      <c r="A881" s="4" t="s">
        <v>1820</v>
      </c>
      <c r="B881" s="4" t="s">
        <v>1821</v>
      </c>
      <c r="C881" s="4" t="s">
        <v>31</v>
      </c>
      <c r="D881" s="2">
        <f>48741284/(10^6)</f>
        <v>48.741284</v>
      </c>
      <c r="E881" s="5">
        <v>6.59469938278198</v>
      </c>
      <c r="F881" s="5">
        <v>0.254212737083435</v>
      </c>
      <c r="G881" s="5">
        <v>0.17218916118145</v>
      </c>
      <c r="H881" s="5">
        <v>3.03605031967163</v>
      </c>
      <c r="I881" t="s">
        <v>3</v>
      </c>
    </row>
    <row r="882" spans="1:9">
      <c r="A882" s="4" t="s">
        <v>1822</v>
      </c>
      <c r="B882" s="4" t="s">
        <v>1823</v>
      </c>
      <c r="C882" s="4" t="s">
        <v>51</v>
      </c>
      <c r="D882" s="2">
        <f>48665988/(10^6)</f>
        <v>48.665988</v>
      </c>
      <c r="E882" s="5">
        <v>8.84041309356689</v>
      </c>
      <c r="F882" s="5">
        <v>0.669527947902679</v>
      </c>
      <c r="G882" s="5">
        <v>0.152202516794205</v>
      </c>
      <c r="H882" s="5">
        <v>2.52298617362976</v>
      </c>
      <c r="I882" t="s">
        <v>3</v>
      </c>
    </row>
    <row r="883" spans="1:9">
      <c r="A883" s="4" t="s">
        <v>1824</v>
      </c>
      <c r="B883" s="4" t="s">
        <v>1825</v>
      </c>
      <c r="C883" s="4" t="s">
        <v>31</v>
      </c>
      <c r="D883" s="2">
        <f>48023464/(10^6)</f>
        <v>48.023464</v>
      </c>
      <c r="E883" s="5">
        <v>6.83760643005371</v>
      </c>
      <c r="F883" s="5">
        <v>0.998913705348969</v>
      </c>
      <c r="G883" s="5">
        <v>0.635263442993164</v>
      </c>
      <c r="H883" s="5">
        <v>7.5081901550293</v>
      </c>
      <c r="I883" t="s">
        <v>3</v>
      </c>
    </row>
    <row r="884" spans="1:9">
      <c r="A884" s="4" t="s">
        <v>1826</v>
      </c>
      <c r="B884" s="4" t="s">
        <v>1827</v>
      </c>
      <c r="C884" s="4" t="s">
        <v>31</v>
      </c>
      <c r="D884" s="2">
        <f>47702560/(10^6)</f>
        <v>47.70256</v>
      </c>
      <c r="E884" s="3" t="s">
        <v>86</v>
      </c>
      <c r="F884" s="5">
        <v>0.309967070817947</v>
      </c>
      <c r="G884" s="3" t="s">
        <v>86</v>
      </c>
      <c r="H884" s="3" t="s">
        <v>86</v>
      </c>
      <c r="I884" t="s">
        <v>3</v>
      </c>
    </row>
    <row r="885" spans="1:9">
      <c r="A885" s="4" t="s">
        <v>1828</v>
      </c>
      <c r="B885" s="4" t="s">
        <v>1829</v>
      </c>
      <c r="C885" s="4" t="s">
        <v>35</v>
      </c>
      <c r="D885" s="2">
        <f>47681396/(10^6)</f>
        <v>47.681396</v>
      </c>
      <c r="E885" s="5">
        <v>19.798656463623</v>
      </c>
      <c r="F885" s="5">
        <v>2.53624892234802</v>
      </c>
      <c r="G885" s="5">
        <v>0.807732284069061</v>
      </c>
      <c r="H885" s="5">
        <v>5.32229375839233</v>
      </c>
      <c r="I885" t="s">
        <v>3</v>
      </c>
    </row>
    <row r="886" spans="1:9">
      <c r="A886" s="4" t="s">
        <v>1830</v>
      </c>
      <c r="B886" s="4" t="s">
        <v>1831</v>
      </c>
      <c r="C886" s="4" t="s">
        <v>51</v>
      </c>
      <c r="D886" s="2">
        <f>47153080/(10^6)</f>
        <v>47.15308</v>
      </c>
      <c r="E886" s="5">
        <v>15.7718114852905</v>
      </c>
      <c r="F886" s="5">
        <v>1.50860548019409</v>
      </c>
      <c r="G886" s="5">
        <v>0.302328169345856</v>
      </c>
      <c r="H886" s="5">
        <v>3.58426189422607</v>
      </c>
      <c r="I886" t="s">
        <v>3</v>
      </c>
    </row>
    <row r="887" spans="1:9">
      <c r="A887" s="4" t="s">
        <v>1832</v>
      </c>
      <c r="B887" s="4" t="s">
        <v>1833</v>
      </c>
      <c r="C887" s="4" t="s">
        <v>51</v>
      </c>
      <c r="D887" s="2">
        <f>46966636/(10^6)</f>
        <v>46.966636</v>
      </c>
      <c r="E887" s="5">
        <v>13.8842973709106</v>
      </c>
      <c r="F887" s="5">
        <v>0.947108447551727</v>
      </c>
      <c r="G887" s="5">
        <v>0.42108428478241</v>
      </c>
      <c r="H887" s="5">
        <v>10.4842863082886</v>
      </c>
      <c r="I887" t="s">
        <v>3</v>
      </c>
    </row>
    <row r="888" spans="1:9">
      <c r="A888" s="4" t="s">
        <v>1834</v>
      </c>
      <c r="B888" s="4" t="s">
        <v>1835</v>
      </c>
      <c r="C888" s="4" t="s">
        <v>31</v>
      </c>
      <c r="D888" s="2">
        <f>46709076/(10^6)</f>
        <v>46.709076</v>
      </c>
      <c r="E888" s="5">
        <v>8.70718479156494</v>
      </c>
      <c r="F888" s="3" t="s">
        <v>86</v>
      </c>
      <c r="G888" s="5">
        <v>0.217083141207695</v>
      </c>
      <c r="H888" s="3" t="s">
        <v>86</v>
      </c>
      <c r="I888" t="s">
        <v>3</v>
      </c>
    </row>
    <row r="889" spans="1:9">
      <c r="A889" s="4" t="s">
        <v>1836</v>
      </c>
      <c r="B889" s="4" t="s">
        <v>1837</v>
      </c>
      <c r="C889" s="4" t="s">
        <v>31</v>
      </c>
      <c r="D889" s="2">
        <f>46237808/(10^6)</f>
        <v>46.237808</v>
      </c>
      <c r="E889" s="3" t="s">
        <v>86</v>
      </c>
      <c r="F889" s="5">
        <v>0.745039224624634</v>
      </c>
      <c r="G889" s="5">
        <v>0.862574934959412</v>
      </c>
      <c r="H889" s="5">
        <v>4.31696271896362</v>
      </c>
      <c r="I889" t="s">
        <v>3</v>
      </c>
    </row>
    <row r="890" spans="1:9">
      <c r="A890" s="4" t="s">
        <v>1838</v>
      </c>
      <c r="B890" s="4" t="s">
        <v>1839</v>
      </c>
      <c r="C890" s="4" t="s">
        <v>41</v>
      </c>
      <c r="D890" s="2">
        <f>46199296/(10^6)</f>
        <v>46.199296</v>
      </c>
      <c r="E890" s="5">
        <v>9.00621128082275</v>
      </c>
      <c r="F890" s="5">
        <v>3.24731063842773</v>
      </c>
      <c r="G890" s="5">
        <v>3.53931903839111</v>
      </c>
      <c r="H890" s="5">
        <v>6.27567577362061</v>
      </c>
      <c r="I890" t="s">
        <v>3</v>
      </c>
    </row>
    <row r="891" spans="1:9">
      <c r="A891" s="4" t="s">
        <v>1840</v>
      </c>
      <c r="B891" s="4" t="s">
        <v>1841</v>
      </c>
      <c r="C891" s="4" t="s">
        <v>31</v>
      </c>
      <c r="D891" s="2">
        <f>46058924/(10^6)</f>
        <v>46.058924</v>
      </c>
      <c r="E891" s="5">
        <v>2.54578518867493</v>
      </c>
      <c r="F891" s="5">
        <v>0.279302537441254</v>
      </c>
      <c r="G891" s="5">
        <v>0.517117619514465</v>
      </c>
      <c r="H891" s="5">
        <v>3.66773867607117</v>
      </c>
      <c r="I891" t="s">
        <v>3</v>
      </c>
    </row>
    <row r="892" spans="1:9">
      <c r="A892" s="4" t="s">
        <v>1842</v>
      </c>
      <c r="B892" s="4" t="s">
        <v>1843</v>
      </c>
      <c r="C892" s="4" t="s">
        <v>31</v>
      </c>
      <c r="D892" s="2">
        <f>45384596/(10^6)</f>
        <v>45.384596</v>
      </c>
      <c r="E892" s="5">
        <v>11.5757436752319</v>
      </c>
      <c r="F892" s="5">
        <v>0.241075560450554</v>
      </c>
      <c r="G892" s="5">
        <v>0.120997197926044</v>
      </c>
      <c r="H892" s="5">
        <v>1.88392996788025</v>
      </c>
      <c r="I892" t="s">
        <v>3</v>
      </c>
    </row>
    <row r="893" spans="1:9">
      <c r="A893" s="4" t="s">
        <v>1844</v>
      </c>
      <c r="B893" s="4" t="s">
        <v>1845</v>
      </c>
      <c r="C893" s="4" t="s">
        <v>31</v>
      </c>
      <c r="D893" s="2">
        <f>45009776/(10^6)</f>
        <v>45.009776</v>
      </c>
      <c r="E893" s="5">
        <v>9.31272125244141</v>
      </c>
      <c r="F893" s="5">
        <v>1.03382682800293</v>
      </c>
      <c r="G893" s="5">
        <v>0.68266224861145</v>
      </c>
      <c r="H893" s="5">
        <v>6.06459712982178</v>
      </c>
      <c r="I893" t="s">
        <v>3</v>
      </c>
    </row>
    <row r="894" spans="1:9">
      <c r="A894" s="4" t="s">
        <v>1846</v>
      </c>
      <c r="B894" s="4" t="s">
        <v>1847</v>
      </c>
      <c r="C894" s="4" t="s">
        <v>31</v>
      </c>
      <c r="D894" s="2">
        <f>44848236/(10^6)</f>
        <v>44.848236</v>
      </c>
      <c r="E894" s="5">
        <v>11.0714282989502</v>
      </c>
      <c r="F894" s="5">
        <v>0.211835741996765</v>
      </c>
      <c r="G894" s="5">
        <v>0.180743470788002</v>
      </c>
      <c r="H894" s="5">
        <v>19.4883575439453</v>
      </c>
      <c r="I894" t="s">
        <v>3</v>
      </c>
    </row>
    <row r="895" spans="1:9">
      <c r="A895" s="4" t="s">
        <v>1848</v>
      </c>
      <c r="B895" s="4" t="s">
        <v>1849</v>
      </c>
      <c r="C895" s="4" t="s">
        <v>51</v>
      </c>
      <c r="D895" s="2">
        <f>43562540/(10^6)</f>
        <v>43.56254</v>
      </c>
      <c r="E895" s="5">
        <v>7.62305021286011</v>
      </c>
      <c r="F895" s="5">
        <v>0.742557406425476</v>
      </c>
      <c r="G895" s="5">
        <v>0.607719480991364</v>
      </c>
      <c r="H895" s="5">
        <v>2.22569346427917</v>
      </c>
      <c r="I895" t="s">
        <v>3</v>
      </c>
    </row>
    <row r="896" spans="1:9">
      <c r="A896" s="4" t="s">
        <v>1850</v>
      </c>
      <c r="B896" s="4" t="s">
        <v>1851</v>
      </c>
      <c r="C896" s="4" t="s">
        <v>49</v>
      </c>
      <c r="D896" s="2">
        <f>43236736/(10^6)</f>
        <v>43.236736</v>
      </c>
      <c r="E896" s="3" t="s">
        <v>86</v>
      </c>
      <c r="F896" s="3" t="s">
        <v>86</v>
      </c>
      <c r="G896" s="3" t="s">
        <v>86</v>
      </c>
      <c r="H896" s="3" t="s">
        <v>86</v>
      </c>
      <c r="I896" t="s">
        <v>3</v>
      </c>
    </row>
    <row r="897" spans="1:9">
      <c r="A897" s="4" t="s">
        <v>1852</v>
      </c>
      <c r="B897" s="4" t="s">
        <v>1853</v>
      </c>
      <c r="C897" s="4" t="s">
        <v>37</v>
      </c>
      <c r="D897" s="2">
        <f>43186000/(10^6)</f>
        <v>43.186</v>
      </c>
      <c r="E897" s="5">
        <v>9.65378379821777</v>
      </c>
      <c r="F897" s="5">
        <v>0.958248615264893</v>
      </c>
      <c r="G897" s="5">
        <v>1.09721529483795</v>
      </c>
      <c r="H897" s="5">
        <v>3.19380140304565</v>
      </c>
      <c r="I897" t="s">
        <v>3</v>
      </c>
    </row>
    <row r="898" spans="1:9">
      <c r="A898" s="4" t="s">
        <v>1854</v>
      </c>
      <c r="B898" s="4" t="s">
        <v>1855</v>
      </c>
      <c r="C898" s="4" t="s">
        <v>41</v>
      </c>
      <c r="D898" s="2">
        <f>42794348/(10^6)</f>
        <v>42.794348</v>
      </c>
      <c r="E898" s="3" t="s">
        <v>86</v>
      </c>
      <c r="F898" s="5">
        <v>1.2077294588089</v>
      </c>
      <c r="G898" s="5">
        <v>2.54570126533508</v>
      </c>
      <c r="H898" s="3" t="s">
        <v>86</v>
      </c>
      <c r="I898" t="s">
        <v>3</v>
      </c>
    </row>
    <row r="899" spans="1:9">
      <c r="A899" s="4" t="s">
        <v>1856</v>
      </c>
      <c r="B899" s="4" t="s">
        <v>1857</v>
      </c>
      <c r="C899" s="4" t="s">
        <v>31</v>
      </c>
      <c r="D899" s="2">
        <f>42767172/(10^6)</f>
        <v>42.767172</v>
      </c>
      <c r="E899" s="3" t="s">
        <v>86</v>
      </c>
      <c r="F899" s="5">
        <v>0.710556209087372</v>
      </c>
      <c r="G899" s="5">
        <v>0.223919555544853</v>
      </c>
      <c r="H899" s="5">
        <v>17.3095397949219</v>
      </c>
      <c r="I899" t="s">
        <v>3</v>
      </c>
    </row>
    <row r="900" spans="1:9">
      <c r="A900" s="4" t="s">
        <v>1858</v>
      </c>
      <c r="B900" s="4" t="s">
        <v>1859</v>
      </c>
      <c r="C900" s="4" t="s">
        <v>47</v>
      </c>
      <c r="D900" s="2">
        <f>41523676/(10^6)</f>
        <v>41.523676</v>
      </c>
      <c r="E900" s="5">
        <v>8.01393795013428</v>
      </c>
      <c r="F900" s="5">
        <v>0.883673965930939</v>
      </c>
      <c r="G900" s="5">
        <v>1.03113579750061</v>
      </c>
      <c r="H900" s="5">
        <v>6.75137376785278</v>
      </c>
      <c r="I900" t="s">
        <v>3</v>
      </c>
    </row>
    <row r="901" spans="1:9">
      <c r="A901" s="4" t="s">
        <v>1860</v>
      </c>
      <c r="B901" s="4" t="s">
        <v>1861</v>
      </c>
      <c r="C901" s="4" t="s">
        <v>51</v>
      </c>
      <c r="D901" s="2">
        <f>41428060/(10^6)</f>
        <v>41.42806</v>
      </c>
      <c r="E901" s="5">
        <v>12.1309461593628</v>
      </c>
      <c r="F901" s="5">
        <v>0.729212641716003</v>
      </c>
      <c r="G901" s="5">
        <v>0.177380532026291</v>
      </c>
      <c r="H901" s="5">
        <v>8.58335208892822</v>
      </c>
      <c r="I901" t="s">
        <v>3</v>
      </c>
    </row>
    <row r="902" spans="1:9">
      <c r="A902" s="4" t="s">
        <v>1862</v>
      </c>
      <c r="B902" s="4" t="s">
        <v>1863</v>
      </c>
      <c r="C902" s="4" t="s">
        <v>49</v>
      </c>
      <c r="D902" s="2">
        <f>41112772/(10^6)</f>
        <v>41.112772</v>
      </c>
      <c r="E902" s="3" t="s">
        <v>86</v>
      </c>
      <c r="F902" s="3" t="s">
        <v>86</v>
      </c>
      <c r="G902" s="3" t="s">
        <v>86</v>
      </c>
      <c r="H902" s="3" t="s">
        <v>86</v>
      </c>
      <c r="I902" t="s">
        <v>3</v>
      </c>
    </row>
    <row r="903" spans="1:9">
      <c r="A903" s="4" t="s">
        <v>1864</v>
      </c>
      <c r="B903" s="4" t="s">
        <v>1863</v>
      </c>
      <c r="C903" s="4" t="s">
        <v>49</v>
      </c>
      <c r="D903" s="2">
        <f>41063612/(10^6)</f>
        <v>41.063612</v>
      </c>
      <c r="E903" s="3" t="s">
        <v>86</v>
      </c>
      <c r="F903" s="3" t="s">
        <v>86</v>
      </c>
      <c r="G903" s="3" t="s">
        <v>86</v>
      </c>
      <c r="H903" s="3" t="s">
        <v>86</v>
      </c>
      <c r="I903" t="s">
        <v>3</v>
      </c>
    </row>
    <row r="904" spans="1:9">
      <c r="A904" s="4" t="s">
        <v>1865</v>
      </c>
      <c r="B904" s="4" t="s">
        <v>1866</v>
      </c>
      <c r="C904" s="4" t="s">
        <v>45</v>
      </c>
      <c r="D904" s="2">
        <f>40409112/(10^6)</f>
        <v>40.409112</v>
      </c>
      <c r="E904" s="3" t="s">
        <v>86</v>
      </c>
      <c r="F904" s="5">
        <v>0.315489739179611</v>
      </c>
      <c r="G904" s="5">
        <v>7.4599027633667</v>
      </c>
      <c r="H904" s="3" t="s">
        <v>86</v>
      </c>
      <c r="I904" t="s">
        <v>3</v>
      </c>
    </row>
    <row r="905" spans="1:9">
      <c r="A905" s="4" t="s">
        <v>1867</v>
      </c>
      <c r="B905" s="4" t="s">
        <v>1868</v>
      </c>
      <c r="C905" s="4" t="s">
        <v>37</v>
      </c>
      <c r="D905" s="2">
        <f>40251140/(10^6)</f>
        <v>40.25114</v>
      </c>
      <c r="E905" s="5">
        <v>3.89215970039368</v>
      </c>
      <c r="F905" s="5">
        <v>0.416201591491699</v>
      </c>
      <c r="G905" s="5">
        <v>0.193355962634087</v>
      </c>
      <c r="H905" s="5">
        <v>2.50423240661621</v>
      </c>
      <c r="I905" t="s">
        <v>3</v>
      </c>
    </row>
    <row r="906" spans="1:9">
      <c r="A906" s="4" t="s">
        <v>1869</v>
      </c>
      <c r="B906" s="4" t="s">
        <v>1870</v>
      </c>
      <c r="C906" s="4" t="s">
        <v>41</v>
      </c>
      <c r="D906" s="2">
        <f>40151692/(10^6)</f>
        <v>40.151692</v>
      </c>
      <c r="E906" s="3" t="s">
        <v>86</v>
      </c>
      <c r="F906" s="5">
        <v>1.15649425983429</v>
      </c>
      <c r="G906" s="5">
        <v>2.37908720970154</v>
      </c>
      <c r="H906" s="5">
        <v>9.2546911239624</v>
      </c>
      <c r="I906" t="s">
        <v>3</v>
      </c>
    </row>
    <row r="907" spans="1:9">
      <c r="A907" s="4" t="s">
        <v>1871</v>
      </c>
      <c r="B907" s="4" t="s">
        <v>1872</v>
      </c>
      <c r="C907" s="4" t="s">
        <v>37</v>
      </c>
      <c r="D907" s="2">
        <f>40073796/(10^6)</f>
        <v>40.073796</v>
      </c>
      <c r="E907" s="3" t="s">
        <v>86</v>
      </c>
      <c r="F907" s="5">
        <v>0.384261816740036</v>
      </c>
      <c r="G907" s="5">
        <v>0.189146474003792</v>
      </c>
      <c r="H907" s="5">
        <v>8.46804809570312</v>
      </c>
      <c r="I907" t="s">
        <v>3</v>
      </c>
    </row>
    <row r="908" spans="1:9">
      <c r="A908" s="4" t="s">
        <v>1873</v>
      </c>
      <c r="B908" s="4" t="s">
        <v>1874</v>
      </c>
      <c r="C908" s="4" t="s">
        <v>43</v>
      </c>
      <c r="D908" s="2">
        <f>39961964/(10^6)</f>
        <v>39.961964</v>
      </c>
      <c r="E908" s="3" t="s">
        <v>86</v>
      </c>
      <c r="F908" s="5">
        <v>0.390337109565735</v>
      </c>
      <c r="G908" s="5">
        <v>3.27567052841187</v>
      </c>
      <c r="H908" s="5">
        <v>30.4906845092773</v>
      </c>
      <c r="I908" t="s">
        <v>3</v>
      </c>
    </row>
    <row r="909" spans="1:9">
      <c r="A909" s="4" t="s">
        <v>1875</v>
      </c>
      <c r="B909" s="4" t="s">
        <v>1876</v>
      </c>
      <c r="C909" s="4" t="s">
        <v>51</v>
      </c>
      <c r="D909" s="2">
        <f>38996816/(10^6)</f>
        <v>38.996816</v>
      </c>
      <c r="E909" s="5">
        <v>9.05172443389893</v>
      </c>
      <c r="F909" s="5">
        <v>1.0756983757019</v>
      </c>
      <c r="G909" s="5">
        <v>1.59765470027924</v>
      </c>
      <c r="H909" s="5">
        <v>2.59360003471375</v>
      </c>
      <c r="I909" t="s">
        <v>3</v>
      </c>
    </row>
    <row r="910" spans="1:9">
      <c r="A910" s="4" t="s">
        <v>1877</v>
      </c>
      <c r="B910" s="4" t="s">
        <v>1878</v>
      </c>
      <c r="C910" s="4" t="s">
        <v>47</v>
      </c>
      <c r="D910" s="2">
        <f>38555936/(10^6)</f>
        <v>38.555936</v>
      </c>
      <c r="E910" s="5">
        <v>6.05187273025513</v>
      </c>
      <c r="F910" s="5">
        <v>0.406294465065002</v>
      </c>
      <c r="G910" s="5">
        <v>0.50951087474823</v>
      </c>
      <c r="H910" s="5">
        <v>9.22644996643066</v>
      </c>
      <c r="I910" t="s">
        <v>3</v>
      </c>
    </row>
    <row r="911" spans="1:9">
      <c r="A911" s="4" t="s">
        <v>1879</v>
      </c>
      <c r="B911" s="4" t="s">
        <v>1880</v>
      </c>
      <c r="C911" s="4" t="s">
        <v>41</v>
      </c>
      <c r="D911" s="2">
        <f>37935792/(10^6)</f>
        <v>37.935792</v>
      </c>
      <c r="E911" s="5">
        <v>8.3870964050293</v>
      </c>
      <c r="F911" s="5">
        <v>1.39420866966248</v>
      </c>
      <c r="G911" s="5">
        <v>0.458529502153397</v>
      </c>
      <c r="H911" s="5">
        <v>4.4944953918457</v>
      </c>
      <c r="I911" t="s">
        <v>3</v>
      </c>
    </row>
    <row r="912" spans="1:9">
      <c r="A912" s="4" t="s">
        <v>1881</v>
      </c>
      <c r="B912" s="4" t="s">
        <v>1882</v>
      </c>
      <c r="C912" s="4" t="s">
        <v>31</v>
      </c>
      <c r="D912" s="2">
        <f>37817516/(10^6)</f>
        <v>37.817516</v>
      </c>
      <c r="E912" s="3" t="s">
        <v>86</v>
      </c>
      <c r="F912" s="5">
        <v>0.382402360439301</v>
      </c>
      <c r="G912" s="5">
        <v>0.568386375904083</v>
      </c>
      <c r="H912" s="5">
        <v>3.27325868606567</v>
      </c>
      <c r="I912" t="s">
        <v>3</v>
      </c>
    </row>
    <row r="913" spans="1:9">
      <c r="A913" s="4" t="s">
        <v>1883</v>
      </c>
      <c r="B913" s="4" t="s">
        <v>1884</v>
      </c>
      <c r="C913" s="4" t="s">
        <v>45</v>
      </c>
      <c r="D913" s="2">
        <f>37609224/(10^6)</f>
        <v>37.609224</v>
      </c>
      <c r="E913" s="3" t="s">
        <v>86</v>
      </c>
      <c r="F913" s="5">
        <v>9.80392169952393</v>
      </c>
      <c r="G913" s="3" t="s">
        <v>86</v>
      </c>
      <c r="H913" s="3" t="s">
        <v>86</v>
      </c>
      <c r="I913" t="s">
        <v>3</v>
      </c>
    </row>
    <row r="914" spans="1:9">
      <c r="A914" s="4" t="s">
        <v>1885</v>
      </c>
      <c r="B914" s="4" t="s">
        <v>1886</v>
      </c>
      <c r="C914" s="4" t="s">
        <v>47</v>
      </c>
      <c r="D914" s="2">
        <f>37473232/(10^6)</f>
        <v>37.473232</v>
      </c>
      <c r="E914" s="5">
        <v>32.4819755554199</v>
      </c>
      <c r="F914" s="5">
        <v>5.02866172790527</v>
      </c>
      <c r="G914" s="5">
        <v>1.21058452129364</v>
      </c>
      <c r="H914" s="5">
        <v>8.85362148284912</v>
      </c>
      <c r="I914" t="s">
        <v>3</v>
      </c>
    </row>
    <row r="915" spans="1:9">
      <c r="A915" s="4" t="s">
        <v>1887</v>
      </c>
      <c r="B915" s="4" t="s">
        <v>1888</v>
      </c>
      <c r="C915" s="4" t="s">
        <v>31</v>
      </c>
      <c r="D915" s="2">
        <f>37355312/(10^6)</f>
        <v>37.355312</v>
      </c>
      <c r="E915" s="5">
        <v>2.85002899169922</v>
      </c>
      <c r="F915" s="5">
        <v>0.337580293416977</v>
      </c>
      <c r="G915" s="5">
        <v>0.241453155875206</v>
      </c>
      <c r="H915" s="5">
        <v>2.20967650413513</v>
      </c>
      <c r="I915" t="s">
        <v>3</v>
      </c>
    </row>
    <row r="916" spans="1:9">
      <c r="A916" s="4" t="s">
        <v>1889</v>
      </c>
      <c r="B916" s="4" t="s">
        <v>1890</v>
      </c>
      <c r="C916" s="4" t="s">
        <v>49</v>
      </c>
      <c r="D916" s="2">
        <f>36572100/(10^6)</f>
        <v>36.5721</v>
      </c>
      <c r="E916" s="3" t="s">
        <v>86</v>
      </c>
      <c r="F916" s="3" t="s">
        <v>86</v>
      </c>
      <c r="G916" s="3" t="s">
        <v>86</v>
      </c>
      <c r="H916" s="3" t="s">
        <v>86</v>
      </c>
      <c r="I916" t="s">
        <v>3</v>
      </c>
    </row>
    <row r="917" spans="1:9">
      <c r="A917" s="4" t="s">
        <v>1891</v>
      </c>
      <c r="B917" s="4" t="s">
        <v>1892</v>
      </c>
      <c r="C917" s="4" t="s">
        <v>31</v>
      </c>
      <c r="D917" s="2">
        <f>36152688/(10^6)</f>
        <v>36.152688</v>
      </c>
      <c r="E917" s="5">
        <v>16.417911529541</v>
      </c>
      <c r="F917" s="5">
        <v>1.63600409030914</v>
      </c>
      <c r="G917" s="5">
        <v>1.26940894126892</v>
      </c>
      <c r="H917" s="5">
        <v>7.68558311462402</v>
      </c>
      <c r="I917" t="s">
        <v>3</v>
      </c>
    </row>
    <row r="918" spans="1:9">
      <c r="A918" s="4" t="s">
        <v>1893</v>
      </c>
      <c r="B918" s="4" t="s">
        <v>1894</v>
      </c>
      <c r="C918" s="4" t="s">
        <v>37</v>
      </c>
      <c r="D918" s="2">
        <f>35941076/(10^6)</f>
        <v>35.941076</v>
      </c>
      <c r="E918" s="3" t="s">
        <v>86</v>
      </c>
      <c r="F918" s="5">
        <v>3.44954657554627</v>
      </c>
      <c r="G918" s="5">
        <v>133.41911315918</v>
      </c>
      <c r="H918" s="3" t="s">
        <v>86</v>
      </c>
      <c r="I918" t="s">
        <v>3</v>
      </c>
    </row>
    <row r="919" spans="1:9">
      <c r="A919" s="4" t="s">
        <v>1895</v>
      </c>
      <c r="B919" s="4" t="s">
        <v>1896</v>
      </c>
      <c r="C919" s="4" t="s">
        <v>45</v>
      </c>
      <c r="D919" s="2">
        <f>35880856/(10^6)</f>
        <v>35.880856</v>
      </c>
      <c r="E919" s="3" t="s">
        <v>86</v>
      </c>
      <c r="F919" s="5">
        <v>0.59172534942627</v>
      </c>
      <c r="G919" s="5">
        <v>26.3250274658203</v>
      </c>
      <c r="H919" s="3" t="s">
        <v>86</v>
      </c>
      <c r="I919" t="s">
        <v>3</v>
      </c>
    </row>
    <row r="920" spans="1:9">
      <c r="A920" s="4" t="s">
        <v>1897</v>
      </c>
      <c r="B920" s="4" t="s">
        <v>1898</v>
      </c>
      <c r="C920" s="4" t="s">
        <v>47</v>
      </c>
      <c r="D920" s="2">
        <f>35753252/(10^6)</f>
        <v>35.753252</v>
      </c>
      <c r="E920" s="3" t="s">
        <v>86</v>
      </c>
      <c r="F920" s="5">
        <v>0.407674938440323</v>
      </c>
      <c r="G920" s="5">
        <v>2.35185861587524</v>
      </c>
      <c r="H920" s="5">
        <v>64.476692199707</v>
      </c>
      <c r="I920" t="s">
        <v>3</v>
      </c>
    </row>
    <row r="921" spans="1:9">
      <c r="A921" s="4" t="s">
        <v>1899</v>
      </c>
      <c r="B921" s="4" t="s">
        <v>1900</v>
      </c>
      <c r="C921" s="4" t="s">
        <v>27</v>
      </c>
      <c r="D921" s="2">
        <f>35682548/(10^6)</f>
        <v>35.682548</v>
      </c>
      <c r="E921" s="3" t="s">
        <v>86</v>
      </c>
      <c r="F921" s="5">
        <v>0.610178172588348</v>
      </c>
      <c r="G921" s="3" t="s">
        <v>86</v>
      </c>
      <c r="H921" s="3" t="s">
        <v>86</v>
      </c>
      <c r="I921" t="s">
        <v>3</v>
      </c>
    </row>
    <row r="922" spans="1:9">
      <c r="A922" s="4" t="s">
        <v>1901</v>
      </c>
      <c r="B922" s="4" t="s">
        <v>1902</v>
      </c>
      <c r="C922" s="4" t="s">
        <v>49</v>
      </c>
      <c r="D922" s="2">
        <f>35537784/(10^6)</f>
        <v>35.537784</v>
      </c>
      <c r="E922" s="3" t="s">
        <v>86</v>
      </c>
      <c r="F922" s="3" t="s">
        <v>86</v>
      </c>
      <c r="G922" s="3" t="s">
        <v>86</v>
      </c>
      <c r="H922" s="5">
        <v>8.84737300872803</v>
      </c>
      <c r="I922" t="s">
        <v>3</v>
      </c>
    </row>
    <row r="923" spans="1:9">
      <c r="A923" s="4" t="s">
        <v>1903</v>
      </c>
      <c r="B923" s="4" t="s">
        <v>1904</v>
      </c>
      <c r="C923" s="4" t="s">
        <v>47</v>
      </c>
      <c r="D923" s="2">
        <f>35399568/(10^6)</f>
        <v>35.399568</v>
      </c>
      <c r="E923" s="5">
        <v>15.957447052002</v>
      </c>
      <c r="F923" s="5">
        <v>1.55255401134491</v>
      </c>
      <c r="G923" s="5">
        <v>0.734681904315948</v>
      </c>
      <c r="H923" s="5">
        <v>4.41695022583008</v>
      </c>
      <c r="I923" t="s">
        <v>3</v>
      </c>
    </row>
    <row r="924" spans="1:9">
      <c r="A924" s="4" t="s">
        <v>1905</v>
      </c>
      <c r="B924" s="4" t="s">
        <v>1906</v>
      </c>
      <c r="C924" s="4" t="s">
        <v>41</v>
      </c>
      <c r="D924" s="2">
        <f>34873728/(10^6)</f>
        <v>34.873728</v>
      </c>
      <c r="E924" s="3" t="s">
        <v>86</v>
      </c>
      <c r="F924" s="5">
        <v>6.86963367462158</v>
      </c>
      <c r="G924" s="5">
        <v>37.099494934082</v>
      </c>
      <c r="H924" s="3" t="s">
        <v>86</v>
      </c>
      <c r="I924" t="s">
        <v>3</v>
      </c>
    </row>
    <row r="925" spans="1:9">
      <c r="A925" s="4" t="s">
        <v>1907</v>
      </c>
      <c r="B925" s="4" t="s">
        <v>1908</v>
      </c>
      <c r="C925" s="4" t="s">
        <v>37</v>
      </c>
      <c r="D925" s="2">
        <f>34816288/(10^6)</f>
        <v>34.816288</v>
      </c>
      <c r="E925" s="3" t="s">
        <v>86</v>
      </c>
      <c r="F925" s="5">
        <v>1.48861742019653</v>
      </c>
      <c r="G925" s="5">
        <v>2.8933379650116</v>
      </c>
      <c r="H925" s="3" t="s">
        <v>86</v>
      </c>
      <c r="I925" t="s">
        <v>3</v>
      </c>
    </row>
    <row r="926" spans="1:9">
      <c r="A926" s="4" t="s">
        <v>1909</v>
      </c>
      <c r="B926" s="4" t="s">
        <v>1910</v>
      </c>
      <c r="C926" s="4" t="s">
        <v>37</v>
      </c>
      <c r="D926" s="2">
        <f>34549744/(10^6)</f>
        <v>34.549744</v>
      </c>
      <c r="E926" s="3" t="s">
        <v>86</v>
      </c>
      <c r="F926" s="5">
        <v>1.09535956382752</v>
      </c>
      <c r="G926" s="5">
        <v>5.60039329528809</v>
      </c>
      <c r="H926" s="3" t="s">
        <v>86</v>
      </c>
      <c r="I926" t="s">
        <v>3</v>
      </c>
    </row>
    <row r="927" spans="1:9">
      <c r="A927" s="4" t="s">
        <v>1911</v>
      </c>
      <c r="B927" s="4" t="s">
        <v>1912</v>
      </c>
      <c r="C927" s="4" t="s">
        <v>39</v>
      </c>
      <c r="D927" s="2">
        <f>34523800/(10^6)</f>
        <v>34.5238</v>
      </c>
      <c r="E927" s="5">
        <v>5.70652151107788</v>
      </c>
      <c r="F927" s="5">
        <v>1.55021595954895</v>
      </c>
      <c r="G927" s="5">
        <v>0.60996150970459</v>
      </c>
      <c r="H927" s="5">
        <v>1.86601841449738</v>
      </c>
      <c r="I927" t="s">
        <v>3</v>
      </c>
    </row>
    <row r="928" spans="1:9">
      <c r="A928" s="4" t="s">
        <v>1913</v>
      </c>
      <c r="B928" s="4" t="s">
        <v>1914</v>
      </c>
      <c r="C928" s="4" t="s">
        <v>37</v>
      </c>
      <c r="D928" s="2">
        <f>34096848/(10^6)</f>
        <v>34.096848</v>
      </c>
      <c r="E928" s="5">
        <v>4.59868335723877</v>
      </c>
      <c r="F928" s="5">
        <v>0.406614691019058</v>
      </c>
      <c r="G928" s="5">
        <v>0.751052677631378</v>
      </c>
      <c r="H928" s="5">
        <v>1.49716532230377</v>
      </c>
      <c r="I928" t="s">
        <v>3</v>
      </c>
    </row>
    <row r="929" spans="1:9">
      <c r="A929" s="4" t="s">
        <v>1915</v>
      </c>
      <c r="B929" s="4" t="s">
        <v>1916</v>
      </c>
      <c r="C929" s="4" t="s">
        <v>31</v>
      </c>
      <c r="D929" s="2">
        <f>33758540/(10^6)</f>
        <v>33.75854</v>
      </c>
      <c r="E929" s="3" t="s">
        <v>86</v>
      </c>
      <c r="F929" s="5">
        <v>1.30867612361908</v>
      </c>
      <c r="G929" s="5">
        <v>1.84467923641205</v>
      </c>
      <c r="H929" s="5">
        <v>17.265079498291</v>
      </c>
      <c r="I929" t="s">
        <v>3</v>
      </c>
    </row>
    <row r="930" spans="1:9">
      <c r="A930" s="4" t="s">
        <v>1917</v>
      </c>
      <c r="B930" s="4" t="s">
        <v>1918</v>
      </c>
      <c r="C930" s="4" t="s">
        <v>31</v>
      </c>
      <c r="D930" s="2">
        <f>33471382/(10^6)</f>
        <v>33.471382</v>
      </c>
      <c r="E930" s="3" t="s">
        <v>86</v>
      </c>
      <c r="F930" s="5">
        <v>0.393322020769119</v>
      </c>
      <c r="G930" s="5">
        <v>0.373329162597656</v>
      </c>
      <c r="H930" s="3" t="s">
        <v>86</v>
      </c>
      <c r="I930" t="s">
        <v>3</v>
      </c>
    </row>
    <row r="931" spans="1:9">
      <c r="A931" s="4" t="s">
        <v>1919</v>
      </c>
      <c r="B931" s="4" t="s">
        <v>1920</v>
      </c>
      <c r="C931" s="4" t="s">
        <v>31</v>
      </c>
      <c r="D931" s="2">
        <f>33361534/(10^6)</f>
        <v>33.361534</v>
      </c>
      <c r="E931" s="3" t="s">
        <v>86</v>
      </c>
      <c r="F931" s="5">
        <v>0.229309976100922</v>
      </c>
      <c r="G931" s="5">
        <v>0.224195256829262</v>
      </c>
      <c r="H931" s="3" t="s">
        <v>86</v>
      </c>
      <c r="I931" t="s">
        <v>3</v>
      </c>
    </row>
    <row r="932" spans="1:9">
      <c r="A932" s="4" t="s">
        <v>1921</v>
      </c>
      <c r="B932" s="4" t="s">
        <v>1922</v>
      </c>
      <c r="C932" s="4" t="s">
        <v>45</v>
      </c>
      <c r="D932" s="2">
        <f>33141368/(10^6)</f>
        <v>33.141368</v>
      </c>
      <c r="E932" s="5">
        <v>86.4705963134766</v>
      </c>
      <c r="F932" s="5">
        <v>0.180549755692482</v>
      </c>
      <c r="G932" s="5">
        <v>0.809039235115051</v>
      </c>
      <c r="H932" s="5">
        <v>20.8832530975342</v>
      </c>
      <c r="I932" t="s">
        <v>3</v>
      </c>
    </row>
    <row r="933" spans="1:9">
      <c r="A933" s="4" t="s">
        <v>1923</v>
      </c>
      <c r="B933" s="4" t="s">
        <v>1924</v>
      </c>
      <c r="C933" s="4" t="s">
        <v>47</v>
      </c>
      <c r="D933" s="2">
        <f>32761556/(10^6)</f>
        <v>32.761556</v>
      </c>
      <c r="E933" s="5">
        <v>5.56962013244629</v>
      </c>
      <c r="F933" s="5">
        <v>0.592502176761627</v>
      </c>
      <c r="G933" s="5">
        <v>0.25626140832901</v>
      </c>
      <c r="H933" s="5">
        <v>5.9203839302063</v>
      </c>
      <c r="I933" t="s">
        <v>3</v>
      </c>
    </row>
    <row r="934" spans="1:9">
      <c r="A934" s="4" t="s">
        <v>1925</v>
      </c>
      <c r="B934" s="4" t="s">
        <v>1926</v>
      </c>
      <c r="C934" s="4" t="s">
        <v>45</v>
      </c>
      <c r="D934" s="2">
        <f>32184338/(10^6)</f>
        <v>32.184338</v>
      </c>
      <c r="E934" s="5">
        <v>5.61576366424561</v>
      </c>
      <c r="F934" s="5">
        <v>0.481197416782379</v>
      </c>
      <c r="G934" s="5">
        <v>0.412973165512085</v>
      </c>
      <c r="H934" s="5">
        <v>6.82996702194214</v>
      </c>
      <c r="I934" t="s">
        <v>3</v>
      </c>
    </row>
    <row r="935" spans="1:9">
      <c r="A935" s="4" t="s">
        <v>1927</v>
      </c>
      <c r="B935" s="4" t="s">
        <v>1928</v>
      </c>
      <c r="C935" s="4" t="s">
        <v>31</v>
      </c>
      <c r="D935" s="2">
        <f>32145756/(10^6)</f>
        <v>32.145756</v>
      </c>
      <c r="E935" s="3" t="s">
        <v>86</v>
      </c>
      <c r="F935" s="5">
        <v>0.388098299503326</v>
      </c>
      <c r="G935" s="5">
        <v>1.39974343776703</v>
      </c>
      <c r="H935" s="5">
        <v>4.01287078857422</v>
      </c>
      <c r="I935" t="s">
        <v>3</v>
      </c>
    </row>
    <row r="936" spans="1:9">
      <c r="A936" s="4" t="s">
        <v>1929</v>
      </c>
      <c r="B936" s="4" t="s">
        <v>1930</v>
      </c>
      <c r="C936" s="4" t="s">
        <v>43</v>
      </c>
      <c r="D936" s="2">
        <f>31365726/(10^6)</f>
        <v>31.365726</v>
      </c>
      <c r="E936" s="5">
        <v>3.11379671096802</v>
      </c>
      <c r="F936" s="5">
        <v>0.353143751621246</v>
      </c>
      <c r="G936" s="5">
        <v>2.74407434463501</v>
      </c>
      <c r="H936" s="3" t="s">
        <v>86</v>
      </c>
      <c r="I936" t="s">
        <v>3</v>
      </c>
    </row>
    <row r="937" spans="1:9">
      <c r="A937" s="4" t="s">
        <v>1931</v>
      </c>
      <c r="B937" s="4" t="s">
        <v>1932</v>
      </c>
      <c r="C937" s="4" t="s">
        <v>31</v>
      </c>
      <c r="D937" s="2">
        <f>31137494/(10^6)</f>
        <v>31.137494</v>
      </c>
      <c r="E937" s="5">
        <v>13.5741777420044</v>
      </c>
      <c r="F937" s="5">
        <v>0.316373735666275</v>
      </c>
      <c r="G937" s="5">
        <v>0.522047281265259</v>
      </c>
      <c r="H937" s="5">
        <v>1.42759823799133</v>
      </c>
      <c r="I937" t="s">
        <v>3</v>
      </c>
    </row>
    <row r="938" spans="1:9">
      <c r="A938" s="4" t="s">
        <v>1933</v>
      </c>
      <c r="B938" s="4" t="s">
        <v>1934</v>
      </c>
      <c r="C938" s="4" t="s">
        <v>47</v>
      </c>
      <c r="D938" s="2">
        <f>31062102/(10^6)</f>
        <v>31.062102</v>
      </c>
      <c r="E938" s="3" t="s">
        <v>86</v>
      </c>
      <c r="F938" s="5">
        <v>0.362308353185654</v>
      </c>
      <c r="G938" s="5">
        <v>0.200300142168999</v>
      </c>
      <c r="H938" s="5">
        <v>10.0229578018188</v>
      </c>
      <c r="I938" t="s">
        <v>3</v>
      </c>
    </row>
    <row r="939" spans="1:9">
      <c r="A939" s="4" t="s">
        <v>1935</v>
      </c>
      <c r="B939" s="4" t="s">
        <v>1936</v>
      </c>
      <c r="C939" s="4" t="s">
        <v>31</v>
      </c>
      <c r="D939" s="2">
        <f>31010374/(10^6)</f>
        <v>31.010374</v>
      </c>
      <c r="E939" s="5">
        <v>4.70248937606812</v>
      </c>
      <c r="F939" s="5">
        <v>1.02031803131103</v>
      </c>
      <c r="G939" s="5">
        <v>0.229669481515884</v>
      </c>
      <c r="H939" s="5">
        <v>4.6092643737793</v>
      </c>
      <c r="I939" t="s">
        <v>3</v>
      </c>
    </row>
    <row r="940" spans="1:9">
      <c r="A940" s="4" t="s">
        <v>1937</v>
      </c>
      <c r="B940" s="4" t="s">
        <v>1938</v>
      </c>
      <c r="C940" s="4" t="s">
        <v>27</v>
      </c>
      <c r="D940" s="2">
        <f>30598932/(10^6)</f>
        <v>30.598932</v>
      </c>
      <c r="E940" s="3" t="s">
        <v>86</v>
      </c>
      <c r="F940" s="5">
        <v>0.214964881539345</v>
      </c>
      <c r="G940" s="5">
        <v>0.692180871963501</v>
      </c>
      <c r="H940" s="5">
        <v>8.48355865478516</v>
      </c>
      <c r="I940" t="s">
        <v>3</v>
      </c>
    </row>
    <row r="941" spans="1:9">
      <c r="A941" s="4" t="s">
        <v>1939</v>
      </c>
      <c r="B941" s="4" t="s">
        <v>1940</v>
      </c>
      <c r="C941" s="4" t="s">
        <v>31</v>
      </c>
      <c r="D941" s="2">
        <f>30550672/(10^6)</f>
        <v>30.550672</v>
      </c>
      <c r="E941" s="3" t="s">
        <v>86</v>
      </c>
      <c r="F941" s="5">
        <v>6.01162242889404</v>
      </c>
      <c r="G941" s="5">
        <v>7.59088039398193</v>
      </c>
      <c r="H941" s="5">
        <v>46.5820503234863</v>
      </c>
      <c r="I941" t="s">
        <v>3</v>
      </c>
    </row>
    <row r="942" spans="1:9">
      <c r="A942" s="4" t="s">
        <v>1941</v>
      </c>
      <c r="B942" s="4" t="s">
        <v>1942</v>
      </c>
      <c r="C942" s="4" t="s">
        <v>51</v>
      </c>
      <c r="D942" s="2">
        <f>30481568/(10^6)</f>
        <v>30.481568</v>
      </c>
      <c r="E942" s="3" t="s">
        <v>86</v>
      </c>
      <c r="F942" s="5">
        <v>0.428305715322495</v>
      </c>
      <c r="G942" s="5">
        <v>0.895205795764923</v>
      </c>
      <c r="H942" s="3" t="s">
        <v>86</v>
      </c>
      <c r="I942" t="s">
        <v>3</v>
      </c>
    </row>
    <row r="943" spans="1:9">
      <c r="A943" s="4" t="s">
        <v>1943</v>
      </c>
      <c r="B943" s="4" t="s">
        <v>1944</v>
      </c>
      <c r="C943" s="4" t="s">
        <v>35</v>
      </c>
      <c r="D943" s="2">
        <f>30239850/(10^6)</f>
        <v>30.23985</v>
      </c>
      <c r="E943" s="3" t="s">
        <v>86</v>
      </c>
      <c r="F943" s="5">
        <v>0.703579425811768</v>
      </c>
      <c r="G943" s="5">
        <v>0.786156833171844</v>
      </c>
      <c r="H943" s="5">
        <v>30.4603500366211</v>
      </c>
      <c r="I943" t="s">
        <v>3</v>
      </c>
    </row>
    <row r="944" spans="1:9">
      <c r="A944" s="4" t="s">
        <v>1945</v>
      </c>
      <c r="B944" s="4" t="s">
        <v>1946</v>
      </c>
      <c r="C944" s="4" t="s">
        <v>31</v>
      </c>
      <c r="D944" s="2">
        <f>29923534/(10^6)</f>
        <v>29.923534</v>
      </c>
      <c r="E944" s="5">
        <v>11.1037855148315</v>
      </c>
      <c r="F944" s="5">
        <v>0.859371840953827</v>
      </c>
      <c r="G944" s="5">
        <v>0.374882400035858</v>
      </c>
      <c r="H944" s="5">
        <v>9.25837707519531</v>
      </c>
      <c r="I944" t="s">
        <v>3</v>
      </c>
    </row>
    <row r="945" spans="1:9">
      <c r="A945" s="4" t="s">
        <v>1947</v>
      </c>
      <c r="B945" s="4" t="s">
        <v>1948</v>
      </c>
      <c r="C945" s="4" t="s">
        <v>45</v>
      </c>
      <c r="D945" s="2">
        <f>29902866/(10^6)</f>
        <v>29.902866</v>
      </c>
      <c r="E945" s="5">
        <v>4.46047687530518</v>
      </c>
      <c r="F945" s="5">
        <v>0.398589819669724</v>
      </c>
      <c r="G945" s="5">
        <v>17.6240100860596</v>
      </c>
      <c r="H945" s="3" t="s">
        <v>86</v>
      </c>
      <c r="I945" t="s">
        <v>3</v>
      </c>
    </row>
    <row r="946" spans="1:9">
      <c r="A946" s="4" t="s">
        <v>1949</v>
      </c>
      <c r="B946" s="4" t="s">
        <v>1950</v>
      </c>
      <c r="C946" s="4" t="s">
        <v>51</v>
      </c>
      <c r="D946" s="2">
        <f>29536700/(10^6)</f>
        <v>29.5367</v>
      </c>
      <c r="E946" s="5">
        <v>3.68958187103271</v>
      </c>
      <c r="F946" s="5">
        <v>0.211184442043304</v>
      </c>
      <c r="G946" s="5">
        <v>0.037159696221352</v>
      </c>
      <c r="H946" s="5">
        <v>3.79394626617432</v>
      </c>
      <c r="I946" t="s">
        <v>3</v>
      </c>
    </row>
    <row r="947" spans="1:9">
      <c r="A947" s="4" t="s">
        <v>1951</v>
      </c>
      <c r="B947" s="4" t="s">
        <v>1952</v>
      </c>
      <c r="C947" s="4" t="s">
        <v>49</v>
      </c>
      <c r="D947" s="2">
        <f>29440614/(10^6)</f>
        <v>29.440614</v>
      </c>
      <c r="E947" s="3" t="s">
        <v>86</v>
      </c>
      <c r="F947" s="3" t="s">
        <v>86</v>
      </c>
      <c r="G947" s="3" t="s">
        <v>86</v>
      </c>
      <c r="H947" s="3" t="s">
        <v>86</v>
      </c>
      <c r="I947" t="s">
        <v>3</v>
      </c>
    </row>
    <row r="948" spans="1:9">
      <c r="A948" s="4" t="s">
        <v>1953</v>
      </c>
      <c r="B948" s="4" t="s">
        <v>1954</v>
      </c>
      <c r="C948" s="4" t="s">
        <v>31</v>
      </c>
      <c r="D948" s="2">
        <f>29407224/(10^6)</f>
        <v>29.407224</v>
      </c>
      <c r="E948" s="5">
        <v>11.2280702590942</v>
      </c>
      <c r="F948" s="5">
        <v>0.019255070015788</v>
      </c>
      <c r="G948" s="5">
        <v>1.30128371715546</v>
      </c>
      <c r="H948" s="5">
        <v>6.72783136367798</v>
      </c>
      <c r="I948" t="s">
        <v>3</v>
      </c>
    </row>
    <row r="949" spans="1:9">
      <c r="A949" s="4" t="s">
        <v>1955</v>
      </c>
      <c r="B949" s="4" t="s">
        <v>1956</v>
      </c>
      <c r="C949" s="4" t="s">
        <v>31</v>
      </c>
      <c r="D949" s="2">
        <f>29337786/(10^6)</f>
        <v>29.337786</v>
      </c>
      <c r="E949" s="5">
        <v>4.60246229171753</v>
      </c>
      <c r="F949" s="5">
        <v>0.577881574630737</v>
      </c>
      <c r="G949" s="5">
        <v>0.268423944711685</v>
      </c>
      <c r="H949" s="5">
        <v>5.59380102157593</v>
      </c>
      <c r="I949" t="s">
        <v>3</v>
      </c>
    </row>
    <row r="950" spans="1:9">
      <c r="A950" s="4" t="s">
        <v>1957</v>
      </c>
      <c r="B950" s="4" t="s">
        <v>1958</v>
      </c>
      <c r="C950" s="4" t="s">
        <v>47</v>
      </c>
      <c r="D950" s="2">
        <f>29182742/(10^6)</f>
        <v>29.182742</v>
      </c>
      <c r="E950" s="5">
        <v>8.25184631347656</v>
      </c>
      <c r="F950" s="5">
        <v>0.891746461391449</v>
      </c>
      <c r="G950" s="5">
        <v>0.651618659496307</v>
      </c>
      <c r="H950" s="5">
        <v>3.89805960655212</v>
      </c>
      <c r="I950" t="s">
        <v>3</v>
      </c>
    </row>
    <row r="951" spans="1:9">
      <c r="A951" s="4" t="s">
        <v>1959</v>
      </c>
      <c r="B951" s="4" t="s">
        <v>1960</v>
      </c>
      <c r="C951" s="4" t="s">
        <v>31</v>
      </c>
      <c r="D951" s="2">
        <f>29148960/(10^6)</f>
        <v>29.14896</v>
      </c>
      <c r="E951" s="3" t="s">
        <v>86</v>
      </c>
      <c r="F951" s="5">
        <v>0.384319752454758</v>
      </c>
      <c r="G951" s="5">
        <v>0.135938316583633</v>
      </c>
      <c r="H951" s="5">
        <v>5.09551095962524</v>
      </c>
      <c r="I951" t="s">
        <v>3</v>
      </c>
    </row>
    <row r="952" spans="1:9">
      <c r="A952" s="4" t="s">
        <v>1961</v>
      </c>
      <c r="B952" s="4" t="s">
        <v>1962</v>
      </c>
      <c r="C952" s="4" t="s">
        <v>31</v>
      </c>
      <c r="D952" s="2">
        <f>28984150/(10^6)</f>
        <v>28.98415</v>
      </c>
      <c r="E952" s="3" t="s">
        <v>86</v>
      </c>
      <c r="F952" s="3" t="s">
        <v>86</v>
      </c>
      <c r="G952" s="3" t="s">
        <v>86</v>
      </c>
      <c r="H952" s="3" t="s">
        <v>86</v>
      </c>
      <c r="I952" t="s">
        <v>3</v>
      </c>
    </row>
    <row r="953" spans="1:9">
      <c r="A953" s="4" t="s">
        <v>1963</v>
      </c>
      <c r="B953" s="4" t="s">
        <v>1964</v>
      </c>
      <c r="C953" s="4" t="s">
        <v>41</v>
      </c>
      <c r="D953" s="2">
        <f>28729570/(10^6)</f>
        <v>28.72957</v>
      </c>
      <c r="E953" s="5">
        <v>103.684204101562</v>
      </c>
      <c r="F953" s="5">
        <v>2.45397233963013</v>
      </c>
      <c r="G953" s="5">
        <v>1.1216698884964</v>
      </c>
      <c r="H953" s="5">
        <v>14.5322160720825</v>
      </c>
      <c r="I953" t="s">
        <v>3</v>
      </c>
    </row>
    <row r="954" spans="1:9">
      <c r="A954" s="4" t="s">
        <v>1965</v>
      </c>
      <c r="B954" s="4" t="s">
        <v>1966</v>
      </c>
      <c r="C954" s="4" t="s">
        <v>31</v>
      </c>
      <c r="D954" s="2">
        <f>28572966/(10^6)</f>
        <v>28.572966</v>
      </c>
      <c r="E954" s="3" t="s">
        <v>86</v>
      </c>
      <c r="F954" s="5">
        <v>0.242863342165947</v>
      </c>
      <c r="G954" s="5">
        <v>1.51460957527161</v>
      </c>
      <c r="H954" s="3" t="s">
        <v>86</v>
      </c>
      <c r="I954" t="s">
        <v>3</v>
      </c>
    </row>
    <row r="955" spans="1:9">
      <c r="A955" s="4" t="s">
        <v>1967</v>
      </c>
      <c r="B955" s="4" t="s">
        <v>1968</v>
      </c>
      <c r="C955" s="4" t="s">
        <v>51</v>
      </c>
      <c r="D955" s="2">
        <f>28563610/(10^6)</f>
        <v>28.56361</v>
      </c>
      <c r="E955" s="5">
        <v>17.7994632720947</v>
      </c>
      <c r="F955" s="5">
        <v>0.372348695993423</v>
      </c>
      <c r="G955" s="5">
        <v>0.029126413166523</v>
      </c>
      <c r="H955" s="5">
        <v>9.45901679992676</v>
      </c>
      <c r="I955" t="s">
        <v>3</v>
      </c>
    </row>
    <row r="956" spans="1:9">
      <c r="A956" s="4" t="s">
        <v>1969</v>
      </c>
      <c r="B956" s="4" t="s">
        <v>1970</v>
      </c>
      <c r="C956" s="4" t="s">
        <v>41</v>
      </c>
      <c r="D956" s="2">
        <f>28520822/(10^6)</f>
        <v>28.520822</v>
      </c>
      <c r="E956" s="5">
        <v>28.2063388824463</v>
      </c>
      <c r="F956" s="5">
        <v>0.515342354774475</v>
      </c>
      <c r="G956" s="5">
        <v>0.474947243928909</v>
      </c>
      <c r="H956" s="5">
        <v>7.23999786376953</v>
      </c>
      <c r="I956" t="s">
        <v>3</v>
      </c>
    </row>
    <row r="957" spans="1:9">
      <c r="A957" s="4" t="s">
        <v>1971</v>
      </c>
      <c r="B957" s="4" t="s">
        <v>1972</v>
      </c>
      <c r="C957" s="4" t="s">
        <v>27</v>
      </c>
      <c r="D957" s="2">
        <f>28516806/(10^6)</f>
        <v>28.516806</v>
      </c>
      <c r="E957" s="3" t="s">
        <v>86</v>
      </c>
      <c r="F957" s="5">
        <v>0.623848915100098</v>
      </c>
      <c r="G957" s="5">
        <v>0.047118738293648</v>
      </c>
      <c r="H957" s="5">
        <v>5.67495012283325</v>
      </c>
      <c r="I957" t="s">
        <v>3</v>
      </c>
    </row>
    <row r="958" spans="1:9">
      <c r="A958" s="4" t="s">
        <v>1973</v>
      </c>
      <c r="B958" s="4" t="s">
        <v>1974</v>
      </c>
      <c r="C958" s="4" t="s">
        <v>31</v>
      </c>
      <c r="D958" s="2">
        <f>28445320/(10^6)</f>
        <v>28.44532</v>
      </c>
      <c r="E958" s="3" t="s">
        <v>86</v>
      </c>
      <c r="F958" s="5">
        <v>3.79636979103088</v>
      </c>
      <c r="G958" s="5">
        <v>5.69599628448486</v>
      </c>
      <c r="H958" s="3" t="s">
        <v>86</v>
      </c>
      <c r="I958" t="s">
        <v>3</v>
      </c>
    </row>
    <row r="959" spans="1:9">
      <c r="A959" s="4" t="s">
        <v>1975</v>
      </c>
      <c r="B959" s="4" t="s">
        <v>1976</v>
      </c>
      <c r="C959" s="4" t="s">
        <v>35</v>
      </c>
      <c r="D959" s="2">
        <f>28431320/(10^6)</f>
        <v>28.43132</v>
      </c>
      <c r="E959" s="3" t="s">
        <v>86</v>
      </c>
      <c r="F959" s="5">
        <v>0.564827740192413</v>
      </c>
      <c r="G959" s="5">
        <v>9.74902439117432</v>
      </c>
      <c r="H959" s="3" t="s">
        <v>86</v>
      </c>
      <c r="I959" t="s">
        <v>3</v>
      </c>
    </row>
    <row r="960" spans="1:9">
      <c r="A960" s="4" t="s">
        <v>1977</v>
      </c>
      <c r="B960" s="4" t="s">
        <v>1978</v>
      </c>
      <c r="C960" s="4" t="s">
        <v>31</v>
      </c>
      <c r="D960" s="2">
        <f>28409100/(10^6)</f>
        <v>28.4091</v>
      </c>
      <c r="E960" s="5">
        <v>76.5696716308594</v>
      </c>
      <c r="F960" s="5">
        <v>0.350943088531494</v>
      </c>
      <c r="G960" s="5">
        <v>0.110177725553513</v>
      </c>
      <c r="H960" s="5">
        <v>1.7383269071579</v>
      </c>
      <c r="I960" t="s">
        <v>3</v>
      </c>
    </row>
    <row r="961" spans="1:9">
      <c r="A961" s="4" t="s">
        <v>1979</v>
      </c>
      <c r="B961" s="4" t="s">
        <v>1980</v>
      </c>
      <c r="C961" s="4" t="s">
        <v>49</v>
      </c>
      <c r="D961" s="2">
        <f>28338500/(10^6)</f>
        <v>28.3385</v>
      </c>
      <c r="E961" s="3" t="s">
        <v>86</v>
      </c>
      <c r="F961" s="3" t="s">
        <v>86</v>
      </c>
      <c r="G961" s="3" t="s">
        <v>86</v>
      </c>
      <c r="H961" s="3" t="s">
        <v>86</v>
      </c>
      <c r="I961" t="s">
        <v>3</v>
      </c>
    </row>
    <row r="962" spans="1:9">
      <c r="A962" s="4" t="s">
        <v>1981</v>
      </c>
      <c r="B962" s="4" t="s">
        <v>1982</v>
      </c>
      <c r="C962" s="4" t="s">
        <v>47</v>
      </c>
      <c r="D962" s="2">
        <f>28296596/(10^6)</f>
        <v>28.296596</v>
      </c>
      <c r="E962" s="3" t="s">
        <v>86</v>
      </c>
      <c r="F962" s="5">
        <v>2.92782044410706</v>
      </c>
      <c r="G962" s="5">
        <v>0.500607907772064</v>
      </c>
      <c r="H962" s="5">
        <v>9.99711513519287</v>
      </c>
      <c r="I962" t="s">
        <v>3</v>
      </c>
    </row>
    <row r="963" spans="1:9">
      <c r="A963" s="4" t="s">
        <v>1983</v>
      </c>
      <c r="B963" s="4" t="s">
        <v>1984</v>
      </c>
      <c r="C963" s="4" t="s">
        <v>31</v>
      </c>
      <c r="D963" s="2">
        <f>28099894/(10^6)</f>
        <v>28.099894</v>
      </c>
      <c r="E963" s="5">
        <v>32.4999961853027</v>
      </c>
      <c r="F963" s="5">
        <v>0.543563485145569</v>
      </c>
      <c r="G963" s="5">
        <v>0.363878101110458</v>
      </c>
      <c r="H963" s="5">
        <v>6.27767324447632</v>
      </c>
      <c r="I963" t="s">
        <v>3</v>
      </c>
    </row>
    <row r="964" spans="1:9">
      <c r="A964" s="4" t="s">
        <v>1985</v>
      </c>
      <c r="B964" s="4" t="s">
        <v>1986</v>
      </c>
      <c r="C964" s="4" t="s">
        <v>27</v>
      </c>
      <c r="D964" s="2">
        <f>28069342/(10^6)</f>
        <v>28.069342</v>
      </c>
      <c r="E964" s="5">
        <v>7.38051557540894</v>
      </c>
      <c r="F964" s="5">
        <v>0.556422770023346</v>
      </c>
      <c r="G964" s="5">
        <v>0.332343488931656</v>
      </c>
      <c r="H964" s="5">
        <v>3.37995862960815</v>
      </c>
      <c r="I964" t="s">
        <v>3</v>
      </c>
    </row>
    <row r="965" spans="1:9">
      <c r="A965" s="4" t="s">
        <v>1987</v>
      </c>
      <c r="B965" s="4" t="s">
        <v>1988</v>
      </c>
      <c r="C965" s="4" t="s">
        <v>31</v>
      </c>
      <c r="D965" s="2">
        <f>28032268/(10^6)</f>
        <v>28.032268</v>
      </c>
      <c r="E965" s="5">
        <v>26.0869579315186</v>
      </c>
      <c r="F965" s="5">
        <v>0.471827954053879</v>
      </c>
      <c r="G965" s="5">
        <v>0.895968198776245</v>
      </c>
      <c r="H965" s="5">
        <v>14.0699272155762</v>
      </c>
      <c r="I965" t="s">
        <v>3</v>
      </c>
    </row>
    <row r="966" spans="1:9">
      <c r="A966" s="4" t="s">
        <v>1989</v>
      </c>
      <c r="B966" s="4" t="s">
        <v>1990</v>
      </c>
      <c r="C966" s="4" t="s">
        <v>51</v>
      </c>
      <c r="D966" s="2">
        <f>27567814/(10^6)</f>
        <v>27.567814</v>
      </c>
      <c r="E966" s="3" t="s">
        <v>86</v>
      </c>
      <c r="F966" s="5">
        <v>0.474348843097687</v>
      </c>
      <c r="G966" s="5">
        <v>0.316212385892868</v>
      </c>
      <c r="H966" s="5">
        <v>0.718922793865204</v>
      </c>
      <c r="I966" t="s">
        <v>3</v>
      </c>
    </row>
    <row r="967" spans="1:9">
      <c r="A967" s="4" t="s">
        <v>1991</v>
      </c>
      <c r="B967" s="4" t="s">
        <v>1992</v>
      </c>
      <c r="C967" s="4" t="s">
        <v>41</v>
      </c>
      <c r="D967" s="2">
        <f>27422788/(10^6)</f>
        <v>27.422788</v>
      </c>
      <c r="E967" s="3" t="s">
        <v>86</v>
      </c>
      <c r="F967" s="5">
        <v>0.644815504550934</v>
      </c>
      <c r="G967" s="3" t="s">
        <v>86</v>
      </c>
      <c r="H967" s="3" t="s">
        <v>86</v>
      </c>
      <c r="I967" t="s">
        <v>3</v>
      </c>
    </row>
    <row r="968" spans="1:9">
      <c r="A968" s="4" t="s">
        <v>1993</v>
      </c>
      <c r="B968" s="4" t="s">
        <v>1994</v>
      </c>
      <c r="C968" s="4" t="s">
        <v>31</v>
      </c>
      <c r="D968" s="2">
        <f>27179798/(10^6)</f>
        <v>27.179798</v>
      </c>
      <c r="E968" s="3" t="s">
        <v>86</v>
      </c>
      <c r="F968" s="5">
        <v>0.963634312152863</v>
      </c>
      <c r="G968" s="5">
        <v>2.09926509857178</v>
      </c>
      <c r="H968" s="3" t="s">
        <v>86</v>
      </c>
      <c r="I968" t="s">
        <v>3</v>
      </c>
    </row>
    <row r="969" spans="1:9">
      <c r="A969" s="4" t="s">
        <v>1995</v>
      </c>
      <c r="B969" s="4" t="s">
        <v>1996</v>
      </c>
      <c r="C969" s="4" t="s">
        <v>31</v>
      </c>
      <c r="D969" s="2">
        <f>27041434/(10^6)</f>
        <v>27.041434</v>
      </c>
      <c r="E969" s="5">
        <v>56.9999961853027</v>
      </c>
      <c r="F969" s="5">
        <v>0.408036172389984</v>
      </c>
      <c r="G969" s="5">
        <v>0.966298222541809</v>
      </c>
      <c r="H969" s="5">
        <v>0.614201486110687</v>
      </c>
      <c r="I969" t="s">
        <v>3</v>
      </c>
    </row>
    <row r="970" spans="1:9">
      <c r="A970" s="4" t="s">
        <v>1997</v>
      </c>
      <c r="B970" s="4" t="s">
        <v>1998</v>
      </c>
      <c r="C970" s="4" t="s">
        <v>49</v>
      </c>
      <c r="D970" s="2">
        <f>26493582/(10^6)</f>
        <v>26.493582</v>
      </c>
      <c r="E970" s="3" t="s">
        <v>86</v>
      </c>
      <c r="F970" s="3" t="s">
        <v>86</v>
      </c>
      <c r="G970" s="3" t="s">
        <v>86</v>
      </c>
      <c r="H970" s="3" t="s">
        <v>86</v>
      </c>
      <c r="I970" t="s">
        <v>3</v>
      </c>
    </row>
    <row r="971" spans="1:9">
      <c r="A971" s="4" t="s">
        <v>1999</v>
      </c>
      <c r="B971" s="4" t="s">
        <v>2000</v>
      </c>
      <c r="C971" s="4" t="s">
        <v>51</v>
      </c>
      <c r="D971" s="2">
        <f>26242594/(10^6)</f>
        <v>26.242594</v>
      </c>
      <c r="E971" s="3" t="s">
        <v>86</v>
      </c>
      <c r="F971" s="5">
        <v>5.67176866531372</v>
      </c>
      <c r="G971" s="5">
        <v>5.29335021972656</v>
      </c>
      <c r="H971" s="3" t="s">
        <v>86</v>
      </c>
      <c r="I971" t="s">
        <v>3</v>
      </c>
    </row>
    <row r="972" spans="1:9">
      <c r="A972" s="4" t="s">
        <v>2001</v>
      </c>
      <c r="B972" s="4" t="s">
        <v>2002</v>
      </c>
      <c r="C972" s="4" t="s">
        <v>31</v>
      </c>
      <c r="D972" s="2">
        <f>25830862/(10^6)</f>
        <v>25.830862</v>
      </c>
      <c r="E972" s="5">
        <v>8.89584255218506</v>
      </c>
      <c r="F972" s="5">
        <v>0.641494691371918</v>
      </c>
      <c r="G972" s="5">
        <v>0.427588254213333</v>
      </c>
      <c r="H972" s="5">
        <v>5.19899034500122</v>
      </c>
      <c r="I972" t="s">
        <v>3</v>
      </c>
    </row>
    <row r="973" spans="1:9">
      <c r="A973" s="4" t="s">
        <v>2003</v>
      </c>
      <c r="B973" s="4" t="s">
        <v>2004</v>
      </c>
      <c r="C973" s="4" t="s">
        <v>47</v>
      </c>
      <c r="D973" s="2">
        <f>25806876/(10^6)</f>
        <v>25.806876</v>
      </c>
      <c r="E973" s="5">
        <v>4.61889410018921</v>
      </c>
      <c r="F973" s="5">
        <v>0.62386679649353</v>
      </c>
      <c r="G973" s="5">
        <v>0.416491359472275</v>
      </c>
      <c r="H973" s="5">
        <v>1.98645436763763</v>
      </c>
      <c r="I973" t="s">
        <v>3</v>
      </c>
    </row>
    <row r="974" spans="1:9">
      <c r="A974" s="4" t="s">
        <v>2005</v>
      </c>
      <c r="B974" s="4" t="s">
        <v>2006</v>
      </c>
      <c r="C974" s="4" t="s">
        <v>45</v>
      </c>
      <c r="D974" s="2">
        <f>25799618/(10^6)</f>
        <v>25.799618</v>
      </c>
      <c r="E974" s="3" t="s">
        <v>86</v>
      </c>
      <c r="F974" s="5">
        <v>1.24968755245209</v>
      </c>
      <c r="G974" s="5">
        <v>1.00090086460114</v>
      </c>
      <c r="H974" s="3" t="s">
        <v>86</v>
      </c>
      <c r="I974" t="s">
        <v>3</v>
      </c>
    </row>
    <row r="975" spans="1:9">
      <c r="A975" s="4" t="s">
        <v>2007</v>
      </c>
      <c r="B975" s="4" t="s">
        <v>2008</v>
      </c>
      <c r="C975" s="4" t="s">
        <v>49</v>
      </c>
      <c r="D975" s="2">
        <f>25519692/(10^6)</f>
        <v>25.519692</v>
      </c>
      <c r="E975" s="3" t="s">
        <v>86</v>
      </c>
      <c r="F975" s="3" t="s">
        <v>86</v>
      </c>
      <c r="G975" s="3" t="s">
        <v>86</v>
      </c>
      <c r="H975" s="3" t="s">
        <v>86</v>
      </c>
      <c r="I975" t="s">
        <v>3</v>
      </c>
    </row>
    <row r="976" spans="1:9">
      <c r="A976" s="4" t="s">
        <v>2009</v>
      </c>
      <c r="B976" s="4" t="s">
        <v>2010</v>
      </c>
      <c r="C976" s="4" t="s">
        <v>49</v>
      </c>
      <c r="D976" s="2">
        <f>25132800/(10^6)</f>
        <v>25.1328</v>
      </c>
      <c r="E976" s="3" t="s">
        <v>86</v>
      </c>
      <c r="F976" s="3" t="s">
        <v>86</v>
      </c>
      <c r="G976" s="3" t="s">
        <v>86</v>
      </c>
      <c r="H976" s="3" t="s">
        <v>86</v>
      </c>
      <c r="I976" t="s">
        <v>3</v>
      </c>
    </row>
    <row r="977" spans="1:9">
      <c r="A977" s="4" t="s">
        <v>2011</v>
      </c>
      <c r="B977" s="4" t="s">
        <v>2012</v>
      </c>
      <c r="C977" s="4" t="s">
        <v>37</v>
      </c>
      <c r="D977" s="2">
        <f>25040424/(10^6)</f>
        <v>25.040424</v>
      </c>
      <c r="E977" s="5">
        <v>10.0672960281372</v>
      </c>
      <c r="F977" s="5">
        <v>0.707709670066833</v>
      </c>
      <c r="G977" s="5">
        <v>0.897590637207031</v>
      </c>
      <c r="H977" s="5">
        <v>1.20457446575165</v>
      </c>
      <c r="I977" t="s">
        <v>3</v>
      </c>
    </row>
    <row r="978" spans="1:9">
      <c r="A978" s="4" t="s">
        <v>2013</v>
      </c>
      <c r="B978" s="4" t="s">
        <v>2014</v>
      </c>
      <c r="C978" s="4" t="s">
        <v>31</v>
      </c>
      <c r="D978" s="2">
        <f>24783446/(10^6)</f>
        <v>24.783446</v>
      </c>
      <c r="E978" s="3" t="s">
        <v>86</v>
      </c>
      <c r="F978" s="5">
        <v>0.649652004241943</v>
      </c>
      <c r="G978" s="5">
        <v>1.07948899269104</v>
      </c>
      <c r="H978" s="3" t="s">
        <v>86</v>
      </c>
      <c r="I978" t="s">
        <v>3</v>
      </c>
    </row>
    <row r="979" spans="1:9">
      <c r="A979" s="4" t="s">
        <v>2015</v>
      </c>
      <c r="B979" s="4" t="s">
        <v>2016</v>
      </c>
      <c r="C979" s="4" t="s">
        <v>47</v>
      </c>
      <c r="D979" s="2">
        <f>24773762/(10^6)</f>
        <v>24.773762</v>
      </c>
      <c r="E979" s="5">
        <v>7.23666620254517</v>
      </c>
      <c r="F979" s="5">
        <v>4.0017786026001</v>
      </c>
      <c r="G979" s="5">
        <v>0.371855765581131</v>
      </c>
      <c r="H979" s="5">
        <v>4.32545042037964</v>
      </c>
      <c r="I979" t="s">
        <v>3</v>
      </c>
    </row>
    <row r="980" spans="1:9">
      <c r="A980" s="4" t="s">
        <v>2017</v>
      </c>
      <c r="B980" s="4" t="s">
        <v>2018</v>
      </c>
      <c r="C980" s="4" t="s">
        <v>51</v>
      </c>
      <c r="D980" s="2">
        <f>24298726/(10^6)</f>
        <v>24.298726</v>
      </c>
      <c r="E980" s="3" t="s">
        <v>86</v>
      </c>
      <c r="F980" s="5">
        <v>0.425443828105927</v>
      </c>
      <c r="G980" s="5">
        <v>0.218179613351822</v>
      </c>
      <c r="H980" s="5">
        <v>2.35992383956909</v>
      </c>
      <c r="I980" t="s">
        <v>3</v>
      </c>
    </row>
    <row r="981" spans="1:9">
      <c r="A981" s="4" t="s">
        <v>2019</v>
      </c>
      <c r="B981" s="4" t="s">
        <v>2020</v>
      </c>
      <c r="C981" s="4" t="s">
        <v>47</v>
      </c>
      <c r="D981" s="2">
        <f>24265394/(10^6)</f>
        <v>24.265394</v>
      </c>
      <c r="E981" s="5">
        <v>3.13996267318726</v>
      </c>
      <c r="F981" s="5">
        <v>0.267573595046997</v>
      </c>
      <c r="G981" s="5">
        <v>0.10160568356514</v>
      </c>
      <c r="H981" s="5">
        <v>3.92803025245667</v>
      </c>
      <c r="I981" t="s">
        <v>3</v>
      </c>
    </row>
    <row r="982" spans="1:9">
      <c r="A982" s="4" t="s">
        <v>2021</v>
      </c>
      <c r="B982" s="4" t="s">
        <v>2022</v>
      </c>
      <c r="C982" s="4" t="s">
        <v>41</v>
      </c>
      <c r="D982" s="2">
        <f>24073130/(10^6)</f>
        <v>24.07313</v>
      </c>
      <c r="E982" s="5">
        <v>19.6153469085693</v>
      </c>
      <c r="F982" s="5">
        <v>0.946528077125549</v>
      </c>
      <c r="G982" s="5">
        <v>0.385539829730988</v>
      </c>
      <c r="H982" s="5">
        <v>21.0725021362305</v>
      </c>
      <c r="I982" t="s">
        <v>3</v>
      </c>
    </row>
    <row r="983" spans="1:9">
      <c r="A983" s="4" t="s">
        <v>2023</v>
      </c>
      <c r="B983" s="4" t="s">
        <v>2024</v>
      </c>
      <c r="C983" s="4" t="s">
        <v>47</v>
      </c>
      <c r="D983" s="2">
        <f>24070500/(10^6)</f>
        <v>24.0705</v>
      </c>
      <c r="E983" s="5">
        <v>5.54545450210571</v>
      </c>
      <c r="F983" s="5">
        <v>0.53634387254715</v>
      </c>
      <c r="G983" s="5">
        <v>0.239780828356743</v>
      </c>
      <c r="H983" s="5">
        <v>2.33235120773315</v>
      </c>
      <c r="I983" t="s">
        <v>3</v>
      </c>
    </row>
    <row r="984" spans="1:9">
      <c r="A984" s="4" t="s">
        <v>2025</v>
      </c>
      <c r="B984" s="4" t="s">
        <v>2026</v>
      </c>
      <c r="C984" s="4" t="s">
        <v>31</v>
      </c>
      <c r="D984" s="2">
        <f>24016846/(10^6)</f>
        <v>24.016846</v>
      </c>
      <c r="E984" s="3" t="s">
        <v>86</v>
      </c>
      <c r="F984" s="5">
        <v>0.433801829814911</v>
      </c>
      <c r="G984" s="5">
        <v>0.688330113887787</v>
      </c>
      <c r="H984" s="3" t="s">
        <v>86</v>
      </c>
      <c r="I984" t="s">
        <v>3</v>
      </c>
    </row>
    <row r="985" spans="1:9">
      <c r="A985" s="4" t="s">
        <v>2027</v>
      </c>
      <c r="B985" s="4" t="s">
        <v>2028</v>
      </c>
      <c r="C985" s="4" t="s">
        <v>47</v>
      </c>
      <c r="D985" s="2">
        <f>23925878/(10^6)</f>
        <v>23.925878</v>
      </c>
      <c r="E985" s="3" t="s">
        <v>86</v>
      </c>
      <c r="F985" s="3" t="s">
        <v>86</v>
      </c>
      <c r="G985" s="5">
        <v>0.627352595329285</v>
      </c>
      <c r="H985" s="5">
        <v>39.6287612915039</v>
      </c>
      <c r="I985" t="s">
        <v>3</v>
      </c>
    </row>
    <row r="986" spans="1:9">
      <c r="A986" s="4" t="s">
        <v>2029</v>
      </c>
      <c r="B986" s="4" t="s">
        <v>2030</v>
      </c>
      <c r="C986" s="4" t="s">
        <v>45</v>
      </c>
      <c r="D986" s="2">
        <f>23719766/(10^6)</f>
        <v>23.719766</v>
      </c>
      <c r="E986" s="5">
        <v>0.887650609016418</v>
      </c>
      <c r="F986" s="5">
        <v>0.221513628959656</v>
      </c>
      <c r="G986" s="5">
        <v>0.180250063538551</v>
      </c>
      <c r="H986" s="3" t="s">
        <v>86</v>
      </c>
      <c r="I986" t="s">
        <v>3</v>
      </c>
    </row>
    <row r="987" spans="1:9">
      <c r="A987" s="4" t="s">
        <v>2031</v>
      </c>
      <c r="B987" s="4" t="s">
        <v>2032</v>
      </c>
      <c r="C987" s="4" t="s">
        <v>31</v>
      </c>
      <c r="D987" s="2">
        <f>23380768/(10^6)</f>
        <v>23.380768</v>
      </c>
      <c r="E987" s="3" t="s">
        <v>86</v>
      </c>
      <c r="F987" s="5">
        <v>3.38481426239014</v>
      </c>
      <c r="G987" s="5">
        <v>4.12382411956787</v>
      </c>
      <c r="H987" s="3" t="s">
        <v>86</v>
      </c>
      <c r="I987" t="s">
        <v>3</v>
      </c>
    </row>
    <row r="988" spans="1:9">
      <c r="A988" s="4" t="s">
        <v>2033</v>
      </c>
      <c r="B988" s="4" t="s">
        <v>2034</v>
      </c>
      <c r="C988" s="4" t="s">
        <v>49</v>
      </c>
      <c r="D988" s="2">
        <f>23240980/(10^6)</f>
        <v>23.24098</v>
      </c>
      <c r="E988" s="3" t="s">
        <v>86</v>
      </c>
      <c r="F988" s="3" t="s">
        <v>86</v>
      </c>
      <c r="G988" s="3" t="s">
        <v>86</v>
      </c>
      <c r="H988" s="3" t="s">
        <v>86</v>
      </c>
      <c r="I988" t="s">
        <v>3</v>
      </c>
    </row>
    <row r="989" spans="1:9">
      <c r="A989" s="4" t="s">
        <v>2035</v>
      </c>
      <c r="B989" s="4" t="s">
        <v>2036</v>
      </c>
      <c r="C989" s="4" t="s">
        <v>31</v>
      </c>
      <c r="D989" s="2">
        <f>23194506/(10^6)</f>
        <v>23.194506</v>
      </c>
      <c r="E989" s="3" t="s">
        <v>86</v>
      </c>
      <c r="F989" s="5">
        <v>0.28130891919136</v>
      </c>
      <c r="G989" s="3" t="s">
        <v>86</v>
      </c>
      <c r="H989" s="3" t="s">
        <v>86</v>
      </c>
      <c r="I989" t="s">
        <v>3</v>
      </c>
    </row>
    <row r="990" spans="1:9">
      <c r="A990" s="4" t="s">
        <v>2037</v>
      </c>
      <c r="B990" s="4" t="s">
        <v>2038</v>
      </c>
      <c r="C990" s="4" t="s">
        <v>35</v>
      </c>
      <c r="D990" s="2">
        <f>23191858/(10^6)</f>
        <v>23.191858</v>
      </c>
      <c r="E990" s="3" t="s">
        <v>86</v>
      </c>
      <c r="F990" s="3" t="s">
        <v>86</v>
      </c>
      <c r="G990" s="3" t="s">
        <v>86</v>
      </c>
      <c r="H990" s="5">
        <v>4.60987091064453</v>
      </c>
      <c r="I990" t="s">
        <v>3</v>
      </c>
    </row>
    <row r="991" spans="1:9">
      <c r="A991" s="4" t="s">
        <v>2039</v>
      </c>
      <c r="B991" s="4" t="s">
        <v>2040</v>
      </c>
      <c r="C991" s="4" t="s">
        <v>43</v>
      </c>
      <c r="D991" s="2">
        <f>23158190/(10^6)</f>
        <v>23.15819</v>
      </c>
      <c r="E991" s="5">
        <v>3.5251669883728</v>
      </c>
      <c r="F991" s="5">
        <v>0.175601825118065</v>
      </c>
      <c r="G991" s="5">
        <v>0.157969444990158</v>
      </c>
      <c r="H991" s="5">
        <v>7.55331325531006</v>
      </c>
      <c r="I991" t="s">
        <v>3</v>
      </c>
    </row>
    <row r="992" spans="1:9">
      <c r="A992" s="4" t="s">
        <v>2041</v>
      </c>
      <c r="B992" s="4" t="s">
        <v>2042</v>
      </c>
      <c r="C992" s="4" t="s">
        <v>41</v>
      </c>
      <c r="D992" s="2">
        <f>23010792/(10^6)</f>
        <v>23.010792</v>
      </c>
      <c r="E992" s="5">
        <v>30.8641967773438</v>
      </c>
      <c r="F992" s="5">
        <v>2.42487740516663</v>
      </c>
      <c r="G992" s="5">
        <v>2.7324492931366</v>
      </c>
      <c r="H992" s="5">
        <v>19.1867294311523</v>
      </c>
      <c r="I992" t="s">
        <v>3</v>
      </c>
    </row>
    <row r="993" spans="1:9">
      <c r="A993" s="4" t="s">
        <v>2043</v>
      </c>
      <c r="B993" s="4" t="s">
        <v>2044</v>
      </c>
      <c r="C993" s="4" t="s">
        <v>47</v>
      </c>
      <c r="D993" s="2">
        <f>22737946/(10^6)</f>
        <v>22.737946</v>
      </c>
      <c r="E993" s="3" t="s">
        <v>86</v>
      </c>
      <c r="F993" s="5">
        <v>4.30570507049561</v>
      </c>
      <c r="G993" s="5">
        <v>0.384239584207535</v>
      </c>
      <c r="H993" s="5">
        <v>4.02727699279785</v>
      </c>
      <c r="I993" t="s">
        <v>3</v>
      </c>
    </row>
    <row r="994" spans="1:9">
      <c r="A994" s="4" t="s">
        <v>2045</v>
      </c>
      <c r="B994" s="4" t="s">
        <v>2046</v>
      </c>
      <c r="C994" s="4" t="s">
        <v>47</v>
      </c>
      <c r="D994" s="2">
        <f>22584346/(10^6)</f>
        <v>22.584346</v>
      </c>
      <c r="E994" s="5">
        <v>44.230770111084</v>
      </c>
      <c r="F994" s="5">
        <v>3.24666166305542</v>
      </c>
      <c r="G994" s="5">
        <v>0.744139134883881</v>
      </c>
      <c r="H994" s="5">
        <v>3.4732038974762</v>
      </c>
      <c r="I994" t="s">
        <v>3</v>
      </c>
    </row>
    <row r="995" spans="1:9">
      <c r="A995" s="4" t="s">
        <v>2047</v>
      </c>
      <c r="B995" s="4" t="s">
        <v>2048</v>
      </c>
      <c r="C995" s="4" t="s">
        <v>47</v>
      </c>
      <c r="D995" s="2">
        <f>22350052/(10^6)</f>
        <v>22.350052</v>
      </c>
      <c r="E995" s="3" t="s">
        <v>86</v>
      </c>
      <c r="F995" s="5">
        <v>1.02066278457642</v>
      </c>
      <c r="G995" s="5">
        <v>0.23495751619339</v>
      </c>
      <c r="H995" s="5">
        <v>5.39718532562256</v>
      </c>
      <c r="I995" t="s">
        <v>3</v>
      </c>
    </row>
    <row r="996" spans="1:9">
      <c r="A996" s="4" t="s">
        <v>2049</v>
      </c>
      <c r="B996" s="4" t="s">
        <v>2050</v>
      </c>
      <c r="C996" s="4" t="s">
        <v>37</v>
      </c>
      <c r="D996" s="2">
        <f>22242164/(10^6)</f>
        <v>22.242164</v>
      </c>
      <c r="E996" s="3" t="s">
        <v>86</v>
      </c>
      <c r="F996" s="5">
        <v>0.267165392637253</v>
      </c>
      <c r="G996" s="5">
        <v>0.148831680417061</v>
      </c>
      <c r="H996" s="5">
        <v>2.67390012741089</v>
      </c>
      <c r="I996" t="s">
        <v>3</v>
      </c>
    </row>
    <row r="997" spans="1:9">
      <c r="A997" s="4" t="s">
        <v>2051</v>
      </c>
      <c r="B997" s="4" t="s">
        <v>2052</v>
      </c>
      <c r="C997" s="4" t="s">
        <v>31</v>
      </c>
      <c r="D997" s="2">
        <f>22184062/(10^6)</f>
        <v>22.184062</v>
      </c>
      <c r="E997" s="3" t="s">
        <v>86</v>
      </c>
      <c r="F997" s="3" t="s">
        <v>86</v>
      </c>
      <c r="G997" s="3" t="s">
        <v>86</v>
      </c>
      <c r="H997" s="3" t="s">
        <v>86</v>
      </c>
      <c r="I997" t="s">
        <v>3</v>
      </c>
    </row>
    <row r="998" spans="1:9">
      <c r="A998" s="4" t="s">
        <v>2053</v>
      </c>
      <c r="B998" s="4" t="s">
        <v>2054</v>
      </c>
      <c r="C998" s="4" t="s">
        <v>35</v>
      </c>
      <c r="D998" s="2">
        <f>22171310/(10^6)</f>
        <v>22.17131</v>
      </c>
      <c r="E998" s="5">
        <v>27.9136734008789</v>
      </c>
      <c r="F998" s="5">
        <v>0.245836824178696</v>
      </c>
      <c r="G998" s="5">
        <v>0.111925795674324</v>
      </c>
      <c r="H998" s="5">
        <v>3.43231391906738</v>
      </c>
      <c r="I998" t="s">
        <v>3</v>
      </c>
    </row>
    <row r="999" spans="1:9">
      <c r="A999" s="4" t="s">
        <v>2055</v>
      </c>
      <c r="B999" s="4" t="s">
        <v>2056</v>
      </c>
      <c r="C999" s="4" t="s">
        <v>47</v>
      </c>
      <c r="D999" s="2">
        <f>21583536/(10^6)</f>
        <v>21.583536</v>
      </c>
      <c r="E999" s="5">
        <v>9.0744104385376</v>
      </c>
      <c r="F999" s="5">
        <v>0.293718695640564</v>
      </c>
      <c r="G999" s="5">
        <v>0.275428295135498</v>
      </c>
      <c r="H999" s="5">
        <v>22.4474639892578</v>
      </c>
      <c r="I999" t="s">
        <v>3</v>
      </c>
    </row>
    <row r="1000" spans="1:9">
      <c r="A1000" s="4" t="s">
        <v>2057</v>
      </c>
      <c r="B1000" s="4" t="s">
        <v>2058</v>
      </c>
      <c r="C1000" s="4" t="s">
        <v>31</v>
      </c>
      <c r="D1000" s="2">
        <f>21392256/(10^6)</f>
        <v>21.392256</v>
      </c>
      <c r="E1000" s="5">
        <v>7.88853359222412</v>
      </c>
      <c r="F1000" s="5">
        <v>0.877213537693024</v>
      </c>
      <c r="G1000" s="5">
        <v>0.653030455112457</v>
      </c>
      <c r="H1000" s="5">
        <v>3.15162014961243</v>
      </c>
      <c r="I1000" t="s">
        <v>3</v>
      </c>
    </row>
    <row r="1001" spans="1:9">
      <c r="A1001" s="4" t="s">
        <v>2059</v>
      </c>
      <c r="B1001" s="4" t="s">
        <v>2060</v>
      </c>
      <c r="C1001" s="4" t="s">
        <v>51</v>
      </c>
      <c r="D1001" s="2">
        <f>21229752/(10^6)</f>
        <v>21.229752</v>
      </c>
      <c r="E1001" s="5">
        <v>112.85132598877</v>
      </c>
      <c r="F1001" s="5">
        <v>3.01485657691956</v>
      </c>
      <c r="G1001" s="5">
        <v>1.33752131462097</v>
      </c>
      <c r="H1001" s="5">
        <v>48.3000030517578</v>
      </c>
      <c r="I1001" t="s">
        <v>3</v>
      </c>
    </row>
    <row r="1002" spans="1:9">
      <c r="A1002" s="4" t="s">
        <v>2061</v>
      </c>
      <c r="B1002" s="4" t="s">
        <v>2062</v>
      </c>
      <c r="C1002" s="4" t="s">
        <v>31</v>
      </c>
      <c r="D1002" s="2">
        <f>21158780/(10^6)</f>
        <v>21.15878</v>
      </c>
      <c r="E1002" s="5">
        <v>82.2368469238281</v>
      </c>
      <c r="F1002" s="5">
        <v>0.856037378311157</v>
      </c>
      <c r="G1002" s="5">
        <v>0.531436264514923</v>
      </c>
      <c r="H1002" s="5">
        <v>3.02698111534119</v>
      </c>
      <c r="I1002" t="s">
        <v>3</v>
      </c>
    </row>
    <row r="1003" spans="1:9">
      <c r="A1003" s="4" t="s">
        <v>2063</v>
      </c>
      <c r="B1003" s="4" t="s">
        <v>2064</v>
      </c>
      <c r="C1003" s="4" t="s">
        <v>47</v>
      </c>
      <c r="D1003" s="2">
        <f>21150472/(10^6)</f>
        <v>21.150472</v>
      </c>
      <c r="E1003" s="3" t="s">
        <v>86</v>
      </c>
      <c r="F1003" s="5">
        <v>1.36802780628204</v>
      </c>
      <c r="G1003" s="5">
        <v>3.89993596076965</v>
      </c>
      <c r="H1003" s="5">
        <v>27.1532955169678</v>
      </c>
      <c r="I1003" t="s">
        <v>3</v>
      </c>
    </row>
    <row r="1004" spans="1:9">
      <c r="A1004" s="4" t="s">
        <v>2065</v>
      </c>
      <c r="B1004" s="4" t="s">
        <v>2066</v>
      </c>
      <c r="C1004" s="4" t="s">
        <v>49</v>
      </c>
      <c r="D1004" s="2">
        <f>20964090/(10^6)</f>
        <v>20.96409</v>
      </c>
      <c r="E1004" s="3" t="s">
        <v>86</v>
      </c>
      <c r="F1004" s="3" t="s">
        <v>86</v>
      </c>
      <c r="G1004" s="3" t="s">
        <v>86</v>
      </c>
      <c r="H1004" s="3" t="s">
        <v>86</v>
      </c>
      <c r="I1004" t="s">
        <v>3</v>
      </c>
    </row>
    <row r="1005" spans="1:9">
      <c r="A1005" s="4" t="s">
        <v>2067</v>
      </c>
      <c r="B1005" s="4" t="s">
        <v>2068</v>
      </c>
      <c r="C1005" s="4" t="s">
        <v>51</v>
      </c>
      <c r="D1005" s="2">
        <f>20727684/(10^6)</f>
        <v>20.727684</v>
      </c>
      <c r="E1005" s="3" t="s">
        <v>86</v>
      </c>
      <c r="F1005" s="5">
        <v>0.45384019613266</v>
      </c>
      <c r="G1005" s="5">
        <v>0.964913308620453</v>
      </c>
      <c r="H1005" s="3" t="s">
        <v>86</v>
      </c>
      <c r="I1005" t="s">
        <v>3</v>
      </c>
    </row>
    <row r="1006" spans="1:9">
      <c r="A1006" s="4" t="s">
        <v>2069</v>
      </c>
      <c r="B1006" s="4" t="s">
        <v>2070</v>
      </c>
      <c r="C1006" s="4" t="s">
        <v>37</v>
      </c>
      <c r="D1006" s="2">
        <f>20543494/(10^6)</f>
        <v>20.543494</v>
      </c>
      <c r="E1006" s="5">
        <v>13.2722005844116</v>
      </c>
      <c r="F1006" s="5">
        <v>0.557411909103394</v>
      </c>
      <c r="G1006" s="5">
        <v>0.768225133419037</v>
      </c>
      <c r="H1006" s="5">
        <v>1.71337473392487</v>
      </c>
      <c r="I1006" t="s">
        <v>3</v>
      </c>
    </row>
    <row r="1007" spans="1:9">
      <c r="A1007" s="4" t="s">
        <v>2071</v>
      </c>
      <c r="B1007" s="4" t="s">
        <v>2072</v>
      </c>
      <c r="C1007" s="4" t="s">
        <v>31</v>
      </c>
      <c r="D1007" s="2">
        <f>20407268/(10^6)</f>
        <v>20.407268</v>
      </c>
      <c r="E1007" s="5">
        <v>1.69894325733185</v>
      </c>
      <c r="F1007" s="3" t="s">
        <v>86</v>
      </c>
      <c r="G1007" s="5">
        <v>0.380500018596649</v>
      </c>
      <c r="H1007" s="5">
        <v>7.10498094558716</v>
      </c>
      <c r="I1007" t="s">
        <v>3</v>
      </c>
    </row>
    <row r="1008" spans="1:9">
      <c r="A1008" s="4" t="s">
        <v>2073</v>
      </c>
      <c r="B1008" s="4" t="s">
        <v>2074</v>
      </c>
      <c r="C1008" s="4" t="s">
        <v>51</v>
      </c>
      <c r="D1008" s="2">
        <f>20361336/(10^6)</f>
        <v>20.361336</v>
      </c>
      <c r="E1008" s="3" t="s">
        <v>86</v>
      </c>
      <c r="F1008" s="5">
        <v>0.454290777444839</v>
      </c>
      <c r="G1008" s="5">
        <v>0.091670088469982</v>
      </c>
      <c r="H1008" s="5">
        <v>9.69654083251953</v>
      </c>
      <c r="I1008" t="s">
        <v>3</v>
      </c>
    </row>
    <row r="1009" spans="1:9">
      <c r="A1009" s="4" t="s">
        <v>2075</v>
      </c>
      <c r="B1009" s="4" t="s">
        <v>2076</v>
      </c>
      <c r="C1009" s="4" t="s">
        <v>31</v>
      </c>
      <c r="D1009" s="2">
        <f>20277096/(10^6)</f>
        <v>20.277096</v>
      </c>
      <c r="E1009" s="5">
        <v>12.6385583877563</v>
      </c>
      <c r="F1009" s="5">
        <v>0.567542135715485</v>
      </c>
      <c r="G1009" s="5">
        <v>0.525698900222778</v>
      </c>
      <c r="H1009" s="5">
        <v>2.81023955345154</v>
      </c>
      <c r="I1009" t="s">
        <v>3</v>
      </c>
    </row>
    <row r="1010" spans="1:9">
      <c r="A1010" s="4" t="s">
        <v>2077</v>
      </c>
      <c r="B1010" s="4" t="s">
        <v>2078</v>
      </c>
      <c r="C1010" s="4" t="s">
        <v>47</v>
      </c>
      <c r="D1010" s="2">
        <f>20244388/(10^6)</f>
        <v>20.244388</v>
      </c>
      <c r="E1010" s="5">
        <v>651.098571777344</v>
      </c>
      <c r="F1010" s="5">
        <v>1.71085560321808</v>
      </c>
      <c r="G1010" s="5">
        <v>3.86484360694885</v>
      </c>
      <c r="H1010" s="5">
        <v>11.3888168334961</v>
      </c>
      <c r="I1010" t="s">
        <v>3</v>
      </c>
    </row>
    <row r="1011" spans="1:9">
      <c r="A1011" s="4" t="s">
        <v>2079</v>
      </c>
      <c r="B1011" s="4" t="s">
        <v>2080</v>
      </c>
      <c r="C1011" s="4" t="s">
        <v>45</v>
      </c>
      <c r="D1011" s="2">
        <f>20159700/(10^6)</f>
        <v>20.1597</v>
      </c>
      <c r="E1011" s="5">
        <v>17.4609432220459</v>
      </c>
      <c r="F1011" s="5">
        <v>0.231693983078003</v>
      </c>
      <c r="G1011" s="5">
        <v>1.00593733787537</v>
      </c>
      <c r="H1011" s="5">
        <v>3.25089454650879</v>
      </c>
      <c r="I1011" t="s">
        <v>3</v>
      </c>
    </row>
    <row r="1012" spans="1:9">
      <c r="A1012" s="4" t="s">
        <v>2081</v>
      </c>
      <c r="B1012" s="4" t="s">
        <v>2082</v>
      </c>
      <c r="C1012" s="4" t="s">
        <v>31</v>
      </c>
      <c r="D1012" s="2">
        <f>20085938/(10^6)</f>
        <v>20.085938</v>
      </c>
      <c r="E1012" s="5">
        <v>29.2857131958008</v>
      </c>
      <c r="F1012" s="5">
        <v>0.445780605077744</v>
      </c>
      <c r="G1012" s="5">
        <v>0.384783238172531</v>
      </c>
      <c r="H1012" s="5">
        <v>30.0896167755127</v>
      </c>
      <c r="I1012" t="s">
        <v>3</v>
      </c>
    </row>
    <row r="1013" spans="1:9">
      <c r="A1013" s="4" t="s">
        <v>2083</v>
      </c>
      <c r="B1013" s="4" t="s">
        <v>2084</v>
      </c>
      <c r="C1013" s="4" t="s">
        <v>47</v>
      </c>
      <c r="D1013" s="2">
        <f>20015434/(10^6)</f>
        <v>20.015434</v>
      </c>
      <c r="E1013" s="5">
        <v>11.4982585906982</v>
      </c>
      <c r="F1013" s="5">
        <v>0.489516913890839</v>
      </c>
      <c r="G1013" s="5">
        <v>0.896975576877594</v>
      </c>
      <c r="H1013" s="3" t="s">
        <v>86</v>
      </c>
      <c r="I1013" t="s">
        <v>3</v>
      </c>
    </row>
    <row r="1014" spans="1:9">
      <c r="A1014" s="4" t="s">
        <v>2085</v>
      </c>
      <c r="B1014" s="4" t="s">
        <v>2086</v>
      </c>
      <c r="C1014" s="4" t="s">
        <v>27</v>
      </c>
      <c r="D1014" s="2">
        <f>20011978/(10^6)</f>
        <v>20.011978</v>
      </c>
      <c r="E1014" s="3" t="s">
        <v>86</v>
      </c>
      <c r="F1014" s="5">
        <v>0.123703546822071</v>
      </c>
      <c r="G1014" s="5">
        <v>0.110702767968178</v>
      </c>
      <c r="H1014" s="5">
        <v>9.91660308837891</v>
      </c>
      <c r="I1014" t="s">
        <v>3</v>
      </c>
    </row>
    <row r="1015" spans="1:9">
      <c r="A1015" s="4" t="s">
        <v>2087</v>
      </c>
      <c r="B1015" s="4" t="s">
        <v>2088</v>
      </c>
      <c r="C1015" s="4" t="s">
        <v>31</v>
      </c>
      <c r="D1015" s="2">
        <f>19485092/(10^6)</f>
        <v>19.485092</v>
      </c>
      <c r="E1015" s="3" t="s">
        <v>86</v>
      </c>
      <c r="F1015" s="3" t="s">
        <v>86</v>
      </c>
      <c r="G1015" s="3" t="s">
        <v>86</v>
      </c>
      <c r="H1015" s="5">
        <v>11.9317655563354</v>
      </c>
      <c r="I1015" t="s">
        <v>3</v>
      </c>
    </row>
    <row r="1016" spans="1:9">
      <c r="A1016" s="4" t="s">
        <v>2089</v>
      </c>
      <c r="B1016" s="4" t="s">
        <v>2090</v>
      </c>
      <c r="C1016" s="4" t="s">
        <v>31</v>
      </c>
      <c r="D1016" s="2">
        <f>19341116/(10^6)</f>
        <v>19.341116</v>
      </c>
      <c r="E1016" s="3" t="s">
        <v>86</v>
      </c>
      <c r="F1016" s="3" t="s">
        <v>86</v>
      </c>
      <c r="G1016" s="3" t="s">
        <v>86</v>
      </c>
      <c r="H1016" s="5">
        <v>19.3274555206299</v>
      </c>
      <c r="I1016" t="s">
        <v>3</v>
      </c>
    </row>
    <row r="1017" spans="1:9">
      <c r="A1017" s="4" t="s">
        <v>2091</v>
      </c>
      <c r="B1017" s="4" t="s">
        <v>2092</v>
      </c>
      <c r="C1017" s="4" t="s">
        <v>35</v>
      </c>
      <c r="D1017" s="2">
        <f>19285922/(10^6)</f>
        <v>19.285922</v>
      </c>
      <c r="E1017" s="3" t="s">
        <v>86</v>
      </c>
      <c r="F1017" s="5">
        <v>0.358754724264145</v>
      </c>
      <c r="G1017" s="5">
        <v>3.76534390449524</v>
      </c>
      <c r="H1017" s="5">
        <v>90.0401611328125</v>
      </c>
      <c r="I1017" t="s">
        <v>3</v>
      </c>
    </row>
    <row r="1018" spans="1:9">
      <c r="A1018" s="4" t="s">
        <v>2093</v>
      </c>
      <c r="B1018" s="4" t="s">
        <v>2094</v>
      </c>
      <c r="C1018" s="4" t="s">
        <v>31</v>
      </c>
      <c r="D1018" s="2">
        <f>18847766/(10^6)</f>
        <v>18.847766</v>
      </c>
      <c r="E1018" s="5">
        <v>11.301775932312</v>
      </c>
      <c r="F1018" s="5">
        <v>0.322798699140549</v>
      </c>
      <c r="G1018" s="5">
        <v>0.429199993610382</v>
      </c>
      <c r="H1018" s="5">
        <v>36.082447052002</v>
      </c>
      <c r="I1018" t="s">
        <v>3</v>
      </c>
    </row>
    <row r="1019" spans="1:9">
      <c r="A1019" s="4" t="s">
        <v>2095</v>
      </c>
      <c r="B1019" s="4" t="s">
        <v>2096</v>
      </c>
      <c r="C1019" s="4" t="s">
        <v>37</v>
      </c>
      <c r="D1019" s="2">
        <f>18467196/(10^6)</f>
        <v>18.467196</v>
      </c>
      <c r="E1019" s="5">
        <v>11.2170495986938</v>
      </c>
      <c r="F1019" s="5">
        <v>0.469552427530289</v>
      </c>
      <c r="G1019" s="5">
        <v>0.418915033340454</v>
      </c>
      <c r="H1019" s="5">
        <v>0.741790175437927</v>
      </c>
      <c r="I1019" t="s">
        <v>3</v>
      </c>
    </row>
    <row r="1020" spans="1:9">
      <c r="A1020" s="4" t="s">
        <v>2097</v>
      </c>
      <c r="B1020" s="4" t="s">
        <v>2098</v>
      </c>
      <c r="C1020" s="4" t="s">
        <v>27</v>
      </c>
      <c r="D1020" s="2">
        <f>18362404/(10^6)</f>
        <v>18.362404</v>
      </c>
      <c r="E1020" s="5">
        <v>1.47597205638885</v>
      </c>
      <c r="F1020" s="5">
        <v>0.219234198331833</v>
      </c>
      <c r="G1020" s="5">
        <v>0.24626462161541</v>
      </c>
      <c r="H1020" s="5">
        <v>4.45400238037109</v>
      </c>
      <c r="I1020" t="s">
        <v>3</v>
      </c>
    </row>
    <row r="1021" spans="1:9">
      <c r="A1021" s="4" t="s">
        <v>2099</v>
      </c>
      <c r="B1021" s="4" t="s">
        <v>2100</v>
      </c>
      <c r="C1021" s="4" t="s">
        <v>35</v>
      </c>
      <c r="D1021" s="2">
        <f>17865156/(10^6)</f>
        <v>17.865156</v>
      </c>
      <c r="E1021" s="3" t="s">
        <v>86</v>
      </c>
      <c r="F1021" s="5">
        <v>0.484019696712494</v>
      </c>
      <c r="G1021" s="5">
        <v>1.07747304439545</v>
      </c>
      <c r="H1021" s="3" t="s">
        <v>86</v>
      </c>
      <c r="I1021" t="s">
        <v>3</v>
      </c>
    </row>
    <row r="1022" spans="1:9">
      <c r="A1022" s="4" t="s">
        <v>2101</v>
      </c>
      <c r="B1022" s="4" t="s">
        <v>2102</v>
      </c>
      <c r="C1022" s="4" t="s">
        <v>47</v>
      </c>
      <c r="D1022" s="2">
        <f>17854956/(10^6)</f>
        <v>17.854956</v>
      </c>
      <c r="E1022" s="3" t="s">
        <v>86</v>
      </c>
      <c r="F1022" s="3" t="s">
        <v>86</v>
      </c>
      <c r="G1022" s="3" t="s">
        <v>86</v>
      </c>
      <c r="H1022" s="3" t="s">
        <v>86</v>
      </c>
      <c r="I1022" t="s">
        <v>3</v>
      </c>
    </row>
    <row r="1023" spans="1:9">
      <c r="A1023" s="4" t="s">
        <v>2103</v>
      </c>
      <c r="B1023" s="4" t="s">
        <v>2104</v>
      </c>
      <c r="C1023" s="4" t="s">
        <v>51</v>
      </c>
      <c r="D1023" s="2">
        <f>17728502/(10^6)</f>
        <v>17.728502</v>
      </c>
      <c r="E1023" s="3" t="s">
        <v>86</v>
      </c>
      <c r="F1023" s="5">
        <v>4.70110273361206</v>
      </c>
      <c r="G1023" s="5">
        <v>1.10769236087799</v>
      </c>
      <c r="H1023" s="3" t="s">
        <v>86</v>
      </c>
      <c r="I1023" t="s">
        <v>3</v>
      </c>
    </row>
    <row r="1024" spans="1:9">
      <c r="A1024" s="4" t="s">
        <v>2105</v>
      </c>
      <c r="B1024" s="4" t="s">
        <v>2106</v>
      </c>
      <c r="C1024" s="4" t="s">
        <v>37</v>
      </c>
      <c r="D1024" s="2">
        <f>17637606/(10^6)</f>
        <v>17.637606</v>
      </c>
      <c r="E1024" s="3" t="s">
        <v>86</v>
      </c>
      <c r="F1024" s="5">
        <v>0.330768972635269</v>
      </c>
      <c r="G1024" s="5">
        <v>1.31423318386078</v>
      </c>
      <c r="H1024" s="3" t="s">
        <v>86</v>
      </c>
      <c r="I1024" t="s">
        <v>3</v>
      </c>
    </row>
    <row r="1025" spans="1:9">
      <c r="A1025" s="4" t="s">
        <v>2107</v>
      </c>
      <c r="B1025" s="4" t="s">
        <v>2108</v>
      </c>
      <c r="C1025" s="4" t="s">
        <v>51</v>
      </c>
      <c r="D1025" s="2">
        <f>17346228/(10^6)</f>
        <v>17.346228</v>
      </c>
      <c r="E1025" s="3" t="s">
        <v>86</v>
      </c>
      <c r="F1025" s="5">
        <v>3.31389188766479</v>
      </c>
      <c r="G1025" s="5">
        <v>1.84685850143433</v>
      </c>
      <c r="H1025" s="5">
        <v>24.4548149108887</v>
      </c>
      <c r="I1025" t="s">
        <v>3</v>
      </c>
    </row>
    <row r="1026" spans="1:9">
      <c r="A1026" s="4" t="s">
        <v>2109</v>
      </c>
      <c r="B1026" s="4" t="s">
        <v>2110</v>
      </c>
      <c r="C1026" s="4" t="s">
        <v>51</v>
      </c>
      <c r="D1026" s="2">
        <f>17257102/(10^6)</f>
        <v>17.257102</v>
      </c>
      <c r="E1026" s="5">
        <v>8.63836002349854</v>
      </c>
      <c r="F1026" s="5">
        <v>1.30002892017365</v>
      </c>
      <c r="G1026" s="5">
        <v>0.853014349937439</v>
      </c>
      <c r="H1026" s="5">
        <v>3.15792226791382</v>
      </c>
      <c r="I1026" t="s">
        <v>3</v>
      </c>
    </row>
    <row r="1027" spans="1:9">
      <c r="A1027" s="4" t="s">
        <v>2111</v>
      </c>
      <c r="B1027" s="4" t="s">
        <v>2112</v>
      </c>
      <c r="C1027" s="4" t="s">
        <v>49</v>
      </c>
      <c r="D1027" s="2">
        <f>17207548/(10^6)</f>
        <v>17.207548</v>
      </c>
      <c r="E1027" s="3" t="s">
        <v>86</v>
      </c>
      <c r="F1027" s="3" t="s">
        <v>86</v>
      </c>
      <c r="G1027" s="3" t="s">
        <v>86</v>
      </c>
      <c r="H1027" s="3" t="s">
        <v>86</v>
      </c>
      <c r="I1027" t="s">
        <v>3</v>
      </c>
    </row>
    <row r="1028" spans="1:9">
      <c r="A1028" s="4" t="s">
        <v>2113</v>
      </c>
      <c r="B1028" s="4" t="s">
        <v>2114</v>
      </c>
      <c r="C1028" s="4" t="s">
        <v>33</v>
      </c>
      <c r="D1028" s="2">
        <f>17043150/(10^6)</f>
        <v>17.04315</v>
      </c>
      <c r="E1028" s="5">
        <v>23.2618827819824</v>
      </c>
      <c r="F1028" s="5">
        <v>0.599033713340759</v>
      </c>
      <c r="G1028" s="5">
        <v>0.083531349897385</v>
      </c>
      <c r="H1028" s="5">
        <v>85.5768356323242</v>
      </c>
      <c r="I1028" t="s">
        <v>3</v>
      </c>
    </row>
    <row r="1029" spans="1:9">
      <c r="A1029" s="4" t="s">
        <v>2115</v>
      </c>
      <c r="B1029" s="4" t="s">
        <v>2116</v>
      </c>
      <c r="C1029" s="4" t="s">
        <v>51</v>
      </c>
      <c r="D1029" s="2">
        <f>17035432/(10^6)</f>
        <v>17.035432</v>
      </c>
      <c r="E1029" s="3" t="s">
        <v>86</v>
      </c>
      <c r="F1029" s="5">
        <v>0.220581635832787</v>
      </c>
      <c r="G1029" s="5">
        <v>0.04030442610383</v>
      </c>
      <c r="H1029" s="3" t="s">
        <v>86</v>
      </c>
      <c r="I1029" t="s">
        <v>3</v>
      </c>
    </row>
    <row r="1030" spans="1:9">
      <c r="A1030" s="4" t="s">
        <v>2117</v>
      </c>
      <c r="B1030" s="4" t="s">
        <v>2118</v>
      </c>
      <c r="C1030" s="4" t="s">
        <v>31</v>
      </c>
      <c r="D1030" s="2">
        <f>16836198/(10^6)</f>
        <v>16.836198</v>
      </c>
      <c r="E1030" s="5">
        <v>13.5593223571777</v>
      </c>
      <c r="F1030" s="5">
        <v>0.517675340175629</v>
      </c>
      <c r="G1030" s="5">
        <v>0.447888195514679</v>
      </c>
      <c r="H1030" s="5">
        <v>9.38408088684082</v>
      </c>
      <c r="I1030" t="s">
        <v>3</v>
      </c>
    </row>
    <row r="1031" spans="1:9">
      <c r="A1031" s="4" t="s">
        <v>2119</v>
      </c>
      <c r="B1031" s="4" t="s">
        <v>2120</v>
      </c>
      <c r="C1031" s="4" t="s">
        <v>31</v>
      </c>
      <c r="D1031" s="2">
        <f>16804412/(10^6)</f>
        <v>16.804412</v>
      </c>
      <c r="E1031" s="5">
        <v>31.8644065856934</v>
      </c>
      <c r="F1031" s="5">
        <v>0.242606937885284</v>
      </c>
      <c r="G1031" s="5">
        <v>0.17469747364521</v>
      </c>
      <c r="H1031" s="5">
        <v>3.65633416175842</v>
      </c>
      <c r="I1031" t="s">
        <v>3</v>
      </c>
    </row>
    <row r="1032" spans="1:9">
      <c r="A1032" s="4" t="s">
        <v>2121</v>
      </c>
      <c r="B1032" s="4" t="s">
        <v>2122</v>
      </c>
      <c r="C1032" s="4" t="s">
        <v>51</v>
      </c>
      <c r="D1032" s="2">
        <f>16782764/(10^6)</f>
        <v>16.782764</v>
      </c>
      <c r="E1032" s="5">
        <v>7.7642617225647</v>
      </c>
      <c r="F1032" s="5">
        <v>0.795967042446136</v>
      </c>
      <c r="G1032" s="5">
        <v>0.152010336518288</v>
      </c>
      <c r="H1032" s="5">
        <v>5.42823076248169</v>
      </c>
      <c r="I1032" t="s">
        <v>3</v>
      </c>
    </row>
    <row r="1033" spans="1:9">
      <c r="A1033" s="4" t="s">
        <v>2123</v>
      </c>
      <c r="B1033" s="4" t="s">
        <v>2124</v>
      </c>
      <c r="C1033" s="4" t="s">
        <v>31</v>
      </c>
      <c r="D1033" s="2">
        <f>16245753/(10^6)</f>
        <v>16.245753</v>
      </c>
      <c r="E1033" s="5">
        <v>23.0179023742676</v>
      </c>
      <c r="F1033" s="5">
        <v>0.34146836400032</v>
      </c>
      <c r="G1033" s="5">
        <v>0.168921962380409</v>
      </c>
      <c r="H1033" s="3" t="s">
        <v>86</v>
      </c>
      <c r="I1033" t="s">
        <v>3</v>
      </c>
    </row>
    <row r="1034" spans="1:9">
      <c r="A1034" s="4" t="s">
        <v>2125</v>
      </c>
      <c r="B1034" s="4" t="s">
        <v>2126</v>
      </c>
      <c r="C1034" s="4" t="s">
        <v>43</v>
      </c>
      <c r="D1034" s="2">
        <f>15974049/(10^6)</f>
        <v>15.974049</v>
      </c>
      <c r="E1034" s="3" t="s">
        <v>86</v>
      </c>
      <c r="F1034" s="3" t="s">
        <v>86</v>
      </c>
      <c r="G1034" s="3" t="s">
        <v>86</v>
      </c>
      <c r="H1034" s="3" t="s">
        <v>86</v>
      </c>
      <c r="I1034" t="s">
        <v>3</v>
      </c>
    </row>
    <row r="1035" spans="1:9">
      <c r="A1035" s="4" t="s">
        <v>2127</v>
      </c>
      <c r="B1035" s="4" t="s">
        <v>2128</v>
      </c>
      <c r="C1035" s="4" t="s">
        <v>47</v>
      </c>
      <c r="D1035" s="2">
        <f>15732488/(10^6)</f>
        <v>15.732488</v>
      </c>
      <c r="E1035" s="3" t="s">
        <v>86</v>
      </c>
      <c r="F1035" s="5">
        <v>0.693739295005798</v>
      </c>
      <c r="G1035" s="3" t="s">
        <v>86</v>
      </c>
      <c r="H1035" s="3" t="s">
        <v>86</v>
      </c>
      <c r="I1035" t="s">
        <v>3</v>
      </c>
    </row>
    <row r="1036" spans="1:9">
      <c r="A1036" s="4" t="s">
        <v>2129</v>
      </c>
      <c r="B1036" s="4" t="s">
        <v>2130</v>
      </c>
      <c r="C1036" s="4" t="s">
        <v>51</v>
      </c>
      <c r="D1036" s="2">
        <f>15660558/(10^6)</f>
        <v>15.660558</v>
      </c>
      <c r="E1036" s="3" t="s">
        <v>86</v>
      </c>
      <c r="F1036" s="3" t="s">
        <v>86</v>
      </c>
      <c r="G1036" s="3" t="s">
        <v>86</v>
      </c>
      <c r="H1036" s="3" t="s">
        <v>86</v>
      </c>
      <c r="I1036" t="s">
        <v>3</v>
      </c>
    </row>
    <row r="1037" spans="1:9">
      <c r="A1037" s="4" t="s">
        <v>2131</v>
      </c>
      <c r="B1037" s="4" t="s">
        <v>2132</v>
      </c>
      <c r="C1037" s="4" t="s">
        <v>47</v>
      </c>
      <c r="D1037" s="2">
        <f>15378814/(10^6)</f>
        <v>15.378814</v>
      </c>
      <c r="E1037" s="5">
        <v>43.7266006469727</v>
      </c>
      <c r="F1037" s="5">
        <v>1.5652586221695</v>
      </c>
      <c r="G1037" s="5">
        <v>0.250186383724213</v>
      </c>
      <c r="H1037" s="5">
        <v>9.07498741149902</v>
      </c>
      <c r="I1037" t="s">
        <v>3</v>
      </c>
    </row>
    <row r="1038" spans="1:9">
      <c r="A1038" s="4" t="s">
        <v>2133</v>
      </c>
      <c r="B1038" s="4" t="s">
        <v>2134</v>
      </c>
      <c r="C1038" s="4" t="s">
        <v>31</v>
      </c>
      <c r="D1038" s="2">
        <f>15343476/(10^6)</f>
        <v>15.343476</v>
      </c>
      <c r="E1038" s="3" t="s">
        <v>86</v>
      </c>
      <c r="F1038" s="5">
        <v>0.267558515071869</v>
      </c>
      <c r="G1038" s="5">
        <v>0.082776978611946</v>
      </c>
      <c r="H1038" s="5">
        <v>34.2656707763672</v>
      </c>
      <c r="I1038" t="s">
        <v>3</v>
      </c>
    </row>
    <row r="1039" spans="1:9">
      <c r="A1039" s="4" t="s">
        <v>2135</v>
      </c>
      <c r="B1039" s="4" t="s">
        <v>2136</v>
      </c>
      <c r="C1039" s="4" t="s">
        <v>31</v>
      </c>
      <c r="D1039" s="2">
        <f>15280129/(10^6)</f>
        <v>15.280129</v>
      </c>
      <c r="E1039" s="3" t="s">
        <v>86</v>
      </c>
      <c r="F1039" s="5">
        <v>0.755124032497406</v>
      </c>
      <c r="G1039" s="5">
        <v>3.32699632644653</v>
      </c>
      <c r="H1039" s="5">
        <v>27.0640316009521</v>
      </c>
      <c r="I1039" t="s">
        <v>3</v>
      </c>
    </row>
    <row r="1040" spans="1:9">
      <c r="A1040" s="4" t="s">
        <v>2137</v>
      </c>
      <c r="B1040" s="4" t="s">
        <v>2138</v>
      </c>
      <c r="C1040" s="4" t="s">
        <v>33</v>
      </c>
      <c r="D1040" s="2">
        <f>15230280/(10^6)</f>
        <v>15.23028</v>
      </c>
      <c r="E1040" s="5">
        <v>2.79329633712769</v>
      </c>
      <c r="F1040" s="5">
        <v>0.657168388366699</v>
      </c>
      <c r="G1040" s="5">
        <v>0.98181676864624</v>
      </c>
      <c r="H1040" s="5">
        <v>3.88958835601807</v>
      </c>
      <c r="I1040" t="s">
        <v>3</v>
      </c>
    </row>
    <row r="1041" spans="1:9">
      <c r="A1041" s="4" t="s">
        <v>2139</v>
      </c>
      <c r="B1041" s="4" t="s">
        <v>2140</v>
      </c>
      <c r="C1041" s="4" t="s">
        <v>31</v>
      </c>
      <c r="D1041" s="2">
        <f>15181964/(10^6)</f>
        <v>15.181964</v>
      </c>
      <c r="E1041" s="5">
        <v>24.1249122619629</v>
      </c>
      <c r="F1041" s="5">
        <v>1.98441958427429</v>
      </c>
      <c r="G1041" s="5">
        <v>2.56514716148377</v>
      </c>
      <c r="H1041" s="5">
        <v>8.82129383087158</v>
      </c>
      <c r="I1041" t="s">
        <v>3</v>
      </c>
    </row>
    <row r="1042" spans="1:9">
      <c r="A1042" s="4" t="s">
        <v>2141</v>
      </c>
      <c r="B1042" s="4" t="s">
        <v>2142</v>
      </c>
      <c r="C1042" s="4" t="s">
        <v>45</v>
      </c>
      <c r="D1042" s="2">
        <f>15072197/(10^6)</f>
        <v>15.072197</v>
      </c>
      <c r="E1042" s="3" t="s">
        <v>86</v>
      </c>
      <c r="F1042" s="3" t="s">
        <v>86</v>
      </c>
      <c r="G1042" s="3" t="s">
        <v>86</v>
      </c>
      <c r="H1042" s="3" t="s">
        <v>86</v>
      </c>
      <c r="I1042" t="s">
        <v>3</v>
      </c>
    </row>
    <row r="1043" spans="1:9">
      <c r="A1043" s="4" t="s">
        <v>2143</v>
      </c>
      <c r="B1043" s="4" t="s">
        <v>2144</v>
      </c>
      <c r="C1043" s="4" t="s">
        <v>37</v>
      </c>
      <c r="D1043" s="2">
        <f>14991920/(10^6)</f>
        <v>14.99192</v>
      </c>
      <c r="E1043" s="5">
        <v>57.6824111938477</v>
      </c>
      <c r="F1043" s="5">
        <v>1.21036839485169</v>
      </c>
      <c r="G1043" s="5">
        <v>0.060379572212696</v>
      </c>
      <c r="H1043" s="5">
        <v>6.61550045013428</v>
      </c>
      <c r="I1043" t="s">
        <v>3</v>
      </c>
    </row>
    <row r="1044" spans="1:9">
      <c r="A1044" s="4" t="s">
        <v>2145</v>
      </c>
      <c r="B1044" s="4" t="s">
        <v>2146</v>
      </c>
      <c r="C1044" s="4" t="s">
        <v>31</v>
      </c>
      <c r="D1044" s="2">
        <f>14874507/(10^6)</f>
        <v>14.874507</v>
      </c>
      <c r="E1044" s="5">
        <v>8.49752998352051</v>
      </c>
      <c r="F1044" s="5">
        <v>0.492638111114502</v>
      </c>
      <c r="G1044" s="5">
        <v>0.317195981740952</v>
      </c>
      <c r="H1044" s="5">
        <v>0.265771150588989</v>
      </c>
      <c r="I1044" t="s">
        <v>3</v>
      </c>
    </row>
    <row r="1045" spans="1:9">
      <c r="A1045" s="4" t="s">
        <v>2147</v>
      </c>
      <c r="B1045" s="4" t="s">
        <v>2148</v>
      </c>
      <c r="C1045" s="4" t="s">
        <v>31</v>
      </c>
      <c r="D1045" s="2">
        <f>14705892/(10^6)</f>
        <v>14.705892</v>
      </c>
      <c r="E1045" s="5">
        <v>14.7120637893677</v>
      </c>
      <c r="F1045" s="5">
        <v>0.747086346149445</v>
      </c>
      <c r="G1045" s="5">
        <v>4.37828350067139</v>
      </c>
      <c r="H1045" s="5">
        <v>36.4520111083984</v>
      </c>
      <c r="I1045" t="s">
        <v>3</v>
      </c>
    </row>
    <row r="1046" spans="1:9">
      <c r="A1046" s="4" t="s">
        <v>2149</v>
      </c>
      <c r="B1046" s="4" t="s">
        <v>2150</v>
      </c>
      <c r="C1046" s="4" t="s">
        <v>27</v>
      </c>
      <c r="D1046" s="2">
        <f>14673449/(10^6)</f>
        <v>14.673449</v>
      </c>
      <c r="E1046" s="3" t="s">
        <v>86</v>
      </c>
      <c r="F1046" s="5">
        <v>0.525000154972076</v>
      </c>
      <c r="G1046" s="5">
        <v>0.891570031642914</v>
      </c>
      <c r="H1046" s="5">
        <v>4.1669807434082</v>
      </c>
      <c r="I1046" t="s">
        <v>3</v>
      </c>
    </row>
    <row r="1047" spans="1:9">
      <c r="A1047" s="4" t="s">
        <v>2151</v>
      </c>
      <c r="B1047" s="4" t="s">
        <v>2152</v>
      </c>
      <c r="C1047" s="4" t="s">
        <v>51</v>
      </c>
      <c r="D1047" s="2">
        <f>14639119/(10^6)</f>
        <v>14.639119</v>
      </c>
      <c r="E1047" s="5">
        <v>9.83213424682617</v>
      </c>
      <c r="F1047" s="5">
        <v>0.416514307260513</v>
      </c>
      <c r="G1047" s="5">
        <v>0.208534672856331</v>
      </c>
      <c r="H1047" s="5">
        <v>2.21133279800415</v>
      </c>
      <c r="I1047" t="s">
        <v>3</v>
      </c>
    </row>
    <row r="1048" spans="1:9">
      <c r="A1048" s="4" t="s">
        <v>2153</v>
      </c>
      <c r="B1048" s="4" t="s">
        <v>2154</v>
      </c>
      <c r="C1048" s="4" t="s">
        <v>31</v>
      </c>
      <c r="D1048" s="2">
        <f>14635481/(10^6)</f>
        <v>14.635481</v>
      </c>
      <c r="E1048" s="3" t="s">
        <v>86</v>
      </c>
      <c r="F1048" s="5">
        <v>0.378644436597824</v>
      </c>
      <c r="G1048" s="5">
        <v>0.295605331659317</v>
      </c>
      <c r="H1048" s="3" t="s">
        <v>86</v>
      </c>
      <c r="I1048" t="s">
        <v>3</v>
      </c>
    </row>
    <row r="1049" spans="1:9">
      <c r="A1049" s="4" t="s">
        <v>2155</v>
      </c>
      <c r="B1049" s="4" t="s">
        <v>2156</v>
      </c>
      <c r="C1049" s="4" t="s">
        <v>45</v>
      </c>
      <c r="D1049" s="2">
        <f>14490848/(10^6)</f>
        <v>14.490848</v>
      </c>
      <c r="E1049" s="5">
        <v>13.0563793182373</v>
      </c>
      <c r="F1049" s="5">
        <v>0.29943785071373</v>
      </c>
      <c r="G1049" s="5">
        <v>2.77637553215027</v>
      </c>
      <c r="H1049" s="3" t="s">
        <v>86</v>
      </c>
      <c r="I1049" t="s">
        <v>3</v>
      </c>
    </row>
    <row r="1050" spans="1:9">
      <c r="A1050" s="4" t="s">
        <v>2157</v>
      </c>
      <c r="B1050" s="4" t="s">
        <v>2158</v>
      </c>
      <c r="C1050" s="4" t="s">
        <v>31</v>
      </c>
      <c r="D1050" s="2">
        <f>14479392/(10^6)</f>
        <v>14.479392</v>
      </c>
      <c r="E1050" s="5">
        <v>9.6209077835083</v>
      </c>
      <c r="F1050" s="5">
        <v>0.237142130732536</v>
      </c>
      <c r="G1050" s="5">
        <v>0.354030936956406</v>
      </c>
      <c r="H1050" s="5">
        <v>4.52541875839233</v>
      </c>
      <c r="I1050" t="s">
        <v>3</v>
      </c>
    </row>
    <row r="1051" spans="1:9">
      <c r="A1051" s="4" t="s">
        <v>2159</v>
      </c>
      <c r="B1051" s="4" t="s">
        <v>2160</v>
      </c>
      <c r="C1051" s="4" t="s">
        <v>31</v>
      </c>
      <c r="D1051" s="2">
        <f>14125950/(10^6)</f>
        <v>14.12595</v>
      </c>
      <c r="E1051" s="3" t="s">
        <v>86</v>
      </c>
      <c r="F1051" s="5">
        <v>0.141083523631096</v>
      </c>
      <c r="G1051" s="5">
        <v>0.074042029678822</v>
      </c>
      <c r="H1051" s="3" t="s">
        <v>86</v>
      </c>
      <c r="I1051" t="s">
        <v>3</v>
      </c>
    </row>
    <row r="1052" spans="1:9">
      <c r="A1052" s="4" t="s">
        <v>2161</v>
      </c>
      <c r="B1052" s="4" t="s">
        <v>2162</v>
      </c>
      <c r="C1052" s="4" t="s">
        <v>51</v>
      </c>
      <c r="D1052" s="2">
        <f>14084437/(10^6)</f>
        <v>14.084437</v>
      </c>
      <c r="E1052" s="3" t="s">
        <v>86</v>
      </c>
      <c r="F1052" s="5">
        <v>1.80018019676208</v>
      </c>
      <c r="G1052" s="3" t="s">
        <v>86</v>
      </c>
      <c r="H1052" s="3" t="s">
        <v>86</v>
      </c>
      <c r="I1052" t="s">
        <v>3</v>
      </c>
    </row>
    <row r="1053" spans="1:9">
      <c r="A1053" s="4" t="s">
        <v>2163</v>
      </c>
      <c r="B1053" s="4" t="s">
        <v>2164</v>
      </c>
      <c r="C1053" s="4" t="s">
        <v>31</v>
      </c>
      <c r="D1053" s="2">
        <f>13944889/(10^6)</f>
        <v>13.944889</v>
      </c>
      <c r="E1053" s="3" t="s">
        <v>86</v>
      </c>
      <c r="F1053" s="5">
        <v>0.453827947378159</v>
      </c>
      <c r="G1053" s="5">
        <v>0.081655837595463</v>
      </c>
      <c r="H1053" s="5">
        <v>8.95548248291016</v>
      </c>
      <c r="I1053" t="s">
        <v>3</v>
      </c>
    </row>
    <row r="1054" spans="1:9">
      <c r="A1054" s="4" t="s">
        <v>2165</v>
      </c>
      <c r="B1054" s="4" t="s">
        <v>2166</v>
      </c>
      <c r="C1054" s="4" t="s">
        <v>31</v>
      </c>
      <c r="D1054" s="2">
        <f>13693024/(10^6)</f>
        <v>13.693024</v>
      </c>
      <c r="E1054" s="3" t="s">
        <v>86</v>
      </c>
      <c r="F1054" s="5">
        <v>0.405626356601715</v>
      </c>
      <c r="G1054" s="5">
        <v>0.325757652521133</v>
      </c>
      <c r="H1054" s="5">
        <v>4.29701900482178</v>
      </c>
      <c r="I1054" t="s">
        <v>3</v>
      </c>
    </row>
    <row r="1055" spans="1:9">
      <c r="A1055" s="4" t="s">
        <v>2167</v>
      </c>
      <c r="B1055" s="4" t="s">
        <v>2168</v>
      </c>
      <c r="C1055" s="4" t="s">
        <v>41</v>
      </c>
      <c r="D1055" s="2">
        <f>13648263/(10^6)</f>
        <v>13.648263</v>
      </c>
      <c r="E1055" s="3" t="s">
        <v>86</v>
      </c>
      <c r="F1055" s="5">
        <v>1.15370309352875</v>
      </c>
      <c r="G1055" s="5">
        <v>3.1517059803009</v>
      </c>
      <c r="H1055" s="3" t="s">
        <v>86</v>
      </c>
      <c r="I1055" t="s">
        <v>3</v>
      </c>
    </row>
    <row r="1056" spans="1:9">
      <c r="A1056" s="4" t="s">
        <v>2169</v>
      </c>
      <c r="B1056" s="4" t="s">
        <v>2170</v>
      </c>
      <c r="C1056" s="4" t="s">
        <v>35</v>
      </c>
      <c r="D1056" s="2">
        <f>13521518/(10^6)</f>
        <v>13.521518</v>
      </c>
      <c r="E1056" s="3" t="s">
        <v>86</v>
      </c>
      <c r="F1056" s="5">
        <v>0.192504063248634</v>
      </c>
      <c r="G1056" s="5">
        <v>0.102116264402866</v>
      </c>
      <c r="H1056" s="3" t="s">
        <v>86</v>
      </c>
      <c r="I1056" t="s">
        <v>3</v>
      </c>
    </row>
    <row r="1057" spans="1:9">
      <c r="A1057" s="4" t="s">
        <v>2171</v>
      </c>
      <c r="B1057" s="4" t="s">
        <v>2172</v>
      </c>
      <c r="C1057" s="4" t="s">
        <v>27</v>
      </c>
      <c r="D1057" s="2">
        <f>13454679/(10^6)</f>
        <v>13.454679</v>
      </c>
      <c r="E1057" s="3" t="s">
        <v>86</v>
      </c>
      <c r="F1057" s="3" t="s">
        <v>86</v>
      </c>
      <c r="G1057" s="3" t="s">
        <v>86</v>
      </c>
      <c r="H1057" s="3" t="s">
        <v>86</v>
      </c>
      <c r="I1057" t="s">
        <v>3</v>
      </c>
    </row>
    <row r="1058" spans="1:9">
      <c r="A1058" s="4" t="s">
        <v>2173</v>
      </c>
      <c r="B1058" s="4" t="s">
        <v>2174</v>
      </c>
      <c r="C1058" s="4" t="s">
        <v>47</v>
      </c>
      <c r="D1058" s="2">
        <f>13399857/(10^6)</f>
        <v>13.399857</v>
      </c>
      <c r="E1058" s="5">
        <v>5.82911443710327</v>
      </c>
      <c r="F1058" s="3" t="s">
        <v>86</v>
      </c>
      <c r="G1058" s="5">
        <v>1.15705502033234</v>
      </c>
      <c r="H1058" s="5">
        <v>5.74805068969727</v>
      </c>
      <c r="I1058" t="s">
        <v>3</v>
      </c>
    </row>
    <row r="1059" spans="1:9">
      <c r="A1059" s="4" t="s">
        <v>2175</v>
      </c>
      <c r="B1059" s="4" t="s">
        <v>2176</v>
      </c>
      <c r="C1059" s="4" t="s">
        <v>37</v>
      </c>
      <c r="D1059" s="2">
        <f>13318966/(10^6)</f>
        <v>13.318966</v>
      </c>
      <c r="E1059" s="5">
        <v>9.77568912506104</v>
      </c>
      <c r="F1059" s="5">
        <v>0.169053182005882</v>
      </c>
      <c r="G1059" s="5">
        <v>0.132730156183243</v>
      </c>
      <c r="H1059" s="5">
        <v>3.64685392379761</v>
      </c>
      <c r="I1059" t="s">
        <v>3</v>
      </c>
    </row>
    <row r="1060" spans="1:9">
      <c r="A1060" s="4" t="s">
        <v>2177</v>
      </c>
      <c r="B1060" s="4" t="s">
        <v>2178</v>
      </c>
      <c r="C1060" s="4" t="s">
        <v>51</v>
      </c>
      <c r="D1060" s="2">
        <f>13298517/(10^6)</f>
        <v>13.298517</v>
      </c>
      <c r="E1060" s="5">
        <v>0.430126279592514</v>
      </c>
      <c r="F1060" s="5">
        <v>0.901353240013123</v>
      </c>
      <c r="G1060" s="5">
        <v>1.90802836418152</v>
      </c>
      <c r="H1060" s="5">
        <v>0.29529944062233</v>
      </c>
      <c r="I1060" t="s">
        <v>3</v>
      </c>
    </row>
    <row r="1061" spans="1:9">
      <c r="A1061" s="4" t="s">
        <v>2179</v>
      </c>
      <c r="B1061" s="4" t="s">
        <v>2180</v>
      </c>
      <c r="C1061" s="4" t="s">
        <v>49</v>
      </c>
      <c r="D1061" s="2">
        <f>13258505/(10^6)</f>
        <v>13.258505</v>
      </c>
      <c r="E1061" s="5">
        <v>21</v>
      </c>
      <c r="F1061" s="5">
        <v>0.937487423419952</v>
      </c>
      <c r="G1061" s="5">
        <v>0.186555221676826</v>
      </c>
      <c r="H1061" s="5">
        <v>6.50225019454956</v>
      </c>
      <c r="I1061" t="s">
        <v>3</v>
      </c>
    </row>
    <row r="1062" spans="1:9">
      <c r="A1062" s="4" t="s">
        <v>2181</v>
      </c>
      <c r="B1062" s="4" t="s">
        <v>2182</v>
      </c>
      <c r="C1062" s="4" t="s">
        <v>49</v>
      </c>
      <c r="D1062" s="2">
        <f>13149549/(10^6)</f>
        <v>13.149549</v>
      </c>
      <c r="E1062" s="3" t="s">
        <v>86</v>
      </c>
      <c r="F1062" s="3" t="s">
        <v>86</v>
      </c>
      <c r="G1062" s="3" t="s">
        <v>86</v>
      </c>
      <c r="H1062" s="3" t="s">
        <v>86</v>
      </c>
      <c r="I1062" t="s">
        <v>3</v>
      </c>
    </row>
    <row r="1063" spans="1:9">
      <c r="A1063" s="4" t="s">
        <v>2183</v>
      </c>
      <c r="B1063" s="4" t="s">
        <v>2184</v>
      </c>
      <c r="C1063" s="4" t="s">
        <v>35</v>
      </c>
      <c r="D1063" s="2">
        <f>13103151/(10^6)</f>
        <v>13.103151</v>
      </c>
      <c r="E1063" s="3" t="s">
        <v>86</v>
      </c>
      <c r="F1063" s="5">
        <v>1.96045005321503</v>
      </c>
      <c r="G1063" s="5">
        <v>0.228118032217026</v>
      </c>
      <c r="H1063" s="3" t="s">
        <v>86</v>
      </c>
      <c r="I1063" t="s">
        <v>3</v>
      </c>
    </row>
    <row r="1064" spans="1:9">
      <c r="A1064" s="4" t="s">
        <v>2185</v>
      </c>
      <c r="B1064" s="4" t="s">
        <v>2186</v>
      </c>
      <c r="C1064" s="4" t="s">
        <v>27</v>
      </c>
      <c r="D1064" s="2">
        <f>12870306/(10^6)</f>
        <v>12.870306</v>
      </c>
      <c r="E1064" s="3" t="s">
        <v>86</v>
      </c>
      <c r="F1064" s="3" t="s">
        <v>86</v>
      </c>
      <c r="G1064" s="5">
        <v>0.452591091394424</v>
      </c>
      <c r="H1064" s="3" t="s">
        <v>86</v>
      </c>
      <c r="I1064" t="s">
        <v>3</v>
      </c>
    </row>
    <row r="1065" spans="1:9">
      <c r="A1065" s="4" t="s">
        <v>2187</v>
      </c>
      <c r="B1065" s="4" t="s">
        <v>2188</v>
      </c>
      <c r="C1065" s="4" t="s">
        <v>37</v>
      </c>
      <c r="D1065" s="2">
        <f>12756534/(10^6)</f>
        <v>12.756534</v>
      </c>
      <c r="E1065" s="3" t="s">
        <v>86</v>
      </c>
      <c r="F1065" s="5">
        <v>0.250723391771317</v>
      </c>
      <c r="G1065" s="5">
        <v>0.077234625816345</v>
      </c>
      <c r="H1065" s="3" t="s">
        <v>86</v>
      </c>
      <c r="I1065" t="s">
        <v>3</v>
      </c>
    </row>
    <row r="1066" spans="1:9">
      <c r="A1066" s="4" t="s">
        <v>2189</v>
      </c>
      <c r="B1066" s="4" t="s">
        <v>2190</v>
      </c>
      <c r="C1066" s="4" t="s">
        <v>31</v>
      </c>
      <c r="D1066" s="2">
        <f>12748675/(10^6)</f>
        <v>12.748675</v>
      </c>
      <c r="E1066" s="3" t="s">
        <v>86</v>
      </c>
      <c r="F1066" s="5">
        <v>0.491235285997391</v>
      </c>
      <c r="G1066" s="5">
        <v>0.330038726329803</v>
      </c>
      <c r="H1066" s="5">
        <v>5.53571796417236</v>
      </c>
      <c r="I1066" t="s">
        <v>3</v>
      </c>
    </row>
    <row r="1067" spans="1:9">
      <c r="A1067" s="4" t="s">
        <v>2191</v>
      </c>
      <c r="B1067" s="4" t="s">
        <v>2192</v>
      </c>
      <c r="C1067" s="4" t="s">
        <v>47</v>
      </c>
      <c r="D1067" s="2">
        <f>12726322/(10^6)</f>
        <v>12.726322</v>
      </c>
      <c r="E1067" s="3" t="s">
        <v>86</v>
      </c>
      <c r="F1067" s="3" t="s">
        <v>86</v>
      </c>
      <c r="G1067" s="5">
        <v>1.65906989574432</v>
      </c>
      <c r="H1067" s="3" t="s">
        <v>86</v>
      </c>
      <c r="I1067" t="s">
        <v>3</v>
      </c>
    </row>
    <row r="1068" spans="1:9">
      <c r="A1068" s="4" t="s">
        <v>2193</v>
      </c>
      <c r="B1068" s="4" t="s">
        <v>2194</v>
      </c>
      <c r="C1068" s="4" t="s">
        <v>45</v>
      </c>
      <c r="D1068" s="2">
        <f>12668200/(10^6)</f>
        <v>12.6682</v>
      </c>
      <c r="E1068" s="3" t="s">
        <v>86</v>
      </c>
      <c r="F1068" s="5">
        <v>0.194979295134544</v>
      </c>
      <c r="G1068" s="5">
        <v>1.10573601722717</v>
      </c>
      <c r="H1068" s="3" t="s">
        <v>86</v>
      </c>
      <c r="I1068" t="s">
        <v>3</v>
      </c>
    </row>
    <row r="1069" spans="1:9">
      <c r="A1069" s="4" t="s">
        <v>2195</v>
      </c>
      <c r="B1069" s="4" t="s">
        <v>2196</v>
      </c>
      <c r="C1069" s="4" t="s">
        <v>47</v>
      </c>
      <c r="D1069" s="2">
        <f>12580360/(10^6)</f>
        <v>12.58036</v>
      </c>
      <c r="E1069" s="3" t="s">
        <v>86</v>
      </c>
      <c r="F1069" s="5">
        <v>0.495564728975296</v>
      </c>
      <c r="G1069" s="5">
        <v>0.685000360012054</v>
      </c>
      <c r="H1069" s="5">
        <v>13.3105669021606</v>
      </c>
      <c r="I1069" t="s">
        <v>3</v>
      </c>
    </row>
    <row r="1070" spans="1:9">
      <c r="A1070" s="4" t="s">
        <v>2197</v>
      </c>
      <c r="B1070" s="4" t="s">
        <v>2198</v>
      </c>
      <c r="C1070" s="4" t="s">
        <v>45</v>
      </c>
      <c r="D1070" s="2">
        <f>12503812/(10^6)</f>
        <v>12.503812</v>
      </c>
      <c r="E1070" s="3" t="s">
        <v>86</v>
      </c>
      <c r="F1070" s="5">
        <v>0.382848381996155</v>
      </c>
      <c r="G1070" s="3" t="s">
        <v>86</v>
      </c>
      <c r="H1070" s="3" t="s">
        <v>86</v>
      </c>
      <c r="I1070" t="s">
        <v>3</v>
      </c>
    </row>
    <row r="1071" spans="1:9">
      <c r="A1071" s="4" t="s">
        <v>2199</v>
      </c>
      <c r="B1071" s="4" t="s">
        <v>2200</v>
      </c>
      <c r="C1071" s="4" t="s">
        <v>27</v>
      </c>
      <c r="D1071" s="2">
        <f>12362197/(10^6)</f>
        <v>12.362197</v>
      </c>
      <c r="E1071" s="3" t="s">
        <v>86</v>
      </c>
      <c r="F1071" s="5">
        <v>0.159809187054634</v>
      </c>
      <c r="G1071" s="5">
        <v>0.580552101135254</v>
      </c>
      <c r="H1071" s="3" t="s">
        <v>86</v>
      </c>
      <c r="I1071" t="s">
        <v>3</v>
      </c>
    </row>
    <row r="1072" spans="1:9">
      <c r="A1072" s="4" t="s">
        <v>2201</v>
      </c>
      <c r="B1072" s="4" t="s">
        <v>2202</v>
      </c>
      <c r="C1072" s="4" t="s">
        <v>31</v>
      </c>
      <c r="D1072" s="2">
        <f>12322113/(10^6)</f>
        <v>12.322113</v>
      </c>
      <c r="E1072" s="3" t="s">
        <v>86</v>
      </c>
      <c r="F1072" s="5">
        <v>0.344224601984024</v>
      </c>
      <c r="G1072" s="5">
        <v>1.61311137676239</v>
      </c>
      <c r="H1072" s="5">
        <v>3.62898635864258</v>
      </c>
      <c r="I1072" t="s">
        <v>3</v>
      </c>
    </row>
    <row r="1073" spans="1:9">
      <c r="A1073" s="4" t="s">
        <v>2203</v>
      </c>
      <c r="B1073" s="4" t="s">
        <v>2204</v>
      </c>
      <c r="C1073" s="4" t="s">
        <v>31</v>
      </c>
      <c r="D1073" s="2">
        <f>12252421/(10^6)</f>
        <v>12.252421</v>
      </c>
      <c r="E1073" s="3" t="s">
        <v>86</v>
      </c>
      <c r="F1073" s="5">
        <v>0.377073913812637</v>
      </c>
      <c r="G1073" s="5">
        <v>0.036529041826725</v>
      </c>
      <c r="H1073" s="3" t="s">
        <v>86</v>
      </c>
      <c r="I1073" t="s">
        <v>3</v>
      </c>
    </row>
    <row r="1074" spans="1:9">
      <c r="A1074" s="4" t="s">
        <v>2205</v>
      </c>
      <c r="B1074" s="4" t="s">
        <v>2206</v>
      </c>
      <c r="C1074" s="4" t="s">
        <v>49</v>
      </c>
      <c r="D1074" s="2">
        <f>12238163/(10^6)</f>
        <v>12.238163</v>
      </c>
      <c r="E1074" s="3" t="s">
        <v>86</v>
      </c>
      <c r="F1074" s="3" t="s">
        <v>86</v>
      </c>
      <c r="G1074" s="3" t="s">
        <v>86</v>
      </c>
      <c r="H1074" s="3" t="s">
        <v>86</v>
      </c>
      <c r="I1074" t="s">
        <v>3</v>
      </c>
    </row>
    <row r="1075" spans="1:9">
      <c r="A1075" s="4" t="s">
        <v>2207</v>
      </c>
      <c r="B1075" s="4" t="s">
        <v>2208</v>
      </c>
      <c r="C1075" s="4" t="s">
        <v>45</v>
      </c>
      <c r="D1075" s="2">
        <f>12183767/(10^6)</f>
        <v>12.183767</v>
      </c>
      <c r="E1075" s="5">
        <v>56.4578399658203</v>
      </c>
      <c r="F1075" s="5">
        <v>0.587925791740417</v>
      </c>
      <c r="G1075" s="5">
        <v>2.90481734275818</v>
      </c>
      <c r="H1075" s="3" t="s">
        <v>86</v>
      </c>
      <c r="I1075" t="s">
        <v>3</v>
      </c>
    </row>
    <row r="1076" spans="1:9">
      <c r="A1076" s="4" t="s">
        <v>2209</v>
      </c>
      <c r="B1076" s="4" t="s">
        <v>2210</v>
      </c>
      <c r="C1076" s="4" t="s">
        <v>47</v>
      </c>
      <c r="D1076" s="2">
        <f>12164308/(10^6)</f>
        <v>12.164308</v>
      </c>
      <c r="E1076" s="5">
        <v>19.116397857666</v>
      </c>
      <c r="F1076" s="5">
        <v>0.216552823781967</v>
      </c>
      <c r="G1076" s="5">
        <v>2.39307618141174</v>
      </c>
      <c r="H1076" s="3" t="s">
        <v>86</v>
      </c>
      <c r="I1076" t="s">
        <v>3</v>
      </c>
    </row>
    <row r="1077" spans="1:9">
      <c r="A1077" s="4" t="s">
        <v>2211</v>
      </c>
      <c r="B1077" s="4" t="s">
        <v>2212</v>
      </c>
      <c r="C1077" s="4" t="s">
        <v>31</v>
      </c>
      <c r="D1077" s="2">
        <f>12110223/(10^6)</f>
        <v>12.110223</v>
      </c>
      <c r="E1077" s="3" t="s">
        <v>86</v>
      </c>
      <c r="F1077" s="3" t="s">
        <v>86</v>
      </c>
      <c r="G1077" s="3" t="s">
        <v>86</v>
      </c>
      <c r="H1077" s="5">
        <v>16.3981056213379</v>
      </c>
      <c r="I1077" t="s">
        <v>3</v>
      </c>
    </row>
    <row r="1078" spans="1:9">
      <c r="A1078" s="4" t="s">
        <v>2213</v>
      </c>
      <c r="B1078" s="4" t="s">
        <v>2214</v>
      </c>
      <c r="C1078" s="4" t="s">
        <v>45</v>
      </c>
      <c r="D1078" s="2">
        <f>11966618/(10^6)</f>
        <v>11.966618</v>
      </c>
      <c r="E1078" s="3" t="s">
        <v>86</v>
      </c>
      <c r="F1078" s="5">
        <v>0.194043636322021</v>
      </c>
      <c r="G1078" s="5">
        <v>4.78503274917603</v>
      </c>
      <c r="H1078" s="3" t="s">
        <v>86</v>
      </c>
      <c r="I1078" t="s">
        <v>3</v>
      </c>
    </row>
    <row r="1079" spans="1:9">
      <c r="A1079" s="4" t="s">
        <v>2215</v>
      </c>
      <c r="B1079" s="4" t="s">
        <v>2216</v>
      </c>
      <c r="C1079" s="4" t="s">
        <v>31</v>
      </c>
      <c r="D1079" s="2">
        <f>11798362/(10^6)</f>
        <v>11.798362</v>
      </c>
      <c r="E1079" s="3" t="s">
        <v>86</v>
      </c>
      <c r="F1079" s="3" t="s">
        <v>86</v>
      </c>
      <c r="G1079" s="5">
        <v>0.408676534891129</v>
      </c>
      <c r="H1079" s="3" t="s">
        <v>86</v>
      </c>
      <c r="I1079" t="s">
        <v>3</v>
      </c>
    </row>
    <row r="1080" spans="1:9">
      <c r="A1080" s="4" t="s">
        <v>2217</v>
      </c>
      <c r="B1080" s="4" t="s">
        <v>2218</v>
      </c>
      <c r="C1080" s="4" t="s">
        <v>37</v>
      </c>
      <c r="D1080" s="2">
        <f>11577969/(10^6)</f>
        <v>11.577969</v>
      </c>
      <c r="E1080" s="3" t="s">
        <v>86</v>
      </c>
      <c r="F1080" s="5">
        <v>0.249555945396423</v>
      </c>
      <c r="G1080" s="3" t="s">
        <v>86</v>
      </c>
      <c r="H1080" s="3" t="s">
        <v>86</v>
      </c>
      <c r="I1080" t="s">
        <v>3</v>
      </c>
    </row>
    <row r="1081" spans="1:9">
      <c r="A1081" s="4" t="s">
        <v>2219</v>
      </c>
      <c r="B1081" s="4" t="s">
        <v>2206</v>
      </c>
      <c r="C1081" s="4" t="s">
        <v>49</v>
      </c>
      <c r="D1081" s="2">
        <f>11507000/(10^6)</f>
        <v>11.507</v>
      </c>
      <c r="E1081" s="3" t="s">
        <v>86</v>
      </c>
      <c r="F1081" s="3" t="s">
        <v>86</v>
      </c>
      <c r="G1081" s="3" t="s">
        <v>86</v>
      </c>
      <c r="H1081" s="3" t="s">
        <v>86</v>
      </c>
      <c r="I1081" t="s">
        <v>3</v>
      </c>
    </row>
    <row r="1082" spans="1:9">
      <c r="A1082" s="4" t="s">
        <v>2220</v>
      </c>
      <c r="B1082" s="4" t="s">
        <v>2221</v>
      </c>
      <c r="C1082" s="4" t="s">
        <v>47</v>
      </c>
      <c r="D1082" s="2">
        <f>11489894/(10^6)</f>
        <v>11.489894</v>
      </c>
      <c r="E1082" s="3" t="s">
        <v>86</v>
      </c>
      <c r="F1082" s="5">
        <v>0.293032735586166</v>
      </c>
      <c r="G1082" s="5">
        <v>0.123704746365547</v>
      </c>
      <c r="H1082" s="5">
        <v>6.0723066329956</v>
      </c>
      <c r="I1082" t="s">
        <v>3</v>
      </c>
    </row>
    <row r="1083" spans="1:9">
      <c r="A1083" s="4" t="s">
        <v>2222</v>
      </c>
      <c r="B1083" s="4" t="s">
        <v>2223</v>
      </c>
      <c r="C1083" s="4" t="s">
        <v>27</v>
      </c>
      <c r="D1083" s="2">
        <f>11426705/(10^6)</f>
        <v>11.426705</v>
      </c>
      <c r="E1083" s="3" t="s">
        <v>86</v>
      </c>
      <c r="F1083" s="5">
        <v>0.278596818447113</v>
      </c>
      <c r="G1083" s="5">
        <v>0.2928686439991</v>
      </c>
      <c r="H1083" s="5">
        <v>12.6002798080444</v>
      </c>
      <c r="I1083" t="s">
        <v>3</v>
      </c>
    </row>
    <row r="1084" spans="1:9">
      <c r="A1084" s="4" t="s">
        <v>2224</v>
      </c>
      <c r="B1084" s="4" t="s">
        <v>2225</v>
      </c>
      <c r="C1084" s="4" t="s">
        <v>27</v>
      </c>
      <c r="D1084" s="2">
        <f>11408207/(10^6)</f>
        <v>11.408207</v>
      </c>
      <c r="E1084" s="3" t="s">
        <v>86</v>
      </c>
      <c r="F1084" s="5">
        <v>0.209408134222031</v>
      </c>
      <c r="G1084" s="3" t="s">
        <v>86</v>
      </c>
      <c r="H1084" s="3" t="s">
        <v>86</v>
      </c>
      <c r="I1084" t="s">
        <v>3</v>
      </c>
    </row>
    <row r="1085" spans="1:9">
      <c r="A1085" s="4" t="s">
        <v>2226</v>
      </c>
      <c r="B1085" s="4" t="s">
        <v>2227</v>
      </c>
      <c r="C1085" s="4" t="s">
        <v>31</v>
      </c>
      <c r="D1085" s="2">
        <f>11323514/(10^6)</f>
        <v>11.323514</v>
      </c>
      <c r="E1085" s="3" t="s">
        <v>86</v>
      </c>
      <c r="F1085" s="5">
        <v>0.230609580874443</v>
      </c>
      <c r="G1085" s="5">
        <v>0.629855155944824</v>
      </c>
      <c r="H1085" s="3" t="s">
        <v>86</v>
      </c>
      <c r="I1085" t="s">
        <v>3</v>
      </c>
    </row>
    <row r="1086" spans="1:9">
      <c r="A1086" s="4" t="s">
        <v>2228</v>
      </c>
      <c r="B1086" s="4" t="s">
        <v>2229</v>
      </c>
      <c r="C1086" s="4" t="s">
        <v>31</v>
      </c>
      <c r="D1086" s="2">
        <f>11307940/(10^6)</f>
        <v>11.30794</v>
      </c>
      <c r="E1086" s="5">
        <v>7.22891569137573</v>
      </c>
      <c r="F1086" s="5">
        <v>0.604747235774994</v>
      </c>
      <c r="G1086" s="5">
        <v>0.225921481847763</v>
      </c>
      <c r="H1086" s="5">
        <v>2.48449015617371</v>
      </c>
      <c r="I1086" t="s">
        <v>3</v>
      </c>
    </row>
    <row r="1087" spans="1:9">
      <c r="A1087" s="4" t="s">
        <v>2230</v>
      </c>
      <c r="B1087" s="4" t="s">
        <v>2231</v>
      </c>
      <c r="C1087" s="4" t="s">
        <v>35</v>
      </c>
      <c r="D1087" s="2">
        <f>11262448/(10^6)</f>
        <v>11.262448</v>
      </c>
      <c r="E1087" s="3" t="s">
        <v>86</v>
      </c>
      <c r="F1087" s="5">
        <v>1.24910426139831</v>
      </c>
      <c r="G1087" s="5">
        <v>3.45015430450439</v>
      </c>
      <c r="H1087" s="3" t="s">
        <v>86</v>
      </c>
      <c r="I1087" t="s">
        <v>3</v>
      </c>
    </row>
    <row r="1088" spans="1:9">
      <c r="A1088" s="4" t="s">
        <v>2232</v>
      </c>
      <c r="B1088" s="4" t="s">
        <v>2233</v>
      </c>
      <c r="C1088" s="4" t="s">
        <v>31</v>
      </c>
      <c r="D1088" s="2">
        <f>11224188/(10^6)</f>
        <v>11.224188</v>
      </c>
      <c r="E1088" s="3" t="s">
        <v>86</v>
      </c>
      <c r="F1088" s="5">
        <v>0.398717045783997</v>
      </c>
      <c r="G1088" s="5">
        <v>0.465097069740295</v>
      </c>
      <c r="H1088" s="5">
        <v>4.04287052154541</v>
      </c>
      <c r="I1088" t="s">
        <v>3</v>
      </c>
    </row>
    <row r="1089" spans="1:9">
      <c r="A1089" s="4" t="s">
        <v>2234</v>
      </c>
      <c r="B1089" s="4" t="s">
        <v>2235</v>
      </c>
      <c r="C1089" s="4" t="s">
        <v>45</v>
      </c>
      <c r="D1089" s="2">
        <f>11038375/(10^6)</f>
        <v>11.038375</v>
      </c>
      <c r="E1089" s="5">
        <v>11.2210569381714</v>
      </c>
      <c r="F1089" s="5">
        <v>0.465670347213745</v>
      </c>
      <c r="G1089" s="5">
        <v>4.18707609176636</v>
      </c>
      <c r="H1089" s="5">
        <v>2.87142252922058</v>
      </c>
      <c r="I1089" t="s">
        <v>3</v>
      </c>
    </row>
    <row r="1090" spans="1:9">
      <c r="A1090" s="4" t="s">
        <v>2236</v>
      </c>
      <c r="B1090" s="4" t="s">
        <v>2237</v>
      </c>
      <c r="C1090" s="4" t="s">
        <v>49</v>
      </c>
      <c r="D1090" s="2">
        <f>11033041/(10^6)</f>
        <v>11.033041</v>
      </c>
      <c r="E1090" s="3" t="s">
        <v>86</v>
      </c>
      <c r="F1090" s="3" t="s">
        <v>86</v>
      </c>
      <c r="G1090" s="3" t="s">
        <v>86</v>
      </c>
      <c r="H1090" s="3" t="s">
        <v>86</v>
      </c>
      <c r="I1090" t="s">
        <v>3</v>
      </c>
    </row>
    <row r="1091" spans="1:9">
      <c r="A1091" s="4" t="s">
        <v>2238</v>
      </c>
      <c r="B1091" s="4" t="s">
        <v>2237</v>
      </c>
      <c r="C1091" s="4" t="s">
        <v>49</v>
      </c>
      <c r="D1091" s="2">
        <f>10971601/(10^6)</f>
        <v>10.971601</v>
      </c>
      <c r="E1091" s="3" t="s">
        <v>86</v>
      </c>
      <c r="F1091" s="3" t="s">
        <v>86</v>
      </c>
      <c r="G1091" s="3" t="s">
        <v>86</v>
      </c>
      <c r="H1091" s="3" t="s">
        <v>86</v>
      </c>
      <c r="I1091" t="s">
        <v>3</v>
      </c>
    </row>
    <row r="1092" spans="1:9">
      <c r="A1092" s="4" t="s">
        <v>2239</v>
      </c>
      <c r="B1092" s="4" t="s">
        <v>2240</v>
      </c>
      <c r="C1092" s="4" t="s">
        <v>51</v>
      </c>
      <c r="D1092" s="2">
        <f>10756762/(10^6)</f>
        <v>10.756762</v>
      </c>
      <c r="E1092" s="3" t="s">
        <v>86</v>
      </c>
      <c r="F1092" s="5">
        <v>0.235993474721909</v>
      </c>
      <c r="G1092" s="5">
        <v>0.425676465034485</v>
      </c>
      <c r="H1092" s="3" t="s">
        <v>86</v>
      </c>
      <c r="I1092" t="s">
        <v>3</v>
      </c>
    </row>
    <row r="1093" spans="1:9">
      <c r="A1093" s="4" t="s">
        <v>2241</v>
      </c>
      <c r="B1093" s="4" t="s">
        <v>2242</v>
      </c>
      <c r="C1093" s="4" t="s">
        <v>31</v>
      </c>
      <c r="D1093" s="2">
        <f>10655973/(10^6)</f>
        <v>10.655973</v>
      </c>
      <c r="E1093" s="3" t="s">
        <v>86</v>
      </c>
      <c r="F1093" s="5">
        <v>0.249667942523956</v>
      </c>
      <c r="G1093" s="5">
        <v>0.287263870239258</v>
      </c>
      <c r="H1093" s="5">
        <v>31.4319801330566</v>
      </c>
      <c r="I1093" t="s">
        <v>3</v>
      </c>
    </row>
    <row r="1094" spans="1:9">
      <c r="A1094" s="4" t="s">
        <v>2243</v>
      </c>
      <c r="B1094" s="4" t="s">
        <v>2244</v>
      </c>
      <c r="C1094" s="4" t="s">
        <v>35</v>
      </c>
      <c r="D1094" s="2">
        <f>10568602/(10^6)</f>
        <v>10.568602</v>
      </c>
      <c r="E1094" s="3" t="s">
        <v>86</v>
      </c>
      <c r="F1094" s="5">
        <v>0.788993537425995</v>
      </c>
      <c r="G1094" s="3" t="s">
        <v>86</v>
      </c>
      <c r="H1094" s="3" t="s">
        <v>86</v>
      </c>
      <c r="I1094" t="s">
        <v>3</v>
      </c>
    </row>
    <row r="1095" spans="1:9">
      <c r="A1095" s="4" t="s">
        <v>2245</v>
      </c>
      <c r="B1095" s="4" t="s">
        <v>2246</v>
      </c>
      <c r="C1095" s="4" t="s">
        <v>27</v>
      </c>
      <c r="D1095" s="2">
        <f>10561204/(10^6)</f>
        <v>10.561204</v>
      </c>
      <c r="E1095" s="3" t="s">
        <v>86</v>
      </c>
      <c r="F1095" s="5">
        <v>3.59215450286865</v>
      </c>
      <c r="G1095" s="5">
        <v>2.96041536331177</v>
      </c>
      <c r="H1095" s="5">
        <v>11.1605339050293</v>
      </c>
      <c r="I1095" t="s">
        <v>3</v>
      </c>
    </row>
    <row r="1096" spans="1:9">
      <c r="A1096" s="4" t="s">
        <v>2247</v>
      </c>
      <c r="B1096" s="4" t="s">
        <v>2248</v>
      </c>
      <c r="C1096" s="4" t="s">
        <v>47</v>
      </c>
      <c r="D1096" s="2">
        <f>10339951/(10^6)</f>
        <v>10.339951</v>
      </c>
      <c r="E1096" s="3" t="s">
        <v>86</v>
      </c>
      <c r="F1096" s="5">
        <v>1.04141640663147</v>
      </c>
      <c r="G1096" s="5">
        <v>0.78045266866684</v>
      </c>
      <c r="H1096" s="3" t="s">
        <v>86</v>
      </c>
      <c r="I1096" t="s">
        <v>3</v>
      </c>
    </row>
    <row r="1097" spans="1:9">
      <c r="A1097" s="4" t="s">
        <v>2249</v>
      </c>
      <c r="B1097" s="4" t="s">
        <v>2250</v>
      </c>
      <c r="C1097" s="4" t="s">
        <v>31</v>
      </c>
      <c r="D1097" s="2">
        <f>10317093/(10^6)</f>
        <v>10.317093</v>
      </c>
      <c r="E1097" s="5">
        <v>4.51219511032104</v>
      </c>
      <c r="F1097" s="5">
        <v>0.20776478946209</v>
      </c>
      <c r="G1097" s="5">
        <v>0.116087533533573</v>
      </c>
      <c r="H1097" s="5">
        <v>4.24539041519165</v>
      </c>
      <c r="I1097" t="s">
        <v>3</v>
      </c>
    </row>
    <row r="1098" spans="1:9">
      <c r="A1098" s="4" t="s">
        <v>2251</v>
      </c>
      <c r="B1098" s="4" t="s">
        <v>2252</v>
      </c>
      <c r="C1098" s="4" t="s">
        <v>35</v>
      </c>
      <c r="D1098" s="2">
        <f>10268376/(10^6)</f>
        <v>10.268376</v>
      </c>
      <c r="E1098" s="3" t="s">
        <v>86</v>
      </c>
      <c r="F1098" s="5">
        <v>1.01882994174957</v>
      </c>
      <c r="G1098" s="5">
        <v>0.096493259072304</v>
      </c>
      <c r="H1098" s="5">
        <v>7.48487758636475</v>
      </c>
      <c r="I1098" t="s">
        <v>3</v>
      </c>
    </row>
    <row r="1099" spans="1:9">
      <c r="A1099" s="4" t="s">
        <v>2253</v>
      </c>
      <c r="B1099" s="4" t="s">
        <v>2254</v>
      </c>
      <c r="C1099" s="4" t="s">
        <v>49</v>
      </c>
      <c r="D1099" s="2">
        <f>10209418/(10^6)</f>
        <v>10.209418</v>
      </c>
      <c r="E1099" s="3" t="s">
        <v>86</v>
      </c>
      <c r="F1099" s="3" t="s">
        <v>86</v>
      </c>
      <c r="G1099" s="3" t="s">
        <v>86</v>
      </c>
      <c r="H1099" s="3" t="s">
        <v>86</v>
      </c>
      <c r="I1099" t="s">
        <v>3</v>
      </c>
    </row>
    <row r="1100" spans="1:9">
      <c r="A1100" s="4" t="s">
        <v>2255</v>
      </c>
      <c r="B1100" s="4" t="s">
        <v>2256</v>
      </c>
      <c r="C1100" s="4" t="s">
        <v>37</v>
      </c>
      <c r="D1100" s="2">
        <f>10120339/(10^6)</f>
        <v>10.120339</v>
      </c>
      <c r="E1100" s="5">
        <v>6.69523286819458</v>
      </c>
      <c r="F1100" s="5">
        <v>0.242419540882111</v>
      </c>
      <c r="G1100" s="5">
        <v>0.24268664419651</v>
      </c>
      <c r="H1100" s="5">
        <v>6.59472179412842</v>
      </c>
      <c r="I1100" t="s">
        <v>3</v>
      </c>
    </row>
    <row r="1101" spans="1:9">
      <c r="A1101" s="4" t="s">
        <v>2257</v>
      </c>
      <c r="B1101" s="4" t="s">
        <v>2258</v>
      </c>
      <c r="C1101" s="4" t="s">
        <v>51</v>
      </c>
      <c r="D1101" s="2">
        <f>10046440/(10^6)</f>
        <v>10.04644</v>
      </c>
      <c r="E1101" s="5">
        <v>1.80952370166779</v>
      </c>
      <c r="F1101" s="5">
        <v>0.170708253979683</v>
      </c>
      <c r="G1101" s="5">
        <v>0.190780282020569</v>
      </c>
      <c r="H1101" s="3" t="s">
        <v>86</v>
      </c>
      <c r="I1101" t="s">
        <v>3</v>
      </c>
    </row>
    <row r="1102" spans="1:9">
      <c r="A1102" s="4" t="s">
        <v>2259</v>
      </c>
      <c r="B1102" s="4" t="s">
        <v>2260</v>
      </c>
      <c r="C1102" s="4" t="s">
        <v>51</v>
      </c>
      <c r="D1102" s="2">
        <f>10039053/(10^6)</f>
        <v>10.039053</v>
      </c>
      <c r="E1102" s="3" t="s">
        <v>86</v>
      </c>
      <c r="F1102" s="5">
        <v>0.341175109148026</v>
      </c>
      <c r="G1102" s="3" t="s">
        <v>86</v>
      </c>
      <c r="H1102" s="3" t="s">
        <v>86</v>
      </c>
      <c r="I1102" t="s">
        <v>3</v>
      </c>
    </row>
    <row r="1103" spans="1:9">
      <c r="A1103" s="4" t="s">
        <v>2261</v>
      </c>
      <c r="B1103" s="4" t="s">
        <v>2262</v>
      </c>
      <c r="C1103" s="4" t="s">
        <v>47</v>
      </c>
      <c r="D1103" s="2">
        <f>191315230720/(10^6)</f>
        <v>191315.23072</v>
      </c>
      <c r="E1103" s="5">
        <v>23.8946914672852</v>
      </c>
      <c r="F1103" s="5">
        <v>4.68809938430786</v>
      </c>
      <c r="G1103" s="5">
        <v>3.19288897514343</v>
      </c>
      <c r="H1103" s="5">
        <v>11.8574323654175</v>
      </c>
      <c r="I1103" t="s">
        <v>56</v>
      </c>
    </row>
    <row r="1104" spans="1:9">
      <c r="A1104" s="4" t="s">
        <v>2263</v>
      </c>
      <c r="B1104" s="4" t="s">
        <v>2264</v>
      </c>
      <c r="C1104" s="4" t="s">
        <v>35</v>
      </c>
      <c r="D1104" s="2">
        <f>148577746944/(10^6)</f>
        <v>148577.746944</v>
      </c>
      <c r="E1104" s="5">
        <v>35.591724395752</v>
      </c>
      <c r="F1104" s="5">
        <v>4.50184774398804</v>
      </c>
      <c r="G1104" s="5">
        <v>4.47076606750488</v>
      </c>
      <c r="H1104" s="5">
        <v>18.1258487701416</v>
      </c>
      <c r="I1104" t="s">
        <v>56</v>
      </c>
    </row>
    <row r="1105" spans="1:9">
      <c r="A1105" s="4" t="s">
        <v>2265</v>
      </c>
      <c r="B1105" s="4" t="s">
        <v>2266</v>
      </c>
      <c r="C1105" s="4" t="s">
        <v>51</v>
      </c>
      <c r="D1105" s="2">
        <f>134922502144/(10^6)</f>
        <v>134922.502144</v>
      </c>
      <c r="E1105" s="5">
        <v>35.9354858398438</v>
      </c>
      <c r="F1105" s="5">
        <v>3.89223837852478</v>
      </c>
      <c r="G1105" s="5">
        <v>4.34504890441895</v>
      </c>
      <c r="H1105" s="5">
        <v>20.8009033203125</v>
      </c>
      <c r="I1105" t="s">
        <v>56</v>
      </c>
    </row>
    <row r="1106" spans="1:9">
      <c r="A1106" s="4" t="s">
        <v>2267</v>
      </c>
      <c r="B1106" s="4" t="s">
        <v>2268</v>
      </c>
      <c r="C1106" s="4" t="s">
        <v>35</v>
      </c>
      <c r="D1106" s="2">
        <f>125979697152/(10^6)</f>
        <v>125979.697152</v>
      </c>
      <c r="E1106" s="5">
        <v>19.6005954742432</v>
      </c>
      <c r="F1106" s="5">
        <v>8.36305332183838</v>
      </c>
      <c r="G1106" s="5">
        <v>2.12219381332398</v>
      </c>
      <c r="H1106" s="5">
        <v>12.8369550704956</v>
      </c>
      <c r="I1106" t="s">
        <v>56</v>
      </c>
    </row>
    <row r="1107" spans="1:9">
      <c r="A1107" s="4" t="s">
        <v>2269</v>
      </c>
      <c r="B1107" s="4" t="s">
        <v>2270</v>
      </c>
      <c r="C1107" s="4" t="s">
        <v>47</v>
      </c>
      <c r="D1107" s="2">
        <f>113734418432/(10^6)</f>
        <v>113734.418432</v>
      </c>
      <c r="E1107" s="3" t="s">
        <v>86</v>
      </c>
      <c r="F1107" s="5">
        <v>3.8899130821228</v>
      </c>
      <c r="G1107" s="3" t="s">
        <v>86</v>
      </c>
      <c r="H1107" s="3" t="s">
        <v>86</v>
      </c>
      <c r="I1107" t="s">
        <v>56</v>
      </c>
    </row>
    <row r="1108" spans="1:9">
      <c r="A1108" s="4" t="s">
        <v>2271</v>
      </c>
      <c r="B1108" s="4" t="s">
        <v>2272</v>
      </c>
      <c r="C1108" s="4" t="s">
        <v>51</v>
      </c>
      <c r="D1108" s="2">
        <f>108317458432/(10^6)</f>
        <v>108317.458432</v>
      </c>
      <c r="E1108" s="5">
        <v>38.0519485473633</v>
      </c>
      <c r="F1108" s="5">
        <v>7.81464910507202</v>
      </c>
      <c r="G1108" s="5">
        <v>8.3430347442627</v>
      </c>
      <c r="H1108" s="5">
        <v>29.7260131835938</v>
      </c>
      <c r="I1108" t="s">
        <v>56</v>
      </c>
    </row>
    <row r="1109" spans="1:9">
      <c r="A1109" s="4" t="s">
        <v>2273</v>
      </c>
      <c r="B1109" s="4" t="s">
        <v>2274</v>
      </c>
      <c r="C1109" s="4" t="s">
        <v>41</v>
      </c>
      <c r="D1109" s="2">
        <f>107099373568/(10^6)</f>
        <v>107099.373568</v>
      </c>
      <c r="E1109" s="5">
        <v>33.0632820129395</v>
      </c>
      <c r="F1109" s="5">
        <v>1.63371419906616</v>
      </c>
      <c r="G1109" s="5">
        <v>2.55086874961853</v>
      </c>
      <c r="H1109" s="5">
        <v>16.81081199646</v>
      </c>
      <c r="I1109" t="s">
        <v>56</v>
      </c>
    </row>
    <row r="1110" spans="1:9">
      <c r="A1110" s="4" t="s">
        <v>2275</v>
      </c>
      <c r="B1110" s="4" t="s">
        <v>2276</v>
      </c>
      <c r="C1110" s="4" t="s">
        <v>27</v>
      </c>
      <c r="D1110" s="2">
        <f>93040148480/(10^6)</f>
        <v>93040.14848</v>
      </c>
      <c r="E1110" s="5">
        <v>8.3423376083374</v>
      </c>
      <c r="F1110" s="5">
        <v>0.858483672142029</v>
      </c>
      <c r="G1110" s="5">
        <v>0.532208383083344</v>
      </c>
      <c r="H1110" s="5">
        <v>4.10316133499146</v>
      </c>
      <c r="I1110" t="s">
        <v>56</v>
      </c>
    </row>
    <row r="1111" spans="1:9">
      <c r="A1111" s="4" t="s">
        <v>2277</v>
      </c>
      <c r="B1111" s="4" t="s">
        <v>2278</v>
      </c>
      <c r="C1111" s="4" t="s">
        <v>37</v>
      </c>
      <c r="D1111" s="2">
        <f>88667095040/(10^6)</f>
        <v>88667.09504</v>
      </c>
      <c r="E1111" s="5">
        <v>22.7708473205566</v>
      </c>
      <c r="F1111" s="5">
        <v>1.81981635093689</v>
      </c>
      <c r="G1111" s="5">
        <v>3.20789384841919</v>
      </c>
      <c r="H1111" s="5">
        <v>17.2026863098145</v>
      </c>
      <c r="I1111" t="s">
        <v>56</v>
      </c>
    </row>
    <row r="1112" spans="1:9">
      <c r="A1112" s="4" t="s">
        <v>2279</v>
      </c>
      <c r="B1112" s="4" t="s">
        <v>2280</v>
      </c>
      <c r="C1112" s="4" t="s">
        <v>35</v>
      </c>
      <c r="D1112" s="2">
        <f>86725173248/(10^6)</f>
        <v>86725.173248</v>
      </c>
      <c r="E1112" s="5">
        <v>9.46748733520508</v>
      </c>
      <c r="F1112" s="5">
        <v>1.08137357234955</v>
      </c>
      <c r="G1112" s="5">
        <v>1.58439648151398</v>
      </c>
      <c r="H1112" s="5">
        <v>9.21514701843262</v>
      </c>
      <c r="I1112" t="s">
        <v>56</v>
      </c>
    </row>
    <row r="1113" spans="1:9">
      <c r="A1113" s="4" t="s">
        <v>2281</v>
      </c>
      <c r="B1113" s="4" t="s">
        <v>2282</v>
      </c>
      <c r="C1113" s="4" t="s">
        <v>47</v>
      </c>
      <c r="D1113" s="2">
        <f>79447547904/(10^6)</f>
        <v>79447.547904</v>
      </c>
      <c r="E1113" s="5">
        <v>19.4055461883545</v>
      </c>
      <c r="F1113" s="5">
        <v>4.73641967773438</v>
      </c>
      <c r="G1113" s="5">
        <v>2.49712920188904</v>
      </c>
      <c r="H1113" s="5">
        <v>9.27070617675781</v>
      </c>
      <c r="I1113" t="s">
        <v>56</v>
      </c>
    </row>
    <row r="1114" spans="1:9">
      <c r="A1114" s="4" t="s">
        <v>2283</v>
      </c>
      <c r="B1114" s="4" t="s">
        <v>2284</v>
      </c>
      <c r="C1114" s="4" t="s">
        <v>47</v>
      </c>
      <c r="D1114" s="2">
        <f>75500716032/(10^6)</f>
        <v>75500.716032</v>
      </c>
      <c r="E1114" s="5">
        <v>43.4256019592285</v>
      </c>
      <c r="F1114" s="5">
        <v>10.1067342758179</v>
      </c>
      <c r="G1114" s="5">
        <v>9.64776992797852</v>
      </c>
      <c r="H1114" s="5">
        <v>23.2748050689697</v>
      </c>
      <c r="I1114" t="s">
        <v>56</v>
      </c>
    </row>
    <row r="1115" spans="1:9">
      <c r="A1115" s="4" t="s">
        <v>2285</v>
      </c>
      <c r="B1115" s="4" t="s">
        <v>2286</v>
      </c>
      <c r="C1115" s="4" t="s">
        <v>43</v>
      </c>
      <c r="D1115" s="2">
        <f>70457335808/(10^6)</f>
        <v>70457.335808</v>
      </c>
      <c r="E1115" s="5">
        <v>7.92440795898438</v>
      </c>
      <c r="F1115" s="5">
        <v>0.847216486930847</v>
      </c>
      <c r="G1115" s="5">
        <v>0.556496262550354</v>
      </c>
      <c r="H1115" s="3" t="s">
        <v>86</v>
      </c>
      <c r="I1115" t="s">
        <v>56</v>
      </c>
    </row>
    <row r="1116" spans="1:9">
      <c r="A1116" s="4" t="s">
        <v>2287</v>
      </c>
      <c r="B1116" s="4" t="s">
        <v>2288</v>
      </c>
      <c r="C1116" s="4" t="s">
        <v>39</v>
      </c>
      <c r="D1116" s="2">
        <f>69384175616/(10^6)</f>
        <v>69384.175616</v>
      </c>
      <c r="E1116" s="5">
        <v>29.5965194702148</v>
      </c>
      <c r="F1116" s="5">
        <v>2.08304333686829</v>
      </c>
      <c r="G1116" s="5">
        <v>0.817827224731445</v>
      </c>
      <c r="H1116" s="5">
        <v>7.73290538787842</v>
      </c>
      <c r="I1116" t="s">
        <v>56</v>
      </c>
    </row>
    <row r="1117" spans="1:9">
      <c r="A1117" s="4" t="s">
        <v>2289</v>
      </c>
      <c r="B1117" s="4" t="s">
        <v>2290</v>
      </c>
      <c r="C1117" s="4" t="s">
        <v>31</v>
      </c>
      <c r="D1117" s="2">
        <f>68065910784/(10^6)</f>
        <v>68065.910784</v>
      </c>
      <c r="E1117" s="5">
        <v>11.3549385070801</v>
      </c>
      <c r="F1117" s="5">
        <v>1.27016651630402</v>
      </c>
      <c r="G1117" s="5">
        <v>0.683584928512573</v>
      </c>
      <c r="H1117" s="5">
        <v>8.24749183654785</v>
      </c>
      <c r="I1117" t="s">
        <v>56</v>
      </c>
    </row>
    <row r="1118" spans="1:9">
      <c r="A1118" s="4" t="s">
        <v>2291</v>
      </c>
      <c r="B1118" s="4" t="s">
        <v>2292</v>
      </c>
      <c r="C1118" s="4" t="s">
        <v>47</v>
      </c>
      <c r="D1118" s="2">
        <f>67138879488/(10^6)</f>
        <v>67138.879488</v>
      </c>
      <c r="E1118" s="5">
        <v>26.9927654266357</v>
      </c>
      <c r="F1118" s="5">
        <v>5.7751522064209</v>
      </c>
      <c r="G1118" s="5">
        <v>3.7135910987854</v>
      </c>
      <c r="H1118" s="5">
        <v>11.6662454605103</v>
      </c>
      <c r="I1118" t="s">
        <v>56</v>
      </c>
    </row>
    <row r="1119" spans="1:9">
      <c r="A1119" s="4" t="s">
        <v>2293</v>
      </c>
      <c r="B1119" s="4" t="s">
        <v>2294</v>
      </c>
      <c r="C1119" s="4" t="s">
        <v>47</v>
      </c>
      <c r="D1119" s="2">
        <f>63886839808/(10^6)</f>
        <v>63886.839808</v>
      </c>
      <c r="E1119" s="5">
        <v>19.3238105773926</v>
      </c>
      <c r="F1119" s="5">
        <v>5.22609090805054</v>
      </c>
      <c r="G1119" s="5">
        <v>1.05813908576965</v>
      </c>
      <c r="H1119" s="5">
        <v>6.24288558959961</v>
      </c>
      <c r="I1119" t="s">
        <v>56</v>
      </c>
    </row>
    <row r="1120" spans="1:9">
      <c r="A1120" s="4" t="s">
        <v>2295</v>
      </c>
      <c r="B1120" s="4" t="s">
        <v>2296</v>
      </c>
      <c r="C1120" s="4" t="s">
        <v>39</v>
      </c>
      <c r="D1120" s="2">
        <f>63156588544/(10^6)</f>
        <v>63156.588544</v>
      </c>
      <c r="E1120" s="5">
        <v>16.4212760925293</v>
      </c>
      <c r="F1120" s="5">
        <v>1.38131952285767</v>
      </c>
      <c r="G1120" s="5">
        <v>1.5414229631424</v>
      </c>
      <c r="H1120" s="5">
        <v>10.4162034988403</v>
      </c>
      <c r="I1120" t="s">
        <v>56</v>
      </c>
    </row>
    <row r="1121" spans="1:9">
      <c r="A1121" s="4" t="s">
        <v>2297</v>
      </c>
      <c r="B1121" s="4" t="s">
        <v>2298</v>
      </c>
      <c r="C1121" s="4" t="s">
        <v>47</v>
      </c>
      <c r="D1121" s="2">
        <f>62618988544/(10^6)</f>
        <v>62618.988544</v>
      </c>
      <c r="E1121" s="5">
        <v>4.4683313369751</v>
      </c>
      <c r="F1121" s="5">
        <v>0.546004712581635</v>
      </c>
      <c r="G1121" s="5">
        <v>0.235831886529922</v>
      </c>
      <c r="H1121" s="5">
        <v>0.960214078426361</v>
      </c>
      <c r="I1121" t="s">
        <v>56</v>
      </c>
    </row>
    <row r="1122" spans="1:9">
      <c r="A1122" s="4" t="s">
        <v>2299</v>
      </c>
      <c r="B1122" s="4" t="s">
        <v>2300</v>
      </c>
      <c r="C1122" s="4" t="s">
        <v>33</v>
      </c>
      <c r="D1122" s="2">
        <f>61083881472/(10^6)</f>
        <v>61083.881472</v>
      </c>
      <c r="E1122" s="5">
        <v>14.3858499526978</v>
      </c>
      <c r="F1122" s="5">
        <v>1.75985658168793</v>
      </c>
      <c r="G1122" s="5">
        <v>0.692950367927551</v>
      </c>
      <c r="H1122" s="5">
        <v>5.47843217849731</v>
      </c>
      <c r="I1122" t="s">
        <v>56</v>
      </c>
    </row>
    <row r="1123" spans="1:9">
      <c r="A1123" s="4" t="s">
        <v>2301</v>
      </c>
      <c r="B1123" s="4" t="s">
        <v>2302</v>
      </c>
      <c r="C1123" s="4" t="s">
        <v>31</v>
      </c>
      <c r="D1123" s="2">
        <f>59197628416/(10^6)</f>
        <v>59197.628416</v>
      </c>
      <c r="E1123" s="3" t="s">
        <v>86</v>
      </c>
      <c r="F1123" s="5">
        <v>8.22375297546387</v>
      </c>
      <c r="G1123" s="5">
        <v>0.687099277973175</v>
      </c>
      <c r="H1123" s="5">
        <v>10.0408143997192</v>
      </c>
      <c r="I1123" t="s">
        <v>56</v>
      </c>
    </row>
    <row r="1124" spans="1:9">
      <c r="A1124" s="4" t="s">
        <v>2303</v>
      </c>
      <c r="B1124" s="4" t="s">
        <v>2304</v>
      </c>
      <c r="C1124" s="4" t="s">
        <v>37</v>
      </c>
      <c r="D1124" s="2">
        <f>56096923648/(10^6)</f>
        <v>56096.923648</v>
      </c>
      <c r="E1124" s="5">
        <v>24.1232280731201</v>
      </c>
      <c r="F1124" s="5">
        <v>2.73357391357422</v>
      </c>
      <c r="G1124" s="5">
        <v>2.45570111274719</v>
      </c>
      <c r="H1124" s="5">
        <v>11.272834777832</v>
      </c>
      <c r="I1124" t="s">
        <v>56</v>
      </c>
    </row>
    <row r="1125" spans="1:9">
      <c r="A1125" s="4" t="s">
        <v>2305</v>
      </c>
      <c r="B1125" s="4" t="s">
        <v>2306</v>
      </c>
      <c r="C1125" s="4" t="s">
        <v>41</v>
      </c>
      <c r="D1125" s="2">
        <f>54759706624/(10^6)</f>
        <v>54759.706624</v>
      </c>
      <c r="E1125" s="5">
        <v>20.4647464752197</v>
      </c>
      <c r="F1125" s="5">
        <v>1.04350256919861</v>
      </c>
      <c r="G1125" s="5">
        <v>1.13338398933411</v>
      </c>
      <c r="H1125" s="5">
        <v>8.70142936706543</v>
      </c>
      <c r="I1125" t="s">
        <v>56</v>
      </c>
    </row>
    <row r="1126" spans="1:9">
      <c r="A1126" s="4" t="s">
        <v>2307</v>
      </c>
      <c r="B1126" s="4" t="s">
        <v>2308</v>
      </c>
      <c r="C1126" s="4" t="s">
        <v>31</v>
      </c>
      <c r="D1126" s="2">
        <f>51296202752/(10^6)</f>
        <v>51296.202752</v>
      </c>
      <c r="E1126" s="5">
        <v>17.7848625183105</v>
      </c>
      <c r="F1126" s="5">
        <v>2.13001298904419</v>
      </c>
      <c r="G1126" s="5">
        <v>1.59453976154327</v>
      </c>
      <c r="H1126" s="5">
        <v>11.5224771499634</v>
      </c>
      <c r="I1126" t="s">
        <v>56</v>
      </c>
    </row>
    <row r="1127" spans="1:9">
      <c r="A1127" s="4" t="s">
        <v>2309</v>
      </c>
      <c r="B1127" s="4" t="s">
        <v>2310</v>
      </c>
      <c r="C1127" s="4" t="s">
        <v>47</v>
      </c>
      <c r="D1127" s="2">
        <f>49756295168/(10^6)</f>
        <v>49756.295168</v>
      </c>
      <c r="E1127" s="5">
        <v>40.238468170166</v>
      </c>
      <c r="F1127" s="5">
        <v>1.24676489830017</v>
      </c>
      <c r="G1127" s="5">
        <v>2.49459981918335</v>
      </c>
      <c r="H1127" s="5">
        <v>13.1584634780884</v>
      </c>
      <c r="I1127" t="s">
        <v>56</v>
      </c>
    </row>
    <row r="1128" spans="1:9">
      <c r="A1128" s="4" t="s">
        <v>2311</v>
      </c>
      <c r="B1128" s="4" t="s">
        <v>2312</v>
      </c>
      <c r="C1128" s="4" t="s">
        <v>31</v>
      </c>
      <c r="D1128" s="2">
        <f>48154161152/(10^6)</f>
        <v>48154.161152</v>
      </c>
      <c r="E1128" s="5">
        <v>11.9254302978516</v>
      </c>
      <c r="F1128" s="5">
        <v>1.94288671016693</v>
      </c>
      <c r="G1128" s="5">
        <v>0.802112698554993</v>
      </c>
      <c r="H1128" s="5">
        <v>8.22436428070068</v>
      </c>
      <c r="I1128" t="s">
        <v>56</v>
      </c>
    </row>
    <row r="1129" spans="1:9">
      <c r="A1129" s="4" t="s">
        <v>2313</v>
      </c>
      <c r="B1129" s="4" t="s">
        <v>2314</v>
      </c>
      <c r="C1129" s="4" t="s">
        <v>35</v>
      </c>
      <c r="D1129" s="2">
        <f>46073782272/(10^6)</f>
        <v>46073.782272</v>
      </c>
      <c r="E1129" s="5">
        <v>18.6983070373535</v>
      </c>
      <c r="F1129" s="5">
        <v>2.50957942008972</v>
      </c>
      <c r="G1129" s="5">
        <v>1.69081842899323</v>
      </c>
      <c r="H1129" s="5">
        <v>10.3626308441162</v>
      </c>
      <c r="I1129" t="s">
        <v>56</v>
      </c>
    </row>
    <row r="1130" spans="1:9">
      <c r="A1130" s="4" t="s">
        <v>2315</v>
      </c>
      <c r="B1130" s="4" t="s">
        <v>2316</v>
      </c>
      <c r="C1130" s="4" t="s">
        <v>47</v>
      </c>
      <c r="D1130" s="2">
        <f>45644292096/(10^6)</f>
        <v>45644.292096</v>
      </c>
      <c r="E1130" s="5">
        <v>21.0494365692139</v>
      </c>
      <c r="F1130" s="5">
        <v>5.87735176086426</v>
      </c>
      <c r="G1130" s="5">
        <v>1.70369970798492</v>
      </c>
      <c r="H1130" s="5">
        <v>11.1557140350342</v>
      </c>
      <c r="I1130" t="s">
        <v>56</v>
      </c>
    </row>
    <row r="1131" spans="1:9">
      <c r="A1131" s="4" t="s">
        <v>2317</v>
      </c>
      <c r="B1131" s="4" t="s">
        <v>2318</v>
      </c>
      <c r="C1131" s="4" t="s">
        <v>41</v>
      </c>
      <c r="D1131" s="2">
        <f>43107749888/(10^6)</f>
        <v>43107.749888</v>
      </c>
      <c r="E1131" s="5">
        <v>30.4140796661377</v>
      </c>
      <c r="F1131" s="5">
        <v>2.19360113143921</v>
      </c>
      <c r="G1131" s="5">
        <v>2.42640924453735</v>
      </c>
      <c r="H1131" s="5">
        <v>12.8688812255859</v>
      </c>
      <c r="I1131" t="s">
        <v>56</v>
      </c>
    </row>
    <row r="1132" spans="1:9">
      <c r="A1132" s="4" t="s">
        <v>2319</v>
      </c>
      <c r="B1132" s="4" t="s">
        <v>2320</v>
      </c>
      <c r="C1132" s="4" t="s">
        <v>43</v>
      </c>
      <c r="D1132" s="2">
        <f>42610507776/(10^6)</f>
        <v>42610.507776</v>
      </c>
      <c r="E1132" s="5">
        <v>5.98102998733521</v>
      </c>
      <c r="F1132" s="5">
        <v>0.366501599550247</v>
      </c>
      <c r="G1132" s="5">
        <v>0.512726962566376</v>
      </c>
      <c r="H1132" s="3" t="s">
        <v>86</v>
      </c>
      <c r="I1132" t="s">
        <v>56</v>
      </c>
    </row>
    <row r="1133" spans="1:9">
      <c r="A1133" s="4" t="s">
        <v>2321</v>
      </c>
      <c r="B1133" s="4" t="s">
        <v>2322</v>
      </c>
      <c r="C1133" s="4" t="s">
        <v>35</v>
      </c>
      <c r="D1133" s="2">
        <f>42390147072/(10^6)</f>
        <v>42390.147072</v>
      </c>
      <c r="E1133" s="5">
        <v>18.5659351348877</v>
      </c>
      <c r="F1133" s="5">
        <v>2.07370829582214</v>
      </c>
      <c r="G1133" s="5">
        <v>1.41252660751343</v>
      </c>
      <c r="H1133" s="5">
        <v>11.1281957626343</v>
      </c>
      <c r="I1133" t="s">
        <v>56</v>
      </c>
    </row>
    <row r="1134" spans="1:9">
      <c r="A1134" s="4" t="s">
        <v>2323</v>
      </c>
      <c r="B1134" s="4" t="s">
        <v>2324</v>
      </c>
      <c r="C1134" s="4" t="s">
        <v>37</v>
      </c>
      <c r="D1134" s="2">
        <f>41820975104/(10^6)</f>
        <v>41820.975104</v>
      </c>
      <c r="E1134" s="5">
        <v>15.138331413269</v>
      </c>
      <c r="F1134" s="5">
        <v>0.913786351680756</v>
      </c>
      <c r="G1134" s="5">
        <v>0.639277875423431</v>
      </c>
      <c r="H1134" s="5">
        <v>6.64228916168213</v>
      </c>
      <c r="I1134" t="s">
        <v>56</v>
      </c>
    </row>
    <row r="1135" spans="1:9">
      <c r="A1135" s="4" t="s">
        <v>2325</v>
      </c>
      <c r="B1135" s="4" t="s">
        <v>2326</v>
      </c>
      <c r="C1135" s="4" t="s">
        <v>43</v>
      </c>
      <c r="D1135" s="2">
        <f>41529917440/(10^6)</f>
        <v>41529.91744</v>
      </c>
      <c r="E1135" s="5">
        <v>9.33656406402588</v>
      </c>
      <c r="F1135" s="5">
        <v>0.565178632736206</v>
      </c>
      <c r="G1135" s="5">
        <v>0.271767735481262</v>
      </c>
      <c r="H1135" s="3" t="s">
        <v>86</v>
      </c>
      <c r="I1135" t="s">
        <v>56</v>
      </c>
    </row>
    <row r="1136" spans="1:9">
      <c r="A1136" s="4" t="s">
        <v>2327</v>
      </c>
      <c r="B1136" s="4" t="s">
        <v>2328</v>
      </c>
      <c r="C1136" s="4" t="s">
        <v>43</v>
      </c>
      <c r="D1136" s="2">
        <f>41400078336/(10^6)</f>
        <v>41400.078336</v>
      </c>
      <c r="E1136" s="5">
        <v>4.44881677627563</v>
      </c>
      <c r="F1136" s="5">
        <v>0.354360401630402</v>
      </c>
      <c r="G1136" s="5">
        <v>0.784231841564178</v>
      </c>
      <c r="H1136" s="3" t="s">
        <v>86</v>
      </c>
      <c r="I1136" t="s">
        <v>56</v>
      </c>
    </row>
    <row r="1137" spans="1:9">
      <c r="A1137" s="4" t="s">
        <v>2329</v>
      </c>
      <c r="B1137" s="4" t="s">
        <v>2330</v>
      </c>
      <c r="C1137" s="4" t="s">
        <v>31</v>
      </c>
      <c r="D1137" s="2">
        <f>41213571072/(10^6)</f>
        <v>41213.571072</v>
      </c>
      <c r="E1137" s="5">
        <v>14.8862657546997</v>
      </c>
      <c r="F1137" s="5">
        <v>2.90560674667358</v>
      </c>
      <c r="G1137" s="5">
        <v>1.4489848613739</v>
      </c>
      <c r="H1137" s="5">
        <v>7.99230766296387</v>
      </c>
      <c r="I1137" t="s">
        <v>56</v>
      </c>
    </row>
    <row r="1138" spans="1:9">
      <c r="A1138" s="4" t="s">
        <v>2331</v>
      </c>
      <c r="B1138" s="4" t="s">
        <v>2332</v>
      </c>
      <c r="C1138" s="4" t="s">
        <v>35</v>
      </c>
      <c r="D1138" s="2">
        <f>38244216832/(10^6)</f>
        <v>38244.216832</v>
      </c>
      <c r="E1138" s="5">
        <v>22.7482776641846</v>
      </c>
      <c r="F1138" s="5">
        <v>2.13355207443237</v>
      </c>
      <c r="G1138" s="5">
        <v>3.55030488967896</v>
      </c>
      <c r="H1138" s="5">
        <v>15.4553918838501</v>
      </c>
      <c r="I1138" t="s">
        <v>56</v>
      </c>
    </row>
    <row r="1139" spans="1:9">
      <c r="A1139" s="4" t="s">
        <v>2333</v>
      </c>
      <c r="B1139" s="4" t="s">
        <v>2334</v>
      </c>
      <c r="C1139" s="4" t="s">
        <v>51</v>
      </c>
      <c r="D1139" s="2">
        <f>38093266944/(10^6)</f>
        <v>38093.266944</v>
      </c>
      <c r="E1139" s="5">
        <v>54.8945198059082</v>
      </c>
      <c r="F1139" s="5">
        <v>6.48081254959106</v>
      </c>
      <c r="G1139" s="5">
        <v>8.40237903594971</v>
      </c>
      <c r="H1139" s="5">
        <v>31.2335796356201</v>
      </c>
      <c r="I1139" t="s">
        <v>56</v>
      </c>
    </row>
    <row r="1140" spans="1:9">
      <c r="A1140" s="4" t="s">
        <v>2335</v>
      </c>
      <c r="B1140" s="4" t="s">
        <v>2336</v>
      </c>
      <c r="C1140" s="4" t="s">
        <v>41</v>
      </c>
      <c r="D1140" s="2">
        <f>37144801280/(10^6)</f>
        <v>37144.80128</v>
      </c>
      <c r="E1140" s="5">
        <v>22.6241836547852</v>
      </c>
      <c r="F1140" s="5">
        <v>3.5220799446106</v>
      </c>
      <c r="G1140" s="5">
        <v>2.33837747573852</v>
      </c>
      <c r="H1140" s="5">
        <v>13.312370300293</v>
      </c>
      <c r="I1140" t="s">
        <v>56</v>
      </c>
    </row>
    <row r="1141" spans="1:9">
      <c r="A1141" s="4" t="s">
        <v>2337</v>
      </c>
      <c r="B1141" s="4" t="s">
        <v>2338</v>
      </c>
      <c r="C1141" s="4" t="s">
        <v>41</v>
      </c>
      <c r="D1141" s="2">
        <f>35103703040/(10^6)</f>
        <v>35103.70304</v>
      </c>
      <c r="E1141" s="5">
        <v>26.7612133026123</v>
      </c>
      <c r="F1141" s="5">
        <v>2.49072337150574</v>
      </c>
      <c r="G1141" s="5">
        <v>1.63119637966156</v>
      </c>
      <c r="H1141" s="5">
        <v>11.7022924423218</v>
      </c>
      <c r="I1141" t="s">
        <v>56</v>
      </c>
    </row>
    <row r="1142" spans="1:9">
      <c r="A1142" s="4" t="s">
        <v>2339</v>
      </c>
      <c r="B1142" s="4" t="s">
        <v>2340</v>
      </c>
      <c r="C1142" s="4" t="s">
        <v>27</v>
      </c>
      <c r="D1142" s="2">
        <f>33111099392/(10^6)</f>
        <v>33111.099392</v>
      </c>
      <c r="E1142" s="5">
        <v>204.274765014648</v>
      </c>
      <c r="F1142" s="5">
        <v>0.615034699440002</v>
      </c>
      <c r="G1142" s="5">
        <v>0.421414881944656</v>
      </c>
      <c r="H1142" s="5">
        <v>3.22954344749451</v>
      </c>
      <c r="I1142" t="s">
        <v>56</v>
      </c>
    </row>
    <row r="1143" spans="1:9">
      <c r="A1143" s="4" t="s">
        <v>2341</v>
      </c>
      <c r="B1143" s="4" t="s">
        <v>2342</v>
      </c>
      <c r="C1143" s="4" t="s">
        <v>47</v>
      </c>
      <c r="D1143" s="2">
        <f>32414408704/(10^6)</f>
        <v>32414.408704</v>
      </c>
      <c r="E1143" s="5">
        <v>6.03839254379272</v>
      </c>
      <c r="F1143" s="5">
        <v>0.49577397108078</v>
      </c>
      <c r="G1143" s="5">
        <v>0.282230794429779</v>
      </c>
      <c r="H1143" s="5">
        <v>4.75687217712402</v>
      </c>
      <c r="I1143" t="s">
        <v>56</v>
      </c>
    </row>
    <row r="1144" spans="1:9">
      <c r="A1144" s="4" t="s">
        <v>2343</v>
      </c>
      <c r="B1144" s="4" t="s">
        <v>2344</v>
      </c>
      <c r="C1144" s="4" t="s">
        <v>35</v>
      </c>
      <c r="D1144" s="2">
        <f>32373964800/(10^6)</f>
        <v>32373.9648</v>
      </c>
      <c r="E1144" s="5">
        <v>14.9098796844482</v>
      </c>
      <c r="F1144" s="5">
        <v>1.67634248733521</v>
      </c>
      <c r="G1144" s="5">
        <v>1.54374516010284</v>
      </c>
      <c r="H1144" s="5">
        <v>8.55642700195312</v>
      </c>
      <c r="I1144" t="s">
        <v>56</v>
      </c>
    </row>
    <row r="1145" spans="1:9">
      <c r="A1145" s="4" t="s">
        <v>2345</v>
      </c>
      <c r="B1145" s="4" t="s">
        <v>2346</v>
      </c>
      <c r="C1145" s="4" t="s">
        <v>33</v>
      </c>
      <c r="D1145" s="2">
        <f>32252465152/(10^6)</f>
        <v>32252.465152</v>
      </c>
      <c r="E1145" s="5">
        <v>10.4314403533936</v>
      </c>
      <c r="F1145" s="5">
        <v>1.10152852535248</v>
      </c>
      <c r="G1145" s="5">
        <v>0.676611363887787</v>
      </c>
      <c r="H1145" s="5">
        <v>4.67733669281006</v>
      </c>
      <c r="I1145" t="s">
        <v>56</v>
      </c>
    </row>
    <row r="1146" spans="1:9">
      <c r="A1146" s="4" t="s">
        <v>2347</v>
      </c>
      <c r="B1146" s="4" t="s">
        <v>2348</v>
      </c>
      <c r="C1146" s="4" t="s">
        <v>47</v>
      </c>
      <c r="D1146" s="2">
        <f>32241889280/(10^6)</f>
        <v>32241.88928</v>
      </c>
      <c r="E1146" s="5">
        <v>12.1649036407471</v>
      </c>
      <c r="F1146" s="5">
        <v>0.472693800926208</v>
      </c>
      <c r="G1146" s="5">
        <v>0.167860805988312</v>
      </c>
      <c r="H1146" s="5">
        <v>1.4874974489212</v>
      </c>
      <c r="I1146" t="s">
        <v>56</v>
      </c>
    </row>
    <row r="1147" spans="1:9">
      <c r="A1147" s="4" t="s">
        <v>2349</v>
      </c>
      <c r="B1147" s="4" t="s">
        <v>2350</v>
      </c>
      <c r="C1147" s="4" t="s">
        <v>31</v>
      </c>
      <c r="D1147" s="2">
        <f>30862084096/(10^6)</f>
        <v>30862.084096</v>
      </c>
      <c r="E1147" s="5">
        <v>10.7824573516846</v>
      </c>
      <c r="F1147" s="5">
        <v>2.0042130947113</v>
      </c>
      <c r="G1147" s="5">
        <v>0.446195363998413</v>
      </c>
      <c r="H1147" s="5">
        <v>5.35236930847168</v>
      </c>
      <c r="I1147" t="s">
        <v>56</v>
      </c>
    </row>
    <row r="1148" spans="1:9">
      <c r="A1148" s="4" t="s">
        <v>2351</v>
      </c>
      <c r="B1148" s="4" t="s">
        <v>2352</v>
      </c>
      <c r="C1148" s="4" t="s">
        <v>43</v>
      </c>
      <c r="D1148" s="2">
        <f>30415206400/(10^6)</f>
        <v>30415.2064</v>
      </c>
      <c r="E1148" s="5">
        <v>6.29871845245361</v>
      </c>
      <c r="F1148" s="5">
        <v>0.505836129188538</v>
      </c>
      <c r="G1148" s="5">
        <v>1.07129907608032</v>
      </c>
      <c r="H1148" s="3" t="s">
        <v>86</v>
      </c>
      <c r="I1148" t="s">
        <v>56</v>
      </c>
    </row>
    <row r="1149" spans="1:9">
      <c r="A1149" s="4" t="s">
        <v>2353</v>
      </c>
      <c r="B1149" s="4" t="s">
        <v>2354</v>
      </c>
      <c r="C1149" s="4" t="s">
        <v>31</v>
      </c>
      <c r="D1149" s="2">
        <f>29596246016/(10^6)</f>
        <v>29596.246016</v>
      </c>
      <c r="E1149" s="5">
        <v>27.441987991333</v>
      </c>
      <c r="F1149" s="5">
        <v>8.10679054260254</v>
      </c>
      <c r="G1149" s="5">
        <v>2.5751051902771</v>
      </c>
      <c r="H1149" s="5">
        <v>18.5484237670898</v>
      </c>
      <c r="I1149" t="s">
        <v>56</v>
      </c>
    </row>
    <row r="1150" spans="1:9">
      <c r="A1150" s="4" t="s">
        <v>2355</v>
      </c>
      <c r="B1150" s="4" t="s">
        <v>2356</v>
      </c>
      <c r="C1150" s="4" t="s">
        <v>43</v>
      </c>
      <c r="D1150" s="2">
        <f>28747530240/(10^6)</f>
        <v>28747.53024</v>
      </c>
      <c r="E1150" s="5">
        <v>9.43365383148193</v>
      </c>
      <c r="F1150" s="5">
        <v>0.845751285552979</v>
      </c>
      <c r="G1150" s="5">
        <v>0.397886782884598</v>
      </c>
      <c r="H1150" s="3" t="s">
        <v>86</v>
      </c>
      <c r="I1150" t="s">
        <v>56</v>
      </c>
    </row>
    <row r="1151" spans="1:9">
      <c r="A1151" s="4" t="s">
        <v>2357</v>
      </c>
      <c r="B1151" s="4" t="s">
        <v>2358</v>
      </c>
      <c r="C1151" s="4" t="s">
        <v>47</v>
      </c>
      <c r="D1151" s="2">
        <f>27773009920/(10^6)</f>
        <v>27773.00992</v>
      </c>
      <c r="E1151" s="5">
        <v>36.5555534362793</v>
      </c>
      <c r="F1151" s="5">
        <v>17.6979808807373</v>
      </c>
      <c r="G1151" s="5">
        <v>6.70354032516479</v>
      </c>
      <c r="H1151" s="5">
        <v>20.6757221221924</v>
      </c>
      <c r="I1151" t="s">
        <v>56</v>
      </c>
    </row>
    <row r="1152" spans="1:9">
      <c r="A1152" s="4" t="s">
        <v>2359</v>
      </c>
      <c r="B1152" s="4" t="s">
        <v>2360</v>
      </c>
      <c r="C1152" s="4" t="s">
        <v>39</v>
      </c>
      <c r="D1152" s="2">
        <f>26659905536/(10^6)</f>
        <v>26659.905536</v>
      </c>
      <c r="E1152" s="5">
        <v>37.2013626098633</v>
      </c>
      <c r="F1152" s="5">
        <v>2.64930748939514</v>
      </c>
      <c r="G1152" s="5">
        <v>0.529162347316742</v>
      </c>
      <c r="H1152" s="5">
        <v>16.173318862915</v>
      </c>
      <c r="I1152" t="s">
        <v>56</v>
      </c>
    </row>
    <row r="1153" spans="1:9">
      <c r="A1153" s="4" t="s">
        <v>2361</v>
      </c>
      <c r="B1153" s="4" t="s">
        <v>2362</v>
      </c>
      <c r="C1153" s="4" t="s">
        <v>39</v>
      </c>
      <c r="D1153" s="2">
        <f>26592004096/(10^6)</f>
        <v>26592.004096</v>
      </c>
      <c r="E1153" s="5">
        <v>23.875301361084</v>
      </c>
      <c r="F1153" s="5">
        <v>0.688924252986908</v>
      </c>
      <c r="G1153" s="5">
        <v>0.379831880331039</v>
      </c>
      <c r="H1153" s="5">
        <v>7.09627103805542</v>
      </c>
      <c r="I1153" t="s">
        <v>56</v>
      </c>
    </row>
    <row r="1154" spans="1:9">
      <c r="A1154" s="4" t="s">
        <v>2363</v>
      </c>
      <c r="B1154" s="4" t="s">
        <v>2364</v>
      </c>
      <c r="C1154" s="4" t="s">
        <v>51</v>
      </c>
      <c r="D1154" s="2">
        <f>26331947008/(10^6)</f>
        <v>26331.947008</v>
      </c>
      <c r="E1154" s="5">
        <v>114.457176208496</v>
      </c>
      <c r="F1154" s="5">
        <v>27.1971759796143</v>
      </c>
      <c r="G1154" s="5">
        <v>8.7973690032959</v>
      </c>
      <c r="H1154" s="5">
        <v>78.9459609985352</v>
      </c>
      <c r="I1154" t="s">
        <v>56</v>
      </c>
    </row>
    <row r="1155" spans="1:9">
      <c r="A1155" s="4" t="s">
        <v>2365</v>
      </c>
      <c r="B1155" s="4" t="s">
        <v>2366</v>
      </c>
      <c r="C1155" s="4" t="s">
        <v>35</v>
      </c>
      <c r="D1155" s="2">
        <f>25971896320/(10^6)</f>
        <v>25971.89632</v>
      </c>
      <c r="E1155" s="5">
        <v>13.1437501907349</v>
      </c>
      <c r="F1155" s="5">
        <v>1.6247490644455</v>
      </c>
      <c r="G1155" s="5">
        <v>0.351179927587509</v>
      </c>
      <c r="H1155" s="5">
        <v>6.33219909667969</v>
      </c>
      <c r="I1155" t="s">
        <v>56</v>
      </c>
    </row>
    <row r="1156" spans="1:9">
      <c r="A1156" s="4" t="s">
        <v>2367</v>
      </c>
      <c r="B1156" s="4" t="s">
        <v>2368</v>
      </c>
      <c r="C1156" s="4" t="s">
        <v>35</v>
      </c>
      <c r="D1156" s="2">
        <f>25399060480/(10^6)</f>
        <v>25399.06048</v>
      </c>
      <c r="E1156" s="5">
        <v>28.6624221801758</v>
      </c>
      <c r="F1156" s="5">
        <v>3.39518046379089</v>
      </c>
      <c r="G1156" s="5">
        <v>2.69112300872803</v>
      </c>
      <c r="H1156" s="5">
        <v>14.6874904632568</v>
      </c>
      <c r="I1156" t="s">
        <v>56</v>
      </c>
    </row>
    <row r="1157" spans="1:9">
      <c r="A1157" s="4" t="s">
        <v>2369</v>
      </c>
      <c r="B1157" s="4" t="s">
        <v>2370</v>
      </c>
      <c r="C1157" s="4" t="s">
        <v>45</v>
      </c>
      <c r="D1157" s="2">
        <f>25349670912/(10^6)</f>
        <v>25349.670912</v>
      </c>
      <c r="E1157" s="5">
        <v>19.2720489501953</v>
      </c>
      <c r="F1157" s="5">
        <v>1.19670188426971</v>
      </c>
      <c r="G1157" s="5">
        <v>5.74654531478882</v>
      </c>
      <c r="H1157" s="5">
        <v>8.52091884613037</v>
      </c>
      <c r="I1157" t="s">
        <v>56</v>
      </c>
    </row>
    <row r="1158" spans="1:9">
      <c r="A1158" s="4" t="s">
        <v>2371</v>
      </c>
      <c r="B1158" s="4" t="s">
        <v>2372</v>
      </c>
      <c r="C1158" s="4" t="s">
        <v>27</v>
      </c>
      <c r="D1158" s="2">
        <f>24862070784/(10^6)</f>
        <v>24862.070784</v>
      </c>
      <c r="E1158" s="5">
        <v>13.382022857666</v>
      </c>
      <c r="F1158" s="5">
        <v>3.60431265830994</v>
      </c>
      <c r="G1158" s="5">
        <v>1.60128903388977</v>
      </c>
      <c r="H1158" s="5">
        <v>8.01640892028809</v>
      </c>
      <c r="I1158" t="s">
        <v>56</v>
      </c>
    </row>
    <row r="1159" spans="1:9">
      <c r="A1159" s="4" t="s">
        <v>2373</v>
      </c>
      <c r="B1159" s="4" t="s">
        <v>2374</v>
      </c>
      <c r="C1159" s="4" t="s">
        <v>39</v>
      </c>
      <c r="D1159" s="2">
        <f>24742912000/(10^6)</f>
        <v>24742.912</v>
      </c>
      <c r="E1159" s="5">
        <v>4.1830153465271</v>
      </c>
      <c r="F1159" s="5">
        <v>0.460415929555893</v>
      </c>
      <c r="G1159" s="5">
        <v>0.293235301971436</v>
      </c>
      <c r="H1159" s="5">
        <v>4.73694562911987</v>
      </c>
      <c r="I1159" t="s">
        <v>56</v>
      </c>
    </row>
    <row r="1160" spans="1:9">
      <c r="A1160" s="4" t="s">
        <v>2375</v>
      </c>
      <c r="B1160" s="4" t="s">
        <v>2376</v>
      </c>
      <c r="C1160" s="4" t="s">
        <v>43</v>
      </c>
      <c r="D1160" s="2">
        <f>24585422848/(10^6)</f>
        <v>24585.422848</v>
      </c>
      <c r="E1160" s="5">
        <v>21.1791591644287</v>
      </c>
      <c r="F1160" s="5">
        <v>3.70516848564148</v>
      </c>
      <c r="G1160" s="5">
        <v>7.27613973617554</v>
      </c>
      <c r="H1160" s="5">
        <v>14.4858636856079</v>
      </c>
      <c r="I1160" t="s">
        <v>56</v>
      </c>
    </row>
    <row r="1161" spans="1:9">
      <c r="A1161" s="4" t="s">
        <v>2377</v>
      </c>
      <c r="B1161" s="4" t="s">
        <v>2378</v>
      </c>
      <c r="C1161" s="4" t="s">
        <v>33</v>
      </c>
      <c r="D1161" s="2">
        <f>23886264320/(10^6)</f>
        <v>23886.26432</v>
      </c>
      <c r="E1161" s="5">
        <v>13.6959915161133</v>
      </c>
      <c r="F1161" s="5">
        <v>1.35485696792602</v>
      </c>
      <c r="G1161" s="5">
        <v>1.37460768222809</v>
      </c>
      <c r="H1161" s="5">
        <v>13.2186794281006</v>
      </c>
      <c r="I1161" t="s">
        <v>56</v>
      </c>
    </row>
    <row r="1162" spans="1:9">
      <c r="A1162" s="4" t="s">
        <v>2379</v>
      </c>
      <c r="B1162" s="4" t="s">
        <v>2380</v>
      </c>
      <c r="C1162" s="4" t="s">
        <v>33</v>
      </c>
      <c r="D1162" s="2">
        <f>23770802176/(10^6)</f>
        <v>23770.802176</v>
      </c>
      <c r="E1162" s="5">
        <v>31.8237552642822</v>
      </c>
      <c r="F1162" s="5">
        <v>2.38399314880371</v>
      </c>
      <c r="G1162" s="5">
        <v>0.430802881717682</v>
      </c>
      <c r="H1162" s="5">
        <v>5.8268837928772</v>
      </c>
      <c r="I1162" t="s">
        <v>56</v>
      </c>
    </row>
    <row r="1163" spans="1:9">
      <c r="A1163" s="4" t="s">
        <v>2381</v>
      </c>
      <c r="B1163" s="4" t="s">
        <v>2382</v>
      </c>
      <c r="C1163" s="4" t="s">
        <v>43</v>
      </c>
      <c r="D1163" s="2">
        <f>23673110528/(10^6)</f>
        <v>23673.110528</v>
      </c>
      <c r="E1163" s="5">
        <v>4.10241937637329</v>
      </c>
      <c r="F1163" s="5">
        <v>0.368576854467392</v>
      </c>
      <c r="G1163" s="5">
        <v>0.606198072433472</v>
      </c>
      <c r="H1163" s="3" t="s">
        <v>86</v>
      </c>
      <c r="I1163" t="s">
        <v>56</v>
      </c>
    </row>
    <row r="1164" spans="1:9">
      <c r="A1164" s="4" t="s">
        <v>2383</v>
      </c>
      <c r="B1164" s="4" t="s">
        <v>2384</v>
      </c>
      <c r="C1164" s="4" t="s">
        <v>43</v>
      </c>
      <c r="D1164" s="2">
        <f>22952663040/(10^6)</f>
        <v>22952.66304</v>
      </c>
      <c r="E1164" s="5">
        <v>6.41094207763672</v>
      </c>
      <c r="F1164" s="5">
        <v>0.417422711849213</v>
      </c>
      <c r="G1164" s="5">
        <v>0.8297119140625</v>
      </c>
      <c r="H1164" s="3" t="s">
        <v>86</v>
      </c>
      <c r="I1164" t="s">
        <v>56</v>
      </c>
    </row>
    <row r="1165" spans="1:9">
      <c r="A1165" s="4" t="s">
        <v>2385</v>
      </c>
      <c r="B1165" s="4" t="s">
        <v>2386</v>
      </c>
      <c r="C1165" s="4" t="s">
        <v>39</v>
      </c>
      <c r="D1165" s="2">
        <f>22745174016/(10^6)</f>
        <v>22745.174016</v>
      </c>
      <c r="E1165" s="5">
        <v>118.772193908691</v>
      </c>
      <c r="F1165" s="5">
        <v>2.64412593841553</v>
      </c>
      <c r="G1165" s="5">
        <v>1.0084353685379</v>
      </c>
      <c r="H1165" s="5">
        <v>6.7251558303833</v>
      </c>
      <c r="I1165" t="s">
        <v>56</v>
      </c>
    </row>
    <row r="1166" spans="1:9">
      <c r="A1166" s="4" t="s">
        <v>2387</v>
      </c>
      <c r="B1166" s="4" t="s">
        <v>2388</v>
      </c>
      <c r="C1166" s="4" t="s">
        <v>43</v>
      </c>
      <c r="D1166" s="2">
        <f>22408992768/(10^6)</f>
        <v>22408.992768</v>
      </c>
      <c r="E1166" s="5">
        <v>4.49653482437134</v>
      </c>
      <c r="F1166" s="5">
        <v>0.33295202255249</v>
      </c>
      <c r="G1166" s="5">
        <v>0.951460659503937</v>
      </c>
      <c r="H1166" s="3" t="s">
        <v>86</v>
      </c>
      <c r="I1166" t="s">
        <v>56</v>
      </c>
    </row>
    <row r="1167" spans="1:9">
      <c r="A1167" s="4" t="s">
        <v>2389</v>
      </c>
      <c r="B1167" s="4" t="s">
        <v>2390</v>
      </c>
      <c r="C1167" s="4" t="s">
        <v>43</v>
      </c>
      <c r="D1167" s="2">
        <f>21539489792/(10^6)</f>
        <v>21539.489792</v>
      </c>
      <c r="E1167" s="5">
        <v>8.74445152282715</v>
      </c>
      <c r="F1167" s="5">
        <v>0.678485035896301</v>
      </c>
      <c r="G1167" s="5">
        <v>0.208894163370132</v>
      </c>
      <c r="H1167" s="3" t="s">
        <v>86</v>
      </c>
      <c r="I1167" t="s">
        <v>56</v>
      </c>
    </row>
    <row r="1168" spans="1:9">
      <c r="A1168" s="4" t="s">
        <v>2391</v>
      </c>
      <c r="B1168" s="4" t="s">
        <v>2392</v>
      </c>
      <c r="C1168" s="4" t="s">
        <v>41</v>
      </c>
      <c r="D1168" s="2">
        <f>21270018048/(10^6)</f>
        <v>21270.018048</v>
      </c>
      <c r="E1168" s="5">
        <v>10.0403528213501</v>
      </c>
      <c r="F1168" s="5">
        <v>1.12867951393127</v>
      </c>
      <c r="G1168" s="5">
        <v>0.534284234046936</v>
      </c>
      <c r="H1168" s="5">
        <v>7.70703315734863</v>
      </c>
      <c r="I1168" t="s">
        <v>56</v>
      </c>
    </row>
    <row r="1169" spans="1:9">
      <c r="A1169" s="4" t="s">
        <v>2393</v>
      </c>
      <c r="B1169" s="4" t="s">
        <v>2394</v>
      </c>
      <c r="C1169" s="4" t="s">
        <v>51</v>
      </c>
      <c r="D1169" s="2">
        <f>21136019456/(10^6)</f>
        <v>21136.019456</v>
      </c>
      <c r="E1169" s="5">
        <v>15.8441028594971</v>
      </c>
      <c r="F1169" s="5">
        <v>4.87373065948486</v>
      </c>
      <c r="G1169" s="5">
        <v>3.30344200134277</v>
      </c>
      <c r="H1169" s="5">
        <v>9.65685749053955</v>
      </c>
      <c r="I1169" t="s">
        <v>56</v>
      </c>
    </row>
    <row r="1170" spans="1:9">
      <c r="A1170" s="4" t="s">
        <v>2395</v>
      </c>
      <c r="B1170" s="4" t="s">
        <v>2396</v>
      </c>
      <c r="C1170" s="4" t="s">
        <v>35</v>
      </c>
      <c r="D1170" s="2">
        <f>21110214656/(10^6)</f>
        <v>21110.214656</v>
      </c>
      <c r="E1170" s="5">
        <v>17.2944679260254</v>
      </c>
      <c r="F1170" s="5">
        <v>2.34922814369202</v>
      </c>
      <c r="G1170" s="5">
        <v>0.785296499729156</v>
      </c>
      <c r="H1170" s="5">
        <v>7.72170877456665</v>
      </c>
      <c r="I1170" t="s">
        <v>56</v>
      </c>
    </row>
    <row r="1171" spans="1:9">
      <c r="A1171" s="4" t="s">
        <v>2397</v>
      </c>
      <c r="B1171" s="4" t="s">
        <v>2398</v>
      </c>
      <c r="C1171" s="4" t="s">
        <v>43</v>
      </c>
      <c r="D1171" s="2">
        <f>20533788672/(10^6)</f>
        <v>20533.788672</v>
      </c>
      <c r="E1171" s="5">
        <v>7.02054786682129</v>
      </c>
      <c r="F1171" s="5">
        <v>0.90488189458847</v>
      </c>
      <c r="G1171" s="5">
        <v>2.03665113449097</v>
      </c>
      <c r="H1171" s="3" t="s">
        <v>86</v>
      </c>
      <c r="I1171" t="s">
        <v>56</v>
      </c>
    </row>
    <row r="1172" spans="1:9">
      <c r="A1172" s="4" t="s">
        <v>2399</v>
      </c>
      <c r="B1172" s="4" t="s">
        <v>2400</v>
      </c>
      <c r="C1172" s="4" t="s">
        <v>37</v>
      </c>
      <c r="D1172" s="2">
        <f>20188590080/(10^6)</f>
        <v>20188.59008</v>
      </c>
      <c r="E1172" s="5">
        <v>11.2430171966553</v>
      </c>
      <c r="F1172" s="5">
        <v>1.06237947940826</v>
      </c>
      <c r="G1172" s="5">
        <v>0.727001965045929</v>
      </c>
      <c r="H1172" s="5">
        <v>6.32901859283447</v>
      </c>
      <c r="I1172" t="s">
        <v>56</v>
      </c>
    </row>
    <row r="1173" spans="1:9">
      <c r="A1173" s="4" t="s">
        <v>2401</v>
      </c>
      <c r="B1173" s="4" t="s">
        <v>2402</v>
      </c>
      <c r="C1173" s="4" t="s">
        <v>37</v>
      </c>
      <c r="D1173" s="2">
        <f>19806611456/(10^6)</f>
        <v>19806.611456</v>
      </c>
      <c r="E1173" s="5">
        <v>23.3957843780518</v>
      </c>
      <c r="F1173" s="5">
        <v>2.2283833026886</v>
      </c>
      <c r="G1173" s="5">
        <v>1.95420610904694</v>
      </c>
      <c r="H1173" s="5">
        <v>12.063117980957</v>
      </c>
      <c r="I1173" t="s">
        <v>56</v>
      </c>
    </row>
    <row r="1174" spans="1:9">
      <c r="A1174" s="4" t="s">
        <v>2403</v>
      </c>
      <c r="B1174" s="4" t="s">
        <v>2404</v>
      </c>
      <c r="C1174" s="4" t="s">
        <v>43</v>
      </c>
      <c r="D1174" s="2">
        <f>19464255488/(10^6)</f>
        <v>19464.255488</v>
      </c>
      <c r="E1174" s="5">
        <v>7.78086757659912</v>
      </c>
      <c r="F1174" s="5">
        <v>0.295587480068207</v>
      </c>
      <c r="G1174" s="5">
        <v>0.848366498947144</v>
      </c>
      <c r="H1174" s="3" t="s">
        <v>86</v>
      </c>
      <c r="I1174" t="s">
        <v>56</v>
      </c>
    </row>
    <row r="1175" spans="1:9">
      <c r="A1175" s="4" t="s">
        <v>2405</v>
      </c>
      <c r="B1175" s="4" t="s">
        <v>2406</v>
      </c>
      <c r="C1175" s="4" t="s">
        <v>41</v>
      </c>
      <c r="D1175" s="2">
        <f>19416590336/(10^6)</f>
        <v>19416.590336</v>
      </c>
      <c r="E1175" s="5">
        <v>14.6139602661133</v>
      </c>
      <c r="F1175" s="5">
        <v>1.44550275802612</v>
      </c>
      <c r="G1175" s="5">
        <v>1.003098487854</v>
      </c>
      <c r="H1175" s="5">
        <v>8.32807540893555</v>
      </c>
      <c r="I1175" t="s">
        <v>56</v>
      </c>
    </row>
    <row r="1176" spans="1:9">
      <c r="A1176" s="4" t="s">
        <v>2407</v>
      </c>
      <c r="B1176" s="4" t="s">
        <v>2408</v>
      </c>
      <c r="C1176" s="4" t="s">
        <v>41</v>
      </c>
      <c r="D1176" s="2">
        <f>19405309952/(10^6)</f>
        <v>19405.309952</v>
      </c>
      <c r="E1176" s="5">
        <v>33.7725219726562</v>
      </c>
      <c r="F1176" s="5">
        <v>4.3555736541748</v>
      </c>
      <c r="G1176" s="5">
        <v>4.13594198226929</v>
      </c>
      <c r="H1176" s="5">
        <v>18.1189517974854</v>
      </c>
      <c r="I1176" t="s">
        <v>56</v>
      </c>
    </row>
    <row r="1177" spans="1:9">
      <c r="A1177" s="4" t="s">
        <v>2409</v>
      </c>
      <c r="B1177" s="4" t="s">
        <v>2410</v>
      </c>
      <c r="C1177" s="4" t="s">
        <v>35</v>
      </c>
      <c r="D1177" s="2">
        <f>19085369344/(10^6)</f>
        <v>19085.369344</v>
      </c>
      <c r="E1177" s="5">
        <v>30.4612846374512</v>
      </c>
      <c r="F1177" s="5">
        <v>3.77621603012085</v>
      </c>
      <c r="G1177" s="5">
        <v>2.38297176361084</v>
      </c>
      <c r="H1177" s="5">
        <v>20.8987197875977</v>
      </c>
      <c r="I1177" t="s">
        <v>56</v>
      </c>
    </row>
    <row r="1178" spans="1:9">
      <c r="A1178" s="4" t="s">
        <v>2411</v>
      </c>
      <c r="B1178" s="4" t="s">
        <v>2412</v>
      </c>
      <c r="C1178" s="4" t="s">
        <v>51</v>
      </c>
      <c r="D1178" s="2">
        <f>18660583424/(10^6)</f>
        <v>18660.583424</v>
      </c>
      <c r="E1178" s="5">
        <v>21.2671794891357</v>
      </c>
      <c r="F1178" s="5">
        <v>2.6440269947052</v>
      </c>
      <c r="G1178" s="5">
        <v>1.96856904029846</v>
      </c>
      <c r="H1178" s="5">
        <v>8.33949947357178</v>
      </c>
      <c r="I1178" t="s">
        <v>56</v>
      </c>
    </row>
    <row r="1179" spans="1:9">
      <c r="A1179" s="4" t="s">
        <v>2413</v>
      </c>
      <c r="B1179" s="4" t="s">
        <v>2414</v>
      </c>
      <c r="C1179" s="4" t="s">
        <v>33</v>
      </c>
      <c r="D1179" s="2">
        <f>18384570368/(10^6)</f>
        <v>18384.570368</v>
      </c>
      <c r="E1179" s="3" t="s">
        <v>86</v>
      </c>
      <c r="F1179" s="5">
        <v>3.03142213821411</v>
      </c>
      <c r="G1179" s="5">
        <v>13.067663192749</v>
      </c>
      <c r="H1179" s="5">
        <v>33.282585144043</v>
      </c>
      <c r="I1179" t="s">
        <v>56</v>
      </c>
    </row>
    <row r="1180" spans="1:9">
      <c r="A1180" s="4" t="s">
        <v>2415</v>
      </c>
      <c r="B1180" s="4" t="s">
        <v>2416</v>
      </c>
      <c r="C1180" s="4" t="s">
        <v>51</v>
      </c>
      <c r="D1180" s="2">
        <f>18278168576/(10^6)</f>
        <v>18278.168576</v>
      </c>
      <c r="E1180" s="5">
        <v>18.4338035583496</v>
      </c>
      <c r="F1180" s="5">
        <v>1.49474656581879</v>
      </c>
      <c r="G1180" s="5">
        <v>1.95106887817383</v>
      </c>
      <c r="H1180" s="5">
        <v>7.07052707672119</v>
      </c>
      <c r="I1180" t="s">
        <v>56</v>
      </c>
    </row>
    <row r="1181" spans="1:9">
      <c r="A1181" s="4" t="s">
        <v>2417</v>
      </c>
      <c r="B1181" s="4" t="s">
        <v>2418</v>
      </c>
      <c r="C1181" s="4" t="s">
        <v>31</v>
      </c>
      <c r="D1181" s="2">
        <f>18154657792/(10^6)</f>
        <v>18154.657792</v>
      </c>
      <c r="E1181" s="5">
        <v>33.8111915588379</v>
      </c>
      <c r="F1181" s="5">
        <v>3.66582798957825</v>
      </c>
      <c r="G1181" s="5">
        <v>2.61072063446045</v>
      </c>
      <c r="H1181" s="5">
        <v>36.4439926147461</v>
      </c>
      <c r="I1181" t="s">
        <v>56</v>
      </c>
    </row>
    <row r="1182" spans="1:9">
      <c r="A1182" s="4" t="s">
        <v>2419</v>
      </c>
      <c r="B1182" s="4" t="s">
        <v>2420</v>
      </c>
      <c r="C1182" s="4" t="s">
        <v>39</v>
      </c>
      <c r="D1182" s="2">
        <f>18081095680/(10^6)</f>
        <v>18081.09568</v>
      </c>
      <c r="E1182" s="5">
        <v>11.3379402160645</v>
      </c>
      <c r="F1182" s="5">
        <v>1.49689269065857</v>
      </c>
      <c r="G1182" s="5">
        <v>0.690157353878021</v>
      </c>
      <c r="H1182" s="5">
        <v>7.64850807189941</v>
      </c>
      <c r="I1182" t="s">
        <v>56</v>
      </c>
    </row>
    <row r="1183" spans="1:9">
      <c r="A1183" s="4" t="s">
        <v>2421</v>
      </c>
      <c r="B1183" s="4" t="s">
        <v>2422</v>
      </c>
      <c r="C1183" s="4" t="s">
        <v>31</v>
      </c>
      <c r="D1183" s="2">
        <f>18048186368/(10^6)</f>
        <v>18048.186368</v>
      </c>
      <c r="E1183" s="5">
        <v>24.1330814361572</v>
      </c>
      <c r="F1183" s="5">
        <v>6.70446872711182</v>
      </c>
      <c r="G1183" s="5">
        <v>3.50641226768494</v>
      </c>
      <c r="H1183" s="5">
        <v>13.365309715271</v>
      </c>
      <c r="I1183" t="s">
        <v>56</v>
      </c>
    </row>
    <row r="1184" spans="1:9">
      <c r="A1184" s="4" t="s">
        <v>2423</v>
      </c>
      <c r="B1184" s="4" t="s">
        <v>2424</v>
      </c>
      <c r="C1184" s="4" t="s">
        <v>31</v>
      </c>
      <c r="D1184" s="2">
        <f>17604972544/(10^6)</f>
        <v>17604.972544</v>
      </c>
      <c r="E1184" s="5">
        <v>10.5572643280029</v>
      </c>
      <c r="F1184" s="5">
        <v>2.37675166130066</v>
      </c>
      <c r="G1184" s="5">
        <v>3.39600038528442</v>
      </c>
      <c r="H1184" s="5">
        <v>8.143310546875</v>
      </c>
      <c r="I1184" t="s">
        <v>56</v>
      </c>
    </row>
    <row r="1185" spans="1:9">
      <c r="A1185" s="4" t="s">
        <v>2425</v>
      </c>
      <c r="B1185" s="4" t="s">
        <v>2426</v>
      </c>
      <c r="C1185" s="4" t="s">
        <v>41</v>
      </c>
      <c r="D1185" s="2">
        <f>17477808128/(10^6)</f>
        <v>17477.808128</v>
      </c>
      <c r="E1185" s="5">
        <v>68.4990921020508</v>
      </c>
      <c r="F1185" s="5">
        <v>13.825569152832</v>
      </c>
      <c r="G1185" s="5">
        <v>11.1211881637573</v>
      </c>
      <c r="H1185" s="5">
        <v>39.1627502441406</v>
      </c>
      <c r="I1185" t="s">
        <v>56</v>
      </c>
    </row>
    <row r="1186" spans="1:9">
      <c r="A1186" s="4" t="s">
        <v>2427</v>
      </c>
      <c r="B1186" s="4" t="s">
        <v>2428</v>
      </c>
      <c r="C1186" s="4" t="s">
        <v>41</v>
      </c>
      <c r="D1186" s="2">
        <f>17302816768/(10^6)</f>
        <v>17302.816768</v>
      </c>
      <c r="E1186" s="5">
        <v>85.7703170776367</v>
      </c>
      <c r="F1186" s="5">
        <v>18.5721168518066</v>
      </c>
      <c r="G1186" s="5">
        <v>7.47578191757202</v>
      </c>
      <c r="H1186" s="5">
        <v>36.2933387756348</v>
      </c>
      <c r="I1186" t="s">
        <v>56</v>
      </c>
    </row>
    <row r="1187" spans="1:9">
      <c r="A1187" s="4" t="s">
        <v>2429</v>
      </c>
      <c r="B1187" s="4" t="s">
        <v>2430</v>
      </c>
      <c r="C1187" s="4" t="s">
        <v>43</v>
      </c>
      <c r="D1187" s="2">
        <f>17236264960/(10^6)</f>
        <v>17236.26496</v>
      </c>
      <c r="E1187" s="5">
        <v>12.0019474029541</v>
      </c>
      <c r="F1187" s="5">
        <v>1.46279156208038</v>
      </c>
      <c r="G1187" s="5">
        <v>0.695826888084412</v>
      </c>
      <c r="H1187" s="3" t="s">
        <v>86</v>
      </c>
      <c r="I1187" t="s">
        <v>56</v>
      </c>
    </row>
    <row r="1188" spans="1:9">
      <c r="A1188" s="4" t="s">
        <v>2431</v>
      </c>
      <c r="B1188" s="4" t="s">
        <v>2432</v>
      </c>
      <c r="C1188" s="4" t="s">
        <v>31</v>
      </c>
      <c r="D1188" s="2">
        <f>17148168192/(10^6)</f>
        <v>17148.168192</v>
      </c>
      <c r="E1188" s="5">
        <v>13.7071447372437</v>
      </c>
      <c r="F1188" s="5">
        <v>2.8326461315155</v>
      </c>
      <c r="G1188" s="5">
        <v>0.835634887218475</v>
      </c>
      <c r="H1188" s="5">
        <v>7.27703952789307</v>
      </c>
      <c r="I1188" t="s">
        <v>56</v>
      </c>
    </row>
    <row r="1189" spans="1:9">
      <c r="A1189" s="4" t="s">
        <v>2433</v>
      </c>
      <c r="B1189" s="4" t="s">
        <v>2434</v>
      </c>
      <c r="C1189" s="4" t="s">
        <v>31</v>
      </c>
      <c r="D1189" s="2">
        <f>16933397504/(10^6)</f>
        <v>16933.397504</v>
      </c>
      <c r="E1189" s="5">
        <v>18.3659706115723</v>
      </c>
      <c r="F1189" s="5">
        <v>3.0019052028656</v>
      </c>
      <c r="G1189" s="5">
        <v>2.31663012504578</v>
      </c>
      <c r="H1189" s="5">
        <v>11.5041599273682</v>
      </c>
      <c r="I1189" t="s">
        <v>56</v>
      </c>
    </row>
    <row r="1190" spans="1:9">
      <c r="A1190" s="4" t="s">
        <v>2435</v>
      </c>
      <c r="B1190" s="4" t="s">
        <v>2436</v>
      </c>
      <c r="C1190" s="4" t="s">
        <v>51</v>
      </c>
      <c r="D1190" s="2">
        <f>16807268352/(10^6)</f>
        <v>16807.268352</v>
      </c>
      <c r="E1190" s="5">
        <v>264.099914550781</v>
      </c>
      <c r="F1190" s="5">
        <v>0.972049474716187</v>
      </c>
      <c r="G1190" s="5">
        <v>0.634367048740387</v>
      </c>
      <c r="H1190" s="5">
        <v>6.34842538833618</v>
      </c>
      <c r="I1190" t="s">
        <v>56</v>
      </c>
    </row>
    <row r="1191" spans="1:9">
      <c r="A1191" s="4" t="s">
        <v>2437</v>
      </c>
      <c r="B1191" s="4" t="s">
        <v>2438</v>
      </c>
      <c r="C1191" s="4" t="s">
        <v>41</v>
      </c>
      <c r="D1191" s="2">
        <f>16567606272/(10^6)</f>
        <v>16567.606272</v>
      </c>
      <c r="E1191" s="5">
        <v>17.9686279296875</v>
      </c>
      <c r="F1191" s="5">
        <v>2.09952282905579</v>
      </c>
      <c r="G1191" s="5">
        <v>2.8918354511261</v>
      </c>
      <c r="H1191" s="5">
        <v>10.7899522781372</v>
      </c>
      <c r="I1191" t="s">
        <v>56</v>
      </c>
    </row>
    <row r="1192" spans="1:9">
      <c r="A1192" s="4" t="s">
        <v>2439</v>
      </c>
      <c r="B1192" s="4" t="s">
        <v>2440</v>
      </c>
      <c r="C1192" s="4" t="s">
        <v>43</v>
      </c>
      <c r="D1192" s="2">
        <f>15831553024/(10^6)</f>
        <v>15831.553024</v>
      </c>
      <c r="E1192" s="5">
        <v>12.2112398147583</v>
      </c>
      <c r="F1192" s="5">
        <v>1.16042268276215</v>
      </c>
      <c r="G1192" s="5">
        <v>1.29216814041138</v>
      </c>
      <c r="H1192" s="3" t="s">
        <v>86</v>
      </c>
      <c r="I1192" t="s">
        <v>56</v>
      </c>
    </row>
    <row r="1193" spans="1:9">
      <c r="A1193" s="4" t="s">
        <v>2441</v>
      </c>
      <c r="B1193" s="4" t="s">
        <v>2442</v>
      </c>
      <c r="C1193" s="4" t="s">
        <v>39</v>
      </c>
      <c r="D1193" s="2">
        <f>15725200384/(10^6)</f>
        <v>15725.200384</v>
      </c>
      <c r="E1193" s="3" t="s">
        <v>86</v>
      </c>
      <c r="F1193" s="5">
        <v>0.823893129825592</v>
      </c>
      <c r="G1193" s="5">
        <v>1.06370198726654</v>
      </c>
      <c r="H1193" s="5">
        <v>8.14529418945312</v>
      </c>
      <c r="I1193" t="s">
        <v>56</v>
      </c>
    </row>
    <row r="1194" spans="1:9">
      <c r="A1194" s="4" t="s">
        <v>2443</v>
      </c>
      <c r="B1194" s="4" t="s">
        <v>2444</v>
      </c>
      <c r="C1194" s="4" t="s">
        <v>43</v>
      </c>
      <c r="D1194" s="2">
        <f>15383617536/(10^6)</f>
        <v>15383.617536</v>
      </c>
      <c r="E1194" s="5">
        <v>4.20780658721924</v>
      </c>
      <c r="F1194" s="5">
        <v>0.208787262439728</v>
      </c>
      <c r="G1194" s="5">
        <v>0.524989724159241</v>
      </c>
      <c r="H1194" s="3" t="s">
        <v>86</v>
      </c>
      <c r="I1194" t="s">
        <v>56</v>
      </c>
    </row>
    <row r="1195" spans="1:9">
      <c r="A1195" s="4" t="s">
        <v>2445</v>
      </c>
      <c r="B1195" s="4" t="s">
        <v>2446</v>
      </c>
      <c r="C1195" s="4" t="s">
        <v>47</v>
      </c>
      <c r="D1195" s="2">
        <f>15048075264/(10^6)</f>
        <v>15048.075264</v>
      </c>
      <c r="E1195" s="3" t="s">
        <v>86</v>
      </c>
      <c r="F1195" s="5">
        <v>5.3885350227356</v>
      </c>
      <c r="G1195" s="5">
        <v>15.0555868148804</v>
      </c>
      <c r="H1195" s="3" t="s">
        <v>86</v>
      </c>
      <c r="I1195" t="s">
        <v>56</v>
      </c>
    </row>
    <row r="1196" spans="1:9">
      <c r="A1196" s="4" t="s">
        <v>2447</v>
      </c>
      <c r="B1196" s="4" t="s">
        <v>2448</v>
      </c>
      <c r="C1196" s="4" t="s">
        <v>47</v>
      </c>
      <c r="D1196" s="2">
        <f>15045242880/(10^6)</f>
        <v>15045.24288</v>
      </c>
      <c r="E1196" s="5">
        <v>7.64255857467651</v>
      </c>
      <c r="F1196" s="5">
        <v>1.0005087852478</v>
      </c>
      <c r="G1196" s="5">
        <v>0.550967156887054</v>
      </c>
      <c r="H1196" s="5">
        <v>4.18851280212402</v>
      </c>
      <c r="I1196" t="s">
        <v>56</v>
      </c>
    </row>
    <row r="1197" spans="1:9">
      <c r="A1197" s="4" t="s">
        <v>2449</v>
      </c>
      <c r="B1197" s="4" t="s">
        <v>2450</v>
      </c>
      <c r="C1197" s="4" t="s">
        <v>39</v>
      </c>
      <c r="D1197" s="2">
        <f>14785777664/(10^6)</f>
        <v>14785.777664</v>
      </c>
      <c r="E1197" s="5">
        <v>12.1960983276367</v>
      </c>
      <c r="F1197" s="5">
        <v>2.0912983417511</v>
      </c>
      <c r="G1197" s="5">
        <v>5.222327709198</v>
      </c>
      <c r="H1197" s="5">
        <v>11.461404800415</v>
      </c>
      <c r="I1197" t="s">
        <v>56</v>
      </c>
    </row>
    <row r="1198" spans="1:9">
      <c r="A1198" s="4" t="s">
        <v>2451</v>
      </c>
      <c r="B1198" s="4" t="s">
        <v>2452</v>
      </c>
      <c r="C1198" s="4" t="s">
        <v>51</v>
      </c>
      <c r="D1198" s="2">
        <f>14655094784/(10^6)</f>
        <v>14655.094784</v>
      </c>
      <c r="E1198" s="5">
        <v>15.127667427063</v>
      </c>
      <c r="F1198" s="5">
        <v>1.56640565395355</v>
      </c>
      <c r="G1198" s="5">
        <v>0.916687428951263</v>
      </c>
      <c r="H1198" s="5">
        <v>7.39740943908691</v>
      </c>
      <c r="I1198" t="s">
        <v>56</v>
      </c>
    </row>
    <row r="1199" spans="1:9">
      <c r="A1199" s="4" t="s">
        <v>2453</v>
      </c>
      <c r="B1199" s="4" t="s">
        <v>2454</v>
      </c>
      <c r="C1199" s="4" t="s">
        <v>39</v>
      </c>
      <c r="D1199" s="2">
        <f>14263271424/(10^6)</f>
        <v>14263.271424</v>
      </c>
      <c r="E1199" s="5">
        <v>22.1328468322754</v>
      </c>
      <c r="F1199" s="5">
        <v>1.44983625411987</v>
      </c>
      <c r="G1199" s="5">
        <v>0.896000564098358</v>
      </c>
      <c r="H1199" s="5">
        <v>8.99291706085205</v>
      </c>
      <c r="I1199" t="s">
        <v>56</v>
      </c>
    </row>
    <row r="1200" spans="1:9">
      <c r="A1200" s="4" t="s">
        <v>2455</v>
      </c>
      <c r="B1200" s="4" t="s">
        <v>2456</v>
      </c>
      <c r="C1200" s="4" t="s">
        <v>47</v>
      </c>
      <c r="D1200" s="2">
        <f>14224112640/(10^6)</f>
        <v>14224.11264</v>
      </c>
      <c r="E1200" s="3" t="s">
        <v>86</v>
      </c>
      <c r="F1200" s="5">
        <v>0.818585991859436</v>
      </c>
      <c r="G1200" s="5">
        <v>0.28332856297493</v>
      </c>
      <c r="H1200" s="5">
        <v>3.37194228172302</v>
      </c>
      <c r="I1200" t="s">
        <v>56</v>
      </c>
    </row>
    <row r="1201" spans="1:9">
      <c r="A1201" s="4" t="s">
        <v>2457</v>
      </c>
      <c r="B1201" s="4" t="s">
        <v>2458</v>
      </c>
      <c r="C1201" s="4" t="s">
        <v>37</v>
      </c>
      <c r="D1201" s="2">
        <f>13635214336/(10^6)</f>
        <v>13635.214336</v>
      </c>
      <c r="E1201" s="5">
        <v>11.5074796676636</v>
      </c>
      <c r="F1201" s="5">
        <v>1.213907122612</v>
      </c>
      <c r="G1201" s="5">
        <v>1.19292056560516</v>
      </c>
      <c r="H1201" s="5">
        <v>6.61259317398071</v>
      </c>
      <c r="I1201" t="s">
        <v>56</v>
      </c>
    </row>
    <row r="1202" spans="1:9">
      <c r="A1202" s="4" t="s">
        <v>2459</v>
      </c>
      <c r="B1202" s="4" t="s">
        <v>2460</v>
      </c>
      <c r="C1202" s="4" t="s">
        <v>31</v>
      </c>
      <c r="D1202" s="2">
        <f>13496549376/(10^6)</f>
        <v>13496.549376</v>
      </c>
      <c r="E1202" s="5">
        <v>18.7823848724365</v>
      </c>
      <c r="F1202" s="5">
        <v>8.01915073394775</v>
      </c>
      <c r="G1202" s="5">
        <v>1.7777396440506</v>
      </c>
      <c r="H1202" s="5">
        <v>10.5252437591553</v>
      </c>
      <c r="I1202" t="s">
        <v>56</v>
      </c>
    </row>
    <row r="1203" spans="1:9">
      <c r="A1203" s="4" t="s">
        <v>2461</v>
      </c>
      <c r="B1203" s="4" t="s">
        <v>2462</v>
      </c>
      <c r="C1203" s="4" t="s">
        <v>51</v>
      </c>
      <c r="D1203" s="2">
        <f>13459815424/(10^6)</f>
        <v>13459.815424</v>
      </c>
      <c r="E1203" s="5">
        <v>24.9872341156006</v>
      </c>
      <c r="F1203" s="5">
        <v>5.22383260726929</v>
      </c>
      <c r="G1203" s="5">
        <v>4.81230878829956</v>
      </c>
      <c r="H1203" s="5">
        <v>14.183518409729</v>
      </c>
      <c r="I1203" t="s">
        <v>56</v>
      </c>
    </row>
    <row r="1204" spans="1:9">
      <c r="A1204" s="4" t="s">
        <v>2463</v>
      </c>
      <c r="B1204" s="4" t="s">
        <v>2464</v>
      </c>
      <c r="C1204" s="4" t="s">
        <v>43</v>
      </c>
      <c r="D1204" s="2">
        <f>13298375680/(10^6)</f>
        <v>13298.37568</v>
      </c>
      <c r="E1204" s="3" t="s">
        <v>86</v>
      </c>
      <c r="F1204" s="5">
        <v>0.216793298721313</v>
      </c>
      <c r="G1204" s="5">
        <v>0.3557208776474</v>
      </c>
      <c r="H1204" s="3" t="s">
        <v>86</v>
      </c>
      <c r="I1204" t="s">
        <v>56</v>
      </c>
    </row>
    <row r="1205" spans="1:9">
      <c r="A1205" s="4" t="s">
        <v>2465</v>
      </c>
      <c r="B1205" s="4" t="s">
        <v>2466</v>
      </c>
      <c r="C1205" s="4" t="s">
        <v>45</v>
      </c>
      <c r="D1205" s="2">
        <f>13234508800/(10^6)</f>
        <v>13234.5088</v>
      </c>
      <c r="E1205" s="5">
        <v>7.77263498306274</v>
      </c>
      <c r="F1205" s="5">
        <v>0.945953547954559</v>
      </c>
      <c r="G1205" s="5">
        <v>8.13801288604736</v>
      </c>
      <c r="H1205" s="5">
        <v>10.3557262420654</v>
      </c>
      <c r="I1205" t="s">
        <v>56</v>
      </c>
    </row>
    <row r="1206" spans="1:9">
      <c r="A1206" s="4" t="s">
        <v>2467</v>
      </c>
      <c r="B1206" s="4" t="s">
        <v>2468</v>
      </c>
      <c r="C1206" s="4" t="s">
        <v>31</v>
      </c>
      <c r="D1206" s="2">
        <f>13117691904/(10^6)</f>
        <v>13117.691904</v>
      </c>
      <c r="E1206" s="5">
        <v>8.10150623321533</v>
      </c>
      <c r="F1206" s="5">
        <v>0.586591601371765</v>
      </c>
      <c r="G1206" s="5">
        <v>0.267521619796753</v>
      </c>
      <c r="H1206" s="5">
        <v>5.59583854675293</v>
      </c>
      <c r="I1206" t="s">
        <v>56</v>
      </c>
    </row>
    <row r="1207" spans="1:9">
      <c r="A1207" s="4" t="s">
        <v>2469</v>
      </c>
      <c r="B1207" s="4" t="s">
        <v>2470</v>
      </c>
      <c r="C1207" s="4" t="s">
        <v>39</v>
      </c>
      <c r="D1207" s="2">
        <f>12902725632/(10^6)</f>
        <v>12902.725632</v>
      </c>
      <c r="E1207" s="5">
        <v>7.72155714035034</v>
      </c>
      <c r="F1207" s="5">
        <v>0.882273554801941</v>
      </c>
      <c r="G1207" s="5">
        <v>2.10291004180908</v>
      </c>
      <c r="H1207" s="5">
        <v>9.94757080078125</v>
      </c>
      <c r="I1207" t="s">
        <v>56</v>
      </c>
    </row>
    <row r="1208" spans="1:9">
      <c r="A1208" s="4" t="s">
        <v>2471</v>
      </c>
      <c r="B1208" s="4" t="s">
        <v>2472</v>
      </c>
      <c r="C1208" s="4" t="s">
        <v>41</v>
      </c>
      <c r="D1208" s="2">
        <f>12894224384/(10^6)</f>
        <v>12894.224384</v>
      </c>
      <c r="E1208" s="5">
        <v>43.2236747741699</v>
      </c>
      <c r="F1208" s="5">
        <v>5.35710859298706</v>
      </c>
      <c r="G1208" s="5">
        <v>4.413987159729</v>
      </c>
      <c r="H1208" s="5">
        <v>21.4155464172363</v>
      </c>
      <c r="I1208" t="s">
        <v>56</v>
      </c>
    </row>
    <row r="1209" spans="1:9">
      <c r="A1209" s="4" t="s">
        <v>2473</v>
      </c>
      <c r="B1209" s="4" t="s">
        <v>2474</v>
      </c>
      <c r="C1209" s="4" t="s">
        <v>37</v>
      </c>
      <c r="D1209" s="2">
        <f>12812033024/(10^6)</f>
        <v>12812.033024</v>
      </c>
      <c r="E1209" s="5">
        <v>24.1877536773682</v>
      </c>
      <c r="F1209" s="5">
        <v>1.86272370815277</v>
      </c>
      <c r="G1209" s="5">
        <v>1.35541248321533</v>
      </c>
      <c r="H1209" s="5">
        <v>10.4703273773193</v>
      </c>
      <c r="I1209" t="s">
        <v>56</v>
      </c>
    </row>
    <row r="1210" spans="1:9">
      <c r="A1210" s="4" t="s">
        <v>2475</v>
      </c>
      <c r="B1210" s="4" t="s">
        <v>2476</v>
      </c>
      <c r="C1210" s="4" t="s">
        <v>39</v>
      </c>
      <c r="D1210" s="2">
        <f>12801533952/(10^6)</f>
        <v>12801.533952</v>
      </c>
      <c r="E1210" s="5">
        <v>15.3144636154175</v>
      </c>
      <c r="F1210" s="5">
        <v>2.767737865448</v>
      </c>
      <c r="G1210" s="5">
        <v>5.02868604660034</v>
      </c>
      <c r="H1210" s="5">
        <v>11.3289670944214</v>
      </c>
      <c r="I1210" t="s">
        <v>56</v>
      </c>
    </row>
    <row r="1211" spans="1:9">
      <c r="A1211" s="4" t="s">
        <v>2477</v>
      </c>
      <c r="B1211" s="4" t="s">
        <v>2478</v>
      </c>
      <c r="C1211" s="4" t="s">
        <v>43</v>
      </c>
      <c r="D1211" s="2">
        <f>12778500096/(10^6)</f>
        <v>12778.500096</v>
      </c>
      <c r="E1211" s="3" t="s">
        <v>86</v>
      </c>
      <c r="F1211" s="5">
        <v>0.754724681377411</v>
      </c>
      <c r="G1211" s="5">
        <v>0.077957771718502</v>
      </c>
      <c r="H1211" s="5">
        <v>3.48934412002564</v>
      </c>
      <c r="I1211" t="s">
        <v>56</v>
      </c>
    </row>
    <row r="1212" spans="1:9">
      <c r="A1212" s="4" t="s">
        <v>2479</v>
      </c>
      <c r="B1212" s="4" t="s">
        <v>2480</v>
      </c>
      <c r="C1212" s="4" t="s">
        <v>27</v>
      </c>
      <c r="D1212" s="2">
        <f>12755811328/(10^6)</f>
        <v>12755.811328</v>
      </c>
      <c r="E1212" s="3" t="s">
        <v>86</v>
      </c>
      <c r="F1212" s="5">
        <v>0.447287827730179</v>
      </c>
      <c r="G1212" s="5">
        <v>0.219557523727417</v>
      </c>
      <c r="H1212" s="3" t="s">
        <v>86</v>
      </c>
      <c r="I1212" t="s">
        <v>56</v>
      </c>
    </row>
    <row r="1213" spans="1:9">
      <c r="A1213" s="4" t="s">
        <v>2481</v>
      </c>
      <c r="B1213" s="4" t="s">
        <v>2482</v>
      </c>
      <c r="C1213" s="4" t="s">
        <v>35</v>
      </c>
      <c r="D1213" s="2">
        <f>12750643200/(10^6)</f>
        <v>12750.6432</v>
      </c>
      <c r="E1213" s="5">
        <v>441.570465087891</v>
      </c>
      <c r="F1213" s="5">
        <v>1.15091586112976</v>
      </c>
      <c r="G1213" s="5">
        <v>0.149801984429359</v>
      </c>
      <c r="H1213" s="5">
        <v>7.67852878570557</v>
      </c>
      <c r="I1213" t="s">
        <v>56</v>
      </c>
    </row>
    <row r="1214" spans="1:9">
      <c r="A1214" s="4" t="s">
        <v>2483</v>
      </c>
      <c r="B1214" s="4" t="s">
        <v>2484</v>
      </c>
      <c r="C1214" s="4" t="s">
        <v>47</v>
      </c>
      <c r="D1214" s="2">
        <f>12740666368/(10^6)</f>
        <v>12740.666368</v>
      </c>
      <c r="E1214" s="5">
        <v>2.53273415565491</v>
      </c>
      <c r="F1214" s="5">
        <v>0.316466152667999</v>
      </c>
      <c r="G1214" s="5">
        <v>96.2574157714844</v>
      </c>
      <c r="H1214" s="5">
        <v>1367.0625</v>
      </c>
      <c r="I1214" t="s">
        <v>56</v>
      </c>
    </row>
    <row r="1215" spans="1:9">
      <c r="A1215" s="4" t="s">
        <v>2485</v>
      </c>
      <c r="B1215" s="4" t="s">
        <v>2486</v>
      </c>
      <c r="C1215" s="4" t="s">
        <v>43</v>
      </c>
      <c r="D1215" s="2">
        <f>12688586752/(10^6)</f>
        <v>12688.586752</v>
      </c>
      <c r="E1215" s="5">
        <v>15.6091022491455</v>
      </c>
      <c r="F1215" s="5">
        <v>0.552156388759613</v>
      </c>
      <c r="G1215" s="5">
        <v>1.90333318710327</v>
      </c>
      <c r="H1215" s="5">
        <v>6.65463304519653</v>
      </c>
      <c r="I1215" t="s">
        <v>56</v>
      </c>
    </row>
    <row r="1216" spans="1:9">
      <c r="A1216" s="4" t="s">
        <v>2487</v>
      </c>
      <c r="B1216" s="4" t="s">
        <v>2488</v>
      </c>
      <c r="C1216" s="4" t="s">
        <v>39</v>
      </c>
      <c r="D1216" s="2">
        <f>12557993984/(10^6)</f>
        <v>12557.993984</v>
      </c>
      <c r="E1216" s="5">
        <v>20.0866641998291</v>
      </c>
      <c r="F1216" s="5">
        <v>1.8834707736969</v>
      </c>
      <c r="G1216" s="5">
        <v>2.84709811210632</v>
      </c>
      <c r="H1216" s="5">
        <v>11.1066284179688</v>
      </c>
      <c r="I1216" t="s">
        <v>56</v>
      </c>
    </row>
    <row r="1217" spans="1:9">
      <c r="A1217" s="4" t="s">
        <v>2489</v>
      </c>
      <c r="B1217" s="4" t="s">
        <v>2490</v>
      </c>
      <c r="C1217" s="4" t="s">
        <v>43</v>
      </c>
      <c r="D1217" s="2">
        <f>12407182336/(10^6)</f>
        <v>12407.182336</v>
      </c>
      <c r="E1217" s="5">
        <v>11.2472677230835</v>
      </c>
      <c r="F1217" s="5">
        <v>1.2767596244812</v>
      </c>
      <c r="G1217" s="5">
        <v>2.3532121181488</v>
      </c>
      <c r="H1217" s="5">
        <v>9.90181064605713</v>
      </c>
      <c r="I1217" t="s">
        <v>56</v>
      </c>
    </row>
    <row r="1218" spans="1:9">
      <c r="A1218" s="4" t="s">
        <v>2491</v>
      </c>
      <c r="B1218" s="4" t="s">
        <v>2492</v>
      </c>
      <c r="C1218" s="4" t="s">
        <v>43</v>
      </c>
      <c r="D1218" s="2">
        <f>12205001728/(10^6)</f>
        <v>12205.001728</v>
      </c>
      <c r="E1218" s="5">
        <v>5.33060598373413</v>
      </c>
      <c r="F1218" s="5">
        <v>0.577989995479584</v>
      </c>
      <c r="G1218" s="5">
        <v>1.09415066242218</v>
      </c>
      <c r="H1218" s="3" t="s">
        <v>86</v>
      </c>
      <c r="I1218" t="s">
        <v>56</v>
      </c>
    </row>
    <row r="1219" spans="1:9">
      <c r="A1219" s="4" t="s">
        <v>2493</v>
      </c>
      <c r="B1219" s="4" t="s">
        <v>2494</v>
      </c>
      <c r="C1219" s="4" t="s">
        <v>47</v>
      </c>
      <c r="D1219" s="2">
        <f>12104496128/(10^6)</f>
        <v>12104.496128</v>
      </c>
      <c r="E1219" s="5">
        <v>3.30464839935303</v>
      </c>
      <c r="F1219" s="5">
        <v>0.561188936233521</v>
      </c>
      <c r="G1219" s="5">
        <v>0.141582846641541</v>
      </c>
      <c r="H1219" s="5">
        <v>0.792049705982208</v>
      </c>
      <c r="I1219" t="s">
        <v>56</v>
      </c>
    </row>
    <row r="1220" spans="1:9">
      <c r="A1220" s="4" t="s">
        <v>2495</v>
      </c>
      <c r="B1220" s="4" t="s">
        <v>2496</v>
      </c>
      <c r="C1220" s="4" t="s">
        <v>31</v>
      </c>
      <c r="D1220" s="2">
        <f>11925147648/(10^6)</f>
        <v>11925.147648</v>
      </c>
      <c r="E1220" s="5">
        <v>8.53073310852051</v>
      </c>
      <c r="F1220" s="5">
        <v>0.988903760910034</v>
      </c>
      <c r="G1220" s="5">
        <v>0.266271770000458</v>
      </c>
      <c r="H1220" s="5">
        <v>4.22817230224609</v>
      </c>
      <c r="I1220" t="s">
        <v>56</v>
      </c>
    </row>
    <row r="1221" spans="1:9">
      <c r="A1221" s="4" t="s">
        <v>2497</v>
      </c>
      <c r="B1221" s="4" t="s">
        <v>2498</v>
      </c>
      <c r="C1221" s="4" t="s">
        <v>39</v>
      </c>
      <c r="D1221" s="2">
        <f>11903545344/(10^6)</f>
        <v>11903.545344</v>
      </c>
      <c r="E1221" s="5">
        <v>14.3266687393188</v>
      </c>
      <c r="F1221" s="5">
        <v>1.78534507751465</v>
      </c>
      <c r="G1221" s="5">
        <v>0.38011509180069</v>
      </c>
      <c r="H1221" s="5">
        <v>6.60502004623413</v>
      </c>
      <c r="I1221" t="s">
        <v>56</v>
      </c>
    </row>
    <row r="1222" spans="1:9">
      <c r="A1222" s="4" t="s">
        <v>2499</v>
      </c>
      <c r="B1222" s="4" t="s">
        <v>2500</v>
      </c>
      <c r="C1222" s="4" t="s">
        <v>37</v>
      </c>
      <c r="D1222" s="2">
        <f>11826682880/(10^6)</f>
        <v>11826.68288</v>
      </c>
      <c r="E1222" s="5">
        <v>36.3775634765625</v>
      </c>
      <c r="F1222" s="5">
        <v>4.55365467071533</v>
      </c>
      <c r="G1222" s="5">
        <v>3.20153498649597</v>
      </c>
      <c r="H1222" s="5">
        <v>17.8427333831787</v>
      </c>
      <c r="I1222" t="s">
        <v>56</v>
      </c>
    </row>
    <row r="1223" spans="1:9">
      <c r="A1223" s="4" t="s">
        <v>2501</v>
      </c>
      <c r="B1223" s="4" t="s">
        <v>2502</v>
      </c>
      <c r="C1223" s="4" t="s">
        <v>41</v>
      </c>
      <c r="D1223" s="2">
        <f>11772525568/(10^6)</f>
        <v>11772.525568</v>
      </c>
      <c r="E1223" s="5">
        <v>62.2189712524414</v>
      </c>
      <c r="F1223" s="5">
        <v>3.76893091201782</v>
      </c>
      <c r="G1223" s="5">
        <v>10.8850317001343</v>
      </c>
      <c r="H1223" s="5">
        <v>12.7028675079346</v>
      </c>
      <c r="I1223" t="s">
        <v>56</v>
      </c>
    </row>
    <row r="1224" spans="1:9">
      <c r="A1224" s="4" t="s">
        <v>2503</v>
      </c>
      <c r="B1224" s="4" t="s">
        <v>2504</v>
      </c>
      <c r="C1224" s="4" t="s">
        <v>43</v>
      </c>
      <c r="D1224" s="2">
        <f>11666072576/(10^6)</f>
        <v>11666.072576</v>
      </c>
      <c r="E1224" s="5">
        <v>6.3861255645752</v>
      </c>
      <c r="F1224" s="5">
        <v>0.39967292547226</v>
      </c>
      <c r="G1224" s="5">
        <v>0.927950263023376</v>
      </c>
      <c r="H1224" s="3" t="s">
        <v>86</v>
      </c>
      <c r="I1224" t="s">
        <v>56</v>
      </c>
    </row>
    <row r="1225" spans="1:9">
      <c r="A1225" s="4" t="s">
        <v>2505</v>
      </c>
      <c r="B1225" s="4" t="s">
        <v>2506</v>
      </c>
      <c r="C1225" s="4" t="s">
        <v>31</v>
      </c>
      <c r="D1225" s="2">
        <f>11621711872/(10^6)</f>
        <v>11621.711872</v>
      </c>
      <c r="E1225" s="5">
        <v>25.7482395172119</v>
      </c>
      <c r="F1225" s="5">
        <v>4.02892827987671</v>
      </c>
      <c r="G1225" s="5">
        <v>1.92096614837647</v>
      </c>
      <c r="H1225" s="5">
        <v>13.150092124939</v>
      </c>
      <c r="I1225" t="s">
        <v>56</v>
      </c>
    </row>
    <row r="1226" spans="1:9">
      <c r="A1226" s="4" t="s">
        <v>2507</v>
      </c>
      <c r="B1226" s="4" t="s">
        <v>2508</v>
      </c>
      <c r="C1226" s="4" t="s">
        <v>43</v>
      </c>
      <c r="D1226" s="2">
        <f>11371382784/(10^6)</f>
        <v>11371.382784</v>
      </c>
      <c r="E1226" s="5">
        <v>7.73513031005859</v>
      </c>
      <c r="F1226" s="5">
        <v>1.06906473636627</v>
      </c>
      <c r="G1226" s="5">
        <v>0.94307816028595</v>
      </c>
      <c r="H1226" s="5">
        <v>20.8032093048096</v>
      </c>
      <c r="I1226" t="s">
        <v>56</v>
      </c>
    </row>
    <row r="1227" spans="1:9">
      <c r="A1227" s="4" t="s">
        <v>2509</v>
      </c>
      <c r="B1227" s="4" t="s">
        <v>2510</v>
      </c>
      <c r="C1227" s="4" t="s">
        <v>35</v>
      </c>
      <c r="D1227" s="2">
        <f>11223475200/(10^6)</f>
        <v>11223.4752</v>
      </c>
      <c r="E1227" s="5">
        <v>25.1873512268066</v>
      </c>
      <c r="F1227" s="5">
        <v>4.97221231460571</v>
      </c>
      <c r="G1227" s="5">
        <v>0.526324570178986</v>
      </c>
      <c r="H1227" s="5">
        <v>9.18956851959229</v>
      </c>
      <c r="I1227" t="s">
        <v>56</v>
      </c>
    </row>
    <row r="1228" spans="1:9">
      <c r="A1228" s="4" t="s">
        <v>2511</v>
      </c>
      <c r="B1228" s="4" t="s">
        <v>2512</v>
      </c>
      <c r="C1228" s="4" t="s">
        <v>31</v>
      </c>
      <c r="D1228" s="2">
        <f>11171070976/(10^6)</f>
        <v>11171.070976</v>
      </c>
      <c r="E1228" s="5">
        <v>9.57897186279297</v>
      </c>
      <c r="F1228" s="5">
        <v>1.57296967506409</v>
      </c>
      <c r="G1228" s="5">
        <v>1.16795241832733</v>
      </c>
      <c r="H1228" s="5">
        <v>5.71511077880859</v>
      </c>
      <c r="I1228" t="s">
        <v>56</v>
      </c>
    </row>
    <row r="1229" spans="1:9">
      <c r="A1229" s="4" t="s">
        <v>2513</v>
      </c>
      <c r="B1229" s="4" t="s">
        <v>2514</v>
      </c>
      <c r="C1229" s="4" t="s">
        <v>47</v>
      </c>
      <c r="D1229" s="2">
        <f>11167681536/(10^6)</f>
        <v>11167.681536</v>
      </c>
      <c r="E1229" s="3" t="s">
        <v>86</v>
      </c>
      <c r="F1229" s="5">
        <v>3.73116159439087</v>
      </c>
      <c r="G1229" s="5">
        <v>9.67677402496338</v>
      </c>
      <c r="H1229" s="3" t="s">
        <v>86</v>
      </c>
      <c r="I1229" t="s">
        <v>56</v>
      </c>
    </row>
    <row r="1230" spans="1:9">
      <c r="A1230" s="4" t="s">
        <v>2515</v>
      </c>
      <c r="B1230" s="4" t="s">
        <v>2516</v>
      </c>
      <c r="C1230" s="4" t="s">
        <v>47</v>
      </c>
      <c r="D1230" s="2">
        <f>11155568640/(10^6)</f>
        <v>11155.56864</v>
      </c>
      <c r="E1230" s="5">
        <v>2.56289935112</v>
      </c>
      <c r="F1230" s="5">
        <v>0.352403193712234</v>
      </c>
      <c r="G1230" s="5">
        <v>0.092771619558334</v>
      </c>
      <c r="H1230" s="5">
        <v>0.717117607593536</v>
      </c>
      <c r="I1230" t="s">
        <v>56</v>
      </c>
    </row>
    <row r="1231" spans="1:9">
      <c r="A1231" s="4" t="s">
        <v>2517</v>
      </c>
      <c r="B1231" s="4" t="s">
        <v>2518</v>
      </c>
      <c r="C1231" s="4" t="s">
        <v>51</v>
      </c>
      <c r="D1231" s="2">
        <f>10894863360/(10^6)</f>
        <v>10894.86336</v>
      </c>
      <c r="E1231" s="5">
        <v>31.1909523010254</v>
      </c>
      <c r="F1231" s="5">
        <v>3.03556966781616</v>
      </c>
      <c r="G1231" s="5">
        <v>4.08853340148926</v>
      </c>
      <c r="H1231" s="5">
        <v>18.8328590393066</v>
      </c>
      <c r="I1231" t="s">
        <v>56</v>
      </c>
    </row>
    <row r="1232" spans="1:9">
      <c r="A1232" s="4" t="s">
        <v>2519</v>
      </c>
      <c r="B1232" s="4" t="s">
        <v>2520</v>
      </c>
      <c r="C1232" s="4" t="s">
        <v>31</v>
      </c>
      <c r="D1232" s="2">
        <f>10698432512/(10^6)</f>
        <v>10698.432512</v>
      </c>
      <c r="E1232" s="5">
        <v>17.0896530151367</v>
      </c>
      <c r="F1232" s="5">
        <v>1.81027901172638</v>
      </c>
      <c r="G1232" s="5">
        <v>1.93803954124451</v>
      </c>
      <c r="H1232" s="5">
        <v>9.20433330535889</v>
      </c>
      <c r="I1232" t="s">
        <v>56</v>
      </c>
    </row>
    <row r="1233" spans="1:9">
      <c r="A1233" s="4" t="s">
        <v>2521</v>
      </c>
      <c r="B1233" s="4" t="s">
        <v>2522</v>
      </c>
      <c r="C1233" s="4" t="s">
        <v>31</v>
      </c>
      <c r="D1233" s="2">
        <f>10552628224/(10^6)</f>
        <v>10552.628224</v>
      </c>
      <c r="E1233" s="5">
        <v>6.42891693115234</v>
      </c>
      <c r="F1233" s="5">
        <v>1.09039771556854</v>
      </c>
      <c r="G1233" s="5">
        <v>0.836769759654999</v>
      </c>
      <c r="H1233" s="5">
        <v>8.90618419647217</v>
      </c>
      <c r="I1233" t="s">
        <v>56</v>
      </c>
    </row>
    <row r="1234" spans="1:9">
      <c r="A1234" s="4" t="s">
        <v>2523</v>
      </c>
      <c r="B1234" s="4" t="s">
        <v>2524</v>
      </c>
      <c r="C1234" s="4" t="s">
        <v>31</v>
      </c>
      <c r="D1234" s="2">
        <f>10286529536/(10^6)</f>
        <v>10286.529536</v>
      </c>
      <c r="E1234" s="3" t="s">
        <v>86</v>
      </c>
      <c r="F1234" s="5">
        <v>1.49143671989441</v>
      </c>
      <c r="G1234" s="5">
        <v>0.896887004375458</v>
      </c>
      <c r="H1234" s="5">
        <v>14.0123682022095</v>
      </c>
      <c r="I1234" t="s">
        <v>56</v>
      </c>
    </row>
    <row r="1235" spans="1:9">
      <c r="A1235" s="4" t="s">
        <v>2525</v>
      </c>
      <c r="B1235" s="4" t="s">
        <v>2526</v>
      </c>
      <c r="C1235" s="4" t="s">
        <v>45</v>
      </c>
      <c r="D1235" s="2">
        <f>10276985856/(10^6)</f>
        <v>10276.985856</v>
      </c>
      <c r="E1235" s="5">
        <v>6.00944137573242</v>
      </c>
      <c r="F1235" s="5">
        <v>0.714892089366913</v>
      </c>
      <c r="G1235" s="5">
        <v>11.1913833618164</v>
      </c>
      <c r="H1235" s="5">
        <v>10.5579929351807</v>
      </c>
      <c r="I1235" t="s">
        <v>56</v>
      </c>
    </row>
    <row r="1236" spans="1:9">
      <c r="A1236" s="4" t="s">
        <v>2527</v>
      </c>
      <c r="B1236" s="4" t="s">
        <v>2528</v>
      </c>
      <c r="C1236" s="4" t="s">
        <v>51</v>
      </c>
      <c r="D1236" s="2">
        <f>10230506496/(10^6)</f>
        <v>10230.506496</v>
      </c>
      <c r="E1236" s="5">
        <v>28.7750492095947</v>
      </c>
      <c r="F1236" s="3" t="s">
        <v>86</v>
      </c>
      <c r="G1236" s="5">
        <v>5.52965879440308</v>
      </c>
      <c r="H1236" s="5">
        <v>15.7431392669678</v>
      </c>
      <c r="I1236" t="s">
        <v>56</v>
      </c>
    </row>
    <row r="1237" spans="1:9">
      <c r="A1237" s="4" t="s">
        <v>2529</v>
      </c>
      <c r="B1237" s="4" t="s">
        <v>2530</v>
      </c>
      <c r="C1237" s="4" t="s">
        <v>33</v>
      </c>
      <c r="D1237" s="2">
        <f>10008089600/(10^6)</f>
        <v>10008.0896</v>
      </c>
      <c r="E1237" s="5">
        <v>28.4947376251221</v>
      </c>
      <c r="F1237" s="5">
        <v>7.53032922744751</v>
      </c>
      <c r="G1237" s="5">
        <v>4.69540214538574</v>
      </c>
      <c r="H1237" s="5">
        <v>15.4547510147095</v>
      </c>
      <c r="I1237" t="s">
        <v>56</v>
      </c>
    </row>
    <row r="1238" spans="1:9">
      <c r="A1238" s="4" t="s">
        <v>2531</v>
      </c>
      <c r="B1238" s="4" t="s">
        <v>2532</v>
      </c>
      <c r="C1238" s="4" t="s">
        <v>47</v>
      </c>
      <c r="D1238" s="2">
        <f>9875277824/(10^6)</f>
        <v>9875.277824</v>
      </c>
      <c r="E1238" s="5">
        <v>12.9257354736328</v>
      </c>
      <c r="F1238" s="5">
        <v>1.93320763111115</v>
      </c>
      <c r="G1238" s="5">
        <v>0.39161616563797</v>
      </c>
      <c r="H1238" s="5">
        <v>7.89611434936523</v>
      </c>
      <c r="I1238" t="s">
        <v>56</v>
      </c>
    </row>
    <row r="1239" spans="1:9">
      <c r="A1239" s="4" t="s">
        <v>2533</v>
      </c>
      <c r="B1239" s="4" t="s">
        <v>2534</v>
      </c>
      <c r="C1239" s="4" t="s">
        <v>33</v>
      </c>
      <c r="D1239" s="2">
        <f>9818860544/(10^6)</f>
        <v>9818.860544</v>
      </c>
      <c r="E1239" s="5">
        <v>14.6582174301147</v>
      </c>
      <c r="F1239" s="5">
        <v>3.55715537071228</v>
      </c>
      <c r="G1239" s="5">
        <v>1.563347697258</v>
      </c>
      <c r="H1239" s="5">
        <v>5.9753270149231</v>
      </c>
      <c r="I1239" t="s">
        <v>56</v>
      </c>
    </row>
    <row r="1240" spans="1:9">
      <c r="A1240" s="4" t="s">
        <v>2535</v>
      </c>
      <c r="B1240" s="4" t="s">
        <v>2536</v>
      </c>
      <c r="C1240" s="4" t="s">
        <v>39</v>
      </c>
      <c r="D1240" s="2">
        <f>9599192064/(10^6)</f>
        <v>9599.192064</v>
      </c>
      <c r="E1240" s="5">
        <v>12.1359491348267</v>
      </c>
      <c r="F1240" s="5">
        <v>2.47854900360107</v>
      </c>
      <c r="G1240" s="5">
        <v>4.29898738861084</v>
      </c>
      <c r="H1240" s="5">
        <v>9.66515445709229</v>
      </c>
      <c r="I1240" t="s">
        <v>56</v>
      </c>
    </row>
    <row r="1241" spans="1:9">
      <c r="A1241" s="4" t="s">
        <v>2537</v>
      </c>
      <c r="B1241" s="4" t="s">
        <v>2538</v>
      </c>
      <c r="C1241" s="4" t="s">
        <v>47</v>
      </c>
      <c r="D1241" s="2">
        <f>9488776192/(10^6)</f>
        <v>9488.776192</v>
      </c>
      <c r="E1241" s="5">
        <v>23.2477474212646</v>
      </c>
      <c r="F1241" s="5">
        <v>6.39520168304443</v>
      </c>
      <c r="G1241" s="5">
        <v>5.12397909164429</v>
      </c>
      <c r="H1241" s="5">
        <v>12.8740081787109</v>
      </c>
      <c r="I1241" t="s">
        <v>56</v>
      </c>
    </row>
    <row r="1242" spans="1:9">
      <c r="A1242" s="4" t="s">
        <v>2539</v>
      </c>
      <c r="B1242" s="4" t="s">
        <v>2540</v>
      </c>
      <c r="C1242" s="4" t="s">
        <v>37</v>
      </c>
      <c r="D1242" s="2">
        <f>9446544384/(10^6)</f>
        <v>9446.544384</v>
      </c>
      <c r="E1242" s="3" t="s">
        <v>86</v>
      </c>
      <c r="F1242" s="5">
        <v>0.230463236570358</v>
      </c>
      <c r="G1242" s="5">
        <v>0.125844731926918</v>
      </c>
      <c r="H1242" s="5">
        <v>8.56150150299072</v>
      </c>
      <c r="I1242" t="s">
        <v>56</v>
      </c>
    </row>
    <row r="1243" spans="1:9">
      <c r="A1243" s="4" t="s">
        <v>2541</v>
      </c>
      <c r="B1243" s="4" t="s">
        <v>2542</v>
      </c>
      <c r="C1243" s="4" t="s">
        <v>47</v>
      </c>
      <c r="D1243" s="2">
        <f>9420053504/(10^6)</f>
        <v>9420.053504</v>
      </c>
      <c r="E1243" s="5">
        <v>75.0618515014648</v>
      </c>
      <c r="F1243" s="5">
        <v>4.96538496017456</v>
      </c>
      <c r="G1243" s="5">
        <v>1.25308704376221</v>
      </c>
      <c r="H1243" s="5">
        <v>22.6581211090088</v>
      </c>
      <c r="I1243" t="s">
        <v>56</v>
      </c>
    </row>
    <row r="1244" spans="1:9">
      <c r="A1244" s="4" t="s">
        <v>2543</v>
      </c>
      <c r="B1244" s="4" t="s">
        <v>2544</v>
      </c>
      <c r="C1244" s="4" t="s">
        <v>39</v>
      </c>
      <c r="D1244" s="2">
        <f>9385610240/(10^6)</f>
        <v>9385.61024</v>
      </c>
      <c r="E1244" s="5">
        <v>13.6709260940552</v>
      </c>
      <c r="F1244" s="5">
        <v>0.734748423099518</v>
      </c>
      <c r="G1244" s="5">
        <v>0.127133890986443</v>
      </c>
      <c r="H1244" s="5">
        <v>3.82536244392395</v>
      </c>
      <c r="I1244" t="s">
        <v>56</v>
      </c>
    </row>
    <row r="1245" spans="1:9">
      <c r="A1245" s="4" t="s">
        <v>2545</v>
      </c>
      <c r="B1245" s="4" t="s">
        <v>2546</v>
      </c>
      <c r="C1245" s="4" t="s">
        <v>37</v>
      </c>
      <c r="D1245" s="2">
        <f>9378119680/(10^6)</f>
        <v>9378.11968</v>
      </c>
      <c r="E1245" s="5">
        <v>11.4334058761597</v>
      </c>
      <c r="F1245" s="5">
        <v>0.95979380607605</v>
      </c>
      <c r="G1245" s="5">
        <v>0.656801223754883</v>
      </c>
      <c r="H1245" s="5">
        <v>5.16556882858276</v>
      </c>
      <c r="I1245" t="s">
        <v>56</v>
      </c>
    </row>
    <row r="1246" spans="1:9">
      <c r="A1246" s="4" t="s">
        <v>2547</v>
      </c>
      <c r="B1246" s="4" t="s">
        <v>2548</v>
      </c>
      <c r="C1246" s="4" t="s">
        <v>31</v>
      </c>
      <c r="D1246" s="2">
        <f>9350692864/(10^6)</f>
        <v>9350.692864</v>
      </c>
      <c r="E1246" s="5">
        <v>26.4754161834717</v>
      </c>
      <c r="F1246" s="5">
        <v>2.83325576782227</v>
      </c>
      <c r="G1246" s="5">
        <v>1.05827605724335</v>
      </c>
      <c r="H1246" s="5">
        <v>10.6297960281372</v>
      </c>
      <c r="I1246" t="s">
        <v>56</v>
      </c>
    </row>
    <row r="1247" spans="1:9">
      <c r="A1247" s="4" t="s">
        <v>2549</v>
      </c>
      <c r="B1247" s="4" t="s">
        <v>2550</v>
      </c>
      <c r="C1247" s="4" t="s">
        <v>47</v>
      </c>
      <c r="D1247" s="2">
        <f>9256422400/(10^6)</f>
        <v>9256.4224</v>
      </c>
      <c r="E1247" s="5">
        <v>31.4999771118164</v>
      </c>
      <c r="F1247" s="5">
        <v>4.25831270217896</v>
      </c>
      <c r="G1247" s="5">
        <v>1.6611362695694</v>
      </c>
      <c r="H1247" s="3" t="s">
        <v>86</v>
      </c>
      <c r="I1247" t="s">
        <v>56</v>
      </c>
    </row>
    <row r="1248" spans="1:9">
      <c r="A1248" s="4" t="s">
        <v>2551</v>
      </c>
      <c r="B1248" s="4" t="s">
        <v>2552</v>
      </c>
      <c r="C1248" s="4" t="s">
        <v>31</v>
      </c>
      <c r="D1248" s="2">
        <f>9205522432/(10^6)</f>
        <v>9205.522432</v>
      </c>
      <c r="E1248" s="5">
        <v>22.0052337646484</v>
      </c>
      <c r="F1248" s="5">
        <v>3.91819953918457</v>
      </c>
      <c r="G1248" s="5">
        <v>1.74425518512726</v>
      </c>
      <c r="H1248" s="5">
        <v>14.9364595413208</v>
      </c>
      <c r="I1248" t="s">
        <v>56</v>
      </c>
    </row>
    <row r="1249" spans="1:9">
      <c r="A1249" s="4" t="s">
        <v>2553</v>
      </c>
      <c r="B1249" s="4" t="s">
        <v>2554</v>
      </c>
      <c r="C1249" s="4" t="s">
        <v>43</v>
      </c>
      <c r="D1249" s="2">
        <f>9195771904/(10^6)</f>
        <v>9195.771904</v>
      </c>
      <c r="E1249" s="5">
        <v>4.16122913360596</v>
      </c>
      <c r="F1249" s="5">
        <v>0.215090751647949</v>
      </c>
      <c r="G1249" s="5">
        <v>0.400885581970215</v>
      </c>
      <c r="H1249" s="3" t="s">
        <v>86</v>
      </c>
      <c r="I1249" t="s">
        <v>56</v>
      </c>
    </row>
    <row r="1250" spans="1:9">
      <c r="A1250" s="4" t="s">
        <v>2555</v>
      </c>
      <c r="B1250" s="4" t="s">
        <v>2556</v>
      </c>
      <c r="C1250" s="4" t="s">
        <v>41</v>
      </c>
      <c r="D1250" s="2">
        <f>9156901888/(10^6)</f>
        <v>9156.901888</v>
      </c>
      <c r="E1250" s="5">
        <v>27.786039352417</v>
      </c>
      <c r="F1250" s="5">
        <v>3.63186979293823</v>
      </c>
      <c r="G1250" s="5">
        <v>6.00955581665039</v>
      </c>
      <c r="H1250" s="5">
        <v>44.5331115722656</v>
      </c>
      <c r="I1250" t="s">
        <v>56</v>
      </c>
    </row>
    <row r="1251" spans="1:9">
      <c r="A1251" s="4" t="s">
        <v>2557</v>
      </c>
      <c r="B1251" s="4" t="s">
        <v>2558</v>
      </c>
      <c r="C1251" s="4" t="s">
        <v>27</v>
      </c>
      <c r="D1251" s="2">
        <f>8959346688/(10^6)</f>
        <v>8959.346688</v>
      </c>
      <c r="E1251" s="5">
        <v>20.2475070953369</v>
      </c>
      <c r="F1251" s="5">
        <v>1.78832972049713</v>
      </c>
      <c r="G1251" s="5">
        <v>0.476945847272873</v>
      </c>
      <c r="H1251" s="5">
        <v>5.39675188064575</v>
      </c>
      <c r="I1251" t="s">
        <v>56</v>
      </c>
    </row>
    <row r="1252" spans="1:9">
      <c r="A1252" s="4" t="s">
        <v>2559</v>
      </c>
      <c r="B1252" s="4" t="s">
        <v>2560</v>
      </c>
      <c r="C1252" s="4" t="s">
        <v>33</v>
      </c>
      <c r="D1252" s="2">
        <f>8811693056/(10^6)</f>
        <v>8811.693056</v>
      </c>
      <c r="E1252" s="3" t="s">
        <v>86</v>
      </c>
      <c r="F1252" s="5">
        <v>7.0717658996582</v>
      </c>
      <c r="G1252" s="5">
        <v>4.03415489196777</v>
      </c>
      <c r="H1252" s="5">
        <v>12.5459680557251</v>
      </c>
      <c r="I1252" t="s">
        <v>56</v>
      </c>
    </row>
    <row r="1253" spans="1:9">
      <c r="A1253" s="4" t="s">
        <v>2561</v>
      </c>
      <c r="B1253" s="4" t="s">
        <v>2562</v>
      </c>
      <c r="C1253" s="4" t="s">
        <v>35</v>
      </c>
      <c r="D1253" s="2">
        <f>8784037888/(10^6)</f>
        <v>8784.037888</v>
      </c>
      <c r="E1253" s="3" t="s">
        <v>86</v>
      </c>
      <c r="F1253" s="5">
        <v>3.23036336898804</v>
      </c>
      <c r="G1253" s="5">
        <v>4.16273832321167</v>
      </c>
      <c r="H1253" s="5">
        <v>17.3296489715576</v>
      </c>
      <c r="I1253" t="s">
        <v>56</v>
      </c>
    </row>
    <row r="1254" spans="1:9">
      <c r="A1254" s="4" t="s">
        <v>2563</v>
      </c>
      <c r="B1254" s="4" t="s">
        <v>2564</v>
      </c>
      <c r="C1254" s="4" t="s">
        <v>27</v>
      </c>
      <c r="D1254" s="2">
        <f>8781696000/(10^6)</f>
        <v>8781.696</v>
      </c>
      <c r="E1254" s="5">
        <v>4.57504844665527</v>
      </c>
      <c r="F1254" s="5">
        <v>0.695904314517975</v>
      </c>
      <c r="G1254" s="5">
        <v>0.327176690101624</v>
      </c>
      <c r="H1254" s="5">
        <v>3.30132341384888</v>
      </c>
      <c r="I1254" t="s">
        <v>56</v>
      </c>
    </row>
    <row r="1255" spans="1:9">
      <c r="A1255" s="4" t="s">
        <v>2565</v>
      </c>
      <c r="B1255" s="4" t="s">
        <v>2566</v>
      </c>
      <c r="C1255" s="4" t="s">
        <v>43</v>
      </c>
      <c r="D1255" s="2">
        <f>8737769472/(10^6)</f>
        <v>8737.769472</v>
      </c>
      <c r="E1255" s="5">
        <v>5.42384481430054</v>
      </c>
      <c r="F1255" s="5">
        <v>0.505340218544006</v>
      </c>
      <c r="G1255" s="5">
        <v>0.739705085754395</v>
      </c>
      <c r="H1255" s="3" t="s">
        <v>86</v>
      </c>
      <c r="I1255" t="s">
        <v>56</v>
      </c>
    </row>
    <row r="1256" spans="1:9">
      <c r="A1256" s="4" t="s">
        <v>2567</v>
      </c>
      <c r="B1256" s="4" t="s">
        <v>2568</v>
      </c>
      <c r="C1256" s="4" t="s">
        <v>37</v>
      </c>
      <c r="D1256" s="2">
        <f>8570545152/(10^6)</f>
        <v>8570.545152</v>
      </c>
      <c r="E1256" s="5">
        <v>25.8132152557373</v>
      </c>
      <c r="F1256" s="5">
        <v>2.87519383430481</v>
      </c>
      <c r="G1256" s="5">
        <v>0.426095247268677</v>
      </c>
      <c r="H1256" s="5">
        <v>12.9340257644653</v>
      </c>
      <c r="I1256" t="s">
        <v>56</v>
      </c>
    </row>
    <row r="1257" spans="1:9">
      <c r="A1257" s="4" t="s">
        <v>2569</v>
      </c>
      <c r="B1257" s="4" t="s">
        <v>2570</v>
      </c>
      <c r="C1257" s="4" t="s">
        <v>41</v>
      </c>
      <c r="D1257" s="2">
        <f>8536795648/(10^6)</f>
        <v>8536.795648</v>
      </c>
      <c r="E1257" s="5">
        <v>38.662467956543</v>
      </c>
      <c r="F1257" s="5">
        <v>4.12484121322632</v>
      </c>
      <c r="G1257" s="5">
        <v>1.65264141559601</v>
      </c>
      <c r="H1257" s="5">
        <v>15.7420711517334</v>
      </c>
      <c r="I1257" t="s">
        <v>56</v>
      </c>
    </row>
    <row r="1258" spans="1:9">
      <c r="A1258" s="4" t="s">
        <v>2571</v>
      </c>
      <c r="B1258" s="4" t="s">
        <v>2572</v>
      </c>
      <c r="C1258" s="4" t="s">
        <v>33</v>
      </c>
      <c r="D1258" s="2">
        <f>8531957248/(10^6)</f>
        <v>8531.957248</v>
      </c>
      <c r="E1258" s="5">
        <v>8.40355777740479</v>
      </c>
      <c r="F1258" s="5">
        <v>0.372934311628342</v>
      </c>
      <c r="G1258" s="5">
        <v>0.420781195163727</v>
      </c>
      <c r="H1258" s="5">
        <v>4.72793960571289</v>
      </c>
      <c r="I1258" t="s">
        <v>56</v>
      </c>
    </row>
    <row r="1259" spans="1:9">
      <c r="A1259" s="4" t="s">
        <v>2573</v>
      </c>
      <c r="B1259" s="4" t="s">
        <v>2574</v>
      </c>
      <c r="C1259" s="4" t="s">
        <v>31</v>
      </c>
      <c r="D1259" s="2">
        <f>8497954304/(10^6)</f>
        <v>8497.954304</v>
      </c>
      <c r="E1259" s="3" t="s">
        <v>86</v>
      </c>
      <c r="F1259" s="3" t="s">
        <v>86</v>
      </c>
      <c r="G1259" s="3" t="s">
        <v>86</v>
      </c>
      <c r="H1259" s="3" t="s">
        <v>86</v>
      </c>
      <c r="I1259" t="s">
        <v>56</v>
      </c>
    </row>
    <row r="1260" spans="1:9">
      <c r="A1260" s="4" t="s">
        <v>2575</v>
      </c>
      <c r="B1260" s="4" t="s">
        <v>2576</v>
      </c>
      <c r="C1260" s="4" t="s">
        <v>43</v>
      </c>
      <c r="D1260" s="2">
        <f>8494517248/(10^6)</f>
        <v>8494.517248</v>
      </c>
      <c r="E1260" s="5">
        <v>3.53279304504395</v>
      </c>
      <c r="F1260" s="5">
        <v>0.332465171813965</v>
      </c>
      <c r="G1260" s="5">
        <v>0.533190906047821</v>
      </c>
      <c r="H1260" s="3" t="s">
        <v>86</v>
      </c>
      <c r="I1260" t="s">
        <v>56</v>
      </c>
    </row>
    <row r="1261" spans="1:9">
      <c r="A1261" s="4" t="s">
        <v>2577</v>
      </c>
      <c r="B1261" s="4" t="s">
        <v>2578</v>
      </c>
      <c r="C1261" s="4" t="s">
        <v>31</v>
      </c>
      <c r="D1261" s="2">
        <f>8488766976/(10^6)</f>
        <v>8488.766976</v>
      </c>
      <c r="E1261" s="5">
        <v>20.1692581176758</v>
      </c>
      <c r="F1261" s="5">
        <v>5.98831701278687</v>
      </c>
      <c r="G1261" s="5">
        <v>1.45202374458313</v>
      </c>
      <c r="H1261" s="5">
        <v>9.66294574737549</v>
      </c>
      <c r="I1261" t="s">
        <v>56</v>
      </c>
    </row>
    <row r="1262" spans="1:9">
      <c r="A1262" s="4" t="s">
        <v>2579</v>
      </c>
      <c r="B1262" s="4" t="s">
        <v>2580</v>
      </c>
      <c r="C1262" s="4" t="s">
        <v>41</v>
      </c>
      <c r="D1262" s="2">
        <f>8428764672/(10^6)</f>
        <v>8428.764672</v>
      </c>
      <c r="E1262" s="5">
        <v>21.0883407592773</v>
      </c>
      <c r="F1262" s="5">
        <v>6.52011156082153</v>
      </c>
      <c r="G1262" s="5">
        <v>5.24582576751709</v>
      </c>
      <c r="H1262" s="5">
        <v>15.6657657623291</v>
      </c>
      <c r="I1262" t="s">
        <v>56</v>
      </c>
    </row>
    <row r="1263" spans="1:9">
      <c r="A1263" s="4" t="s">
        <v>2581</v>
      </c>
      <c r="B1263" s="4" t="s">
        <v>2582</v>
      </c>
      <c r="C1263" s="4" t="s">
        <v>37</v>
      </c>
      <c r="D1263" s="2">
        <f>8388760064/(10^6)</f>
        <v>8388.760064</v>
      </c>
      <c r="E1263" s="5">
        <v>6.48425340652466</v>
      </c>
      <c r="F1263" s="5">
        <v>0.429019302129745</v>
      </c>
      <c r="G1263" s="3" t="s">
        <v>86</v>
      </c>
      <c r="H1263" s="5">
        <v>5.45739841461182</v>
      </c>
      <c r="I1263" t="s">
        <v>56</v>
      </c>
    </row>
    <row r="1264" spans="1:9">
      <c r="A1264" s="4" t="s">
        <v>2583</v>
      </c>
      <c r="B1264" s="4" t="s">
        <v>2584</v>
      </c>
      <c r="C1264" s="4" t="s">
        <v>41</v>
      </c>
      <c r="D1264" s="2">
        <f>8330423808/(10^6)</f>
        <v>8330.423808</v>
      </c>
      <c r="E1264" s="5">
        <v>58.7767906188965</v>
      </c>
      <c r="F1264" s="5">
        <v>5.78023910522461</v>
      </c>
      <c r="G1264" s="5">
        <v>5.6649923324585</v>
      </c>
      <c r="H1264" s="5">
        <v>29.6111621856689</v>
      </c>
      <c r="I1264" t="s">
        <v>56</v>
      </c>
    </row>
    <row r="1265" spans="1:9">
      <c r="A1265" s="4" t="s">
        <v>2585</v>
      </c>
      <c r="B1265" s="4" t="s">
        <v>2586</v>
      </c>
      <c r="C1265" s="4" t="s">
        <v>33</v>
      </c>
      <c r="D1265" s="2">
        <f>8323330560/(10^6)</f>
        <v>8323.33056</v>
      </c>
      <c r="E1265" s="5">
        <v>4.27023458480835</v>
      </c>
      <c r="F1265" s="5">
        <v>1.45695972442627</v>
      </c>
      <c r="G1265" s="5">
        <v>1.40008914470673</v>
      </c>
      <c r="H1265" s="5">
        <v>3.38068389892578</v>
      </c>
      <c r="I1265" t="s">
        <v>56</v>
      </c>
    </row>
    <row r="1266" spans="1:9">
      <c r="A1266" s="4" t="s">
        <v>2587</v>
      </c>
      <c r="B1266" s="4" t="s">
        <v>2588</v>
      </c>
      <c r="C1266" s="4" t="s">
        <v>45</v>
      </c>
      <c r="D1266" s="2">
        <f>8251691520/(10^6)</f>
        <v>8251.69152</v>
      </c>
      <c r="E1266" s="5">
        <v>6.41332340240479</v>
      </c>
      <c r="F1266" s="5">
        <v>0.272695034742355</v>
      </c>
      <c r="G1266" s="5">
        <v>2.09266495704651</v>
      </c>
      <c r="H1266" s="5">
        <v>50.5463027954102</v>
      </c>
      <c r="I1266" t="s">
        <v>56</v>
      </c>
    </row>
    <row r="1267" spans="1:9">
      <c r="A1267" s="4" t="s">
        <v>2589</v>
      </c>
      <c r="B1267" s="4" t="s">
        <v>2590</v>
      </c>
      <c r="C1267" s="4" t="s">
        <v>33</v>
      </c>
      <c r="D1267" s="2">
        <f>8175479296/(10^6)</f>
        <v>8175.479296</v>
      </c>
      <c r="E1267" s="5">
        <v>30.6636714935303</v>
      </c>
      <c r="F1267" s="5">
        <v>0.792253851890564</v>
      </c>
      <c r="G1267" s="5">
        <v>0.289587080478668</v>
      </c>
      <c r="H1267" s="5">
        <v>11.4665651321411</v>
      </c>
      <c r="I1267" t="s">
        <v>56</v>
      </c>
    </row>
    <row r="1268" spans="1:9">
      <c r="A1268" s="4" t="s">
        <v>2591</v>
      </c>
      <c r="B1268" s="4" t="s">
        <v>2592</v>
      </c>
      <c r="C1268" s="4" t="s">
        <v>31</v>
      </c>
      <c r="D1268" s="2">
        <f>7972091392/(10^6)</f>
        <v>7972.091392</v>
      </c>
      <c r="E1268" s="5">
        <v>7.0404748916626</v>
      </c>
      <c r="F1268" s="5">
        <v>1.3121657371521</v>
      </c>
      <c r="G1268" s="5">
        <v>0.285382390022278</v>
      </c>
      <c r="H1268" s="5">
        <v>2.07853841781616</v>
      </c>
      <c r="I1268" t="s">
        <v>56</v>
      </c>
    </row>
    <row r="1269" spans="1:9">
      <c r="A1269" s="4" t="s">
        <v>2593</v>
      </c>
      <c r="B1269" s="4" t="s">
        <v>2594</v>
      </c>
      <c r="C1269" s="4" t="s">
        <v>47</v>
      </c>
      <c r="D1269" s="2">
        <f>7888965120/(10^6)</f>
        <v>7888.96512</v>
      </c>
      <c r="E1269" s="5">
        <v>15.402045249939</v>
      </c>
      <c r="F1269" s="5">
        <v>1.00201332569122</v>
      </c>
      <c r="G1269" s="5">
        <v>1.69493293762207</v>
      </c>
      <c r="H1269" s="5">
        <v>8.53027629852295</v>
      </c>
      <c r="I1269" t="s">
        <v>56</v>
      </c>
    </row>
    <row r="1270" spans="1:9">
      <c r="A1270" s="4" t="s">
        <v>2595</v>
      </c>
      <c r="B1270" s="4" t="s">
        <v>2596</v>
      </c>
      <c r="C1270" s="4" t="s">
        <v>51</v>
      </c>
      <c r="D1270" s="2">
        <f>7842037248/(10^6)</f>
        <v>7842.037248</v>
      </c>
      <c r="E1270" s="5">
        <v>302.812164306641</v>
      </c>
      <c r="F1270" s="5">
        <v>5.43462944030762</v>
      </c>
      <c r="G1270" s="5">
        <v>4.36674499511719</v>
      </c>
      <c r="H1270" s="3" t="s">
        <v>86</v>
      </c>
      <c r="I1270" t="s">
        <v>56</v>
      </c>
    </row>
    <row r="1271" spans="1:9">
      <c r="A1271" s="4" t="s">
        <v>2597</v>
      </c>
      <c r="B1271" s="4" t="s">
        <v>2598</v>
      </c>
      <c r="C1271" s="4" t="s">
        <v>37</v>
      </c>
      <c r="D1271" s="2">
        <f>7732200960/(10^6)</f>
        <v>7732.20096</v>
      </c>
      <c r="E1271" s="5">
        <v>7.70357131958008</v>
      </c>
      <c r="F1271" s="5">
        <v>0.915899038314819</v>
      </c>
      <c r="G1271" s="5">
        <v>0.676619172096252</v>
      </c>
      <c r="H1271" s="5">
        <v>6.31164360046387</v>
      </c>
      <c r="I1271" t="s">
        <v>56</v>
      </c>
    </row>
    <row r="1272" spans="1:9">
      <c r="A1272" s="4" t="s">
        <v>2599</v>
      </c>
      <c r="B1272" s="4" t="s">
        <v>2600</v>
      </c>
      <c r="C1272" s="4" t="s">
        <v>35</v>
      </c>
      <c r="D1272" s="2">
        <f>7642468864/(10^6)</f>
        <v>7642.468864</v>
      </c>
      <c r="E1272" s="5">
        <v>18.2504653930664</v>
      </c>
      <c r="F1272" s="5">
        <v>3.12460708618164</v>
      </c>
      <c r="G1272" s="5">
        <v>0.70618736743927</v>
      </c>
      <c r="H1272" s="5">
        <v>8.65128517150879</v>
      </c>
      <c r="I1272" t="s">
        <v>56</v>
      </c>
    </row>
    <row r="1273" spans="1:9">
      <c r="A1273" s="4" t="s">
        <v>2601</v>
      </c>
      <c r="B1273" s="4" t="s">
        <v>2602</v>
      </c>
      <c r="C1273" s="4" t="s">
        <v>31</v>
      </c>
      <c r="D1273" s="2">
        <f>7565076480/(10^6)</f>
        <v>7565.07648</v>
      </c>
      <c r="E1273" s="5">
        <v>8.98355770111084</v>
      </c>
      <c r="F1273" s="5">
        <v>1.24105942249298</v>
      </c>
      <c r="G1273" s="5">
        <v>0.348479390144348</v>
      </c>
      <c r="H1273" s="5">
        <v>6.46298122406006</v>
      </c>
      <c r="I1273" t="s">
        <v>56</v>
      </c>
    </row>
    <row r="1274" spans="1:9">
      <c r="A1274" s="4" t="s">
        <v>2603</v>
      </c>
      <c r="B1274" s="4" t="s">
        <v>2604</v>
      </c>
      <c r="C1274" s="4" t="s">
        <v>37</v>
      </c>
      <c r="D1274" s="2">
        <f>7560287744/(10^6)</f>
        <v>7560.287744</v>
      </c>
      <c r="E1274" s="3" t="s">
        <v>86</v>
      </c>
      <c r="F1274" s="5">
        <v>0.875402450561523</v>
      </c>
      <c r="G1274" s="5">
        <v>0.587112724781036</v>
      </c>
      <c r="H1274" s="5">
        <v>9.51911163330078</v>
      </c>
      <c r="I1274" t="s">
        <v>56</v>
      </c>
    </row>
    <row r="1275" spans="1:9">
      <c r="A1275" s="4" t="s">
        <v>2605</v>
      </c>
      <c r="B1275" s="4" t="s">
        <v>2606</v>
      </c>
      <c r="C1275" s="4" t="s">
        <v>33</v>
      </c>
      <c r="D1275" s="2">
        <f>7556014080/(10^6)</f>
        <v>7556.01408</v>
      </c>
      <c r="E1275" s="5">
        <v>17.6120700836182</v>
      </c>
      <c r="F1275" s="5">
        <v>2.31041073799133</v>
      </c>
      <c r="G1275" s="5">
        <v>1.15781033039093</v>
      </c>
      <c r="H1275" s="5">
        <v>5.6314582824707</v>
      </c>
      <c r="I1275" t="s">
        <v>56</v>
      </c>
    </row>
    <row r="1276" spans="1:9">
      <c r="A1276" s="4" t="s">
        <v>2607</v>
      </c>
      <c r="B1276" s="4" t="s">
        <v>2608</v>
      </c>
      <c r="C1276" s="4" t="s">
        <v>51</v>
      </c>
      <c r="D1276" s="2">
        <f>7539840512/(10^6)</f>
        <v>7539.840512</v>
      </c>
      <c r="E1276" s="5">
        <v>68.3041458129883</v>
      </c>
      <c r="F1276" s="5">
        <v>77.2253799438477</v>
      </c>
      <c r="G1276" s="5">
        <v>18.1808395385742</v>
      </c>
      <c r="H1276" s="5">
        <v>38.8003959655762</v>
      </c>
      <c r="I1276" t="s">
        <v>56</v>
      </c>
    </row>
    <row r="1277" spans="1:9">
      <c r="A1277" s="4" t="s">
        <v>2609</v>
      </c>
      <c r="B1277" s="4" t="s">
        <v>2610</v>
      </c>
      <c r="C1277" s="4" t="s">
        <v>45</v>
      </c>
      <c r="D1277" s="2">
        <f>7529062912/(10^6)</f>
        <v>7529.062912</v>
      </c>
      <c r="E1277" s="5">
        <v>3.84937787055969</v>
      </c>
      <c r="F1277" s="5">
        <v>0.435719847679138</v>
      </c>
      <c r="G1277" s="5">
        <v>5.61336946487427</v>
      </c>
      <c r="H1277" s="5">
        <v>8.56110382080078</v>
      </c>
      <c r="I1277" t="s">
        <v>56</v>
      </c>
    </row>
    <row r="1278" spans="1:9">
      <c r="A1278" s="4" t="s">
        <v>2611</v>
      </c>
      <c r="B1278" s="4" t="s">
        <v>2612</v>
      </c>
      <c r="C1278" s="4" t="s">
        <v>51</v>
      </c>
      <c r="D1278" s="2">
        <f>7471715840/(10^6)</f>
        <v>7471.71584</v>
      </c>
      <c r="E1278" s="5">
        <v>20.405460357666</v>
      </c>
      <c r="F1278" s="5">
        <v>0.939480543136597</v>
      </c>
      <c r="G1278" s="5">
        <v>0.565488934516907</v>
      </c>
      <c r="H1278" s="5">
        <v>6.56325483322144</v>
      </c>
      <c r="I1278" t="s">
        <v>56</v>
      </c>
    </row>
    <row r="1279" spans="1:9">
      <c r="A1279" s="4" t="s">
        <v>2613</v>
      </c>
      <c r="B1279" s="4" t="s">
        <v>2614</v>
      </c>
      <c r="C1279" s="4" t="s">
        <v>43</v>
      </c>
      <c r="D1279" s="2">
        <f>7302587904/(10^6)</f>
        <v>7302.587904</v>
      </c>
      <c r="E1279" s="5">
        <v>6.73705434799194</v>
      </c>
      <c r="F1279" s="5">
        <v>0.584671318531036</v>
      </c>
      <c r="G1279" s="5">
        <v>0.476601243019104</v>
      </c>
      <c r="H1279" s="3" t="s">
        <v>86</v>
      </c>
      <c r="I1279" t="s">
        <v>56</v>
      </c>
    </row>
    <row r="1280" spans="1:9">
      <c r="A1280" s="4" t="s">
        <v>2615</v>
      </c>
      <c r="B1280" s="4" t="s">
        <v>2616</v>
      </c>
      <c r="C1280" s="4" t="s">
        <v>27</v>
      </c>
      <c r="D1280" s="2">
        <f>7288396800/(10^6)</f>
        <v>7288.3968</v>
      </c>
      <c r="E1280" s="5">
        <v>9.65979385375977</v>
      </c>
      <c r="F1280" s="5">
        <v>0.597881019115448</v>
      </c>
      <c r="G1280" s="5">
        <v>0.982714116573334</v>
      </c>
      <c r="H1280" s="5">
        <v>4.92889881134033</v>
      </c>
      <c r="I1280" t="s">
        <v>56</v>
      </c>
    </row>
    <row r="1281" spans="1:9">
      <c r="A1281" s="4" t="s">
        <v>2617</v>
      </c>
      <c r="B1281" s="4" t="s">
        <v>2618</v>
      </c>
      <c r="C1281" s="4" t="s">
        <v>43</v>
      </c>
      <c r="D1281" s="2">
        <f>7209725440/(10^6)</f>
        <v>7209.72544</v>
      </c>
      <c r="E1281" s="5">
        <v>4.58476877212524</v>
      </c>
      <c r="F1281" s="5">
        <v>0.356799006462097</v>
      </c>
      <c r="G1281" s="5">
        <v>0.128631681203842</v>
      </c>
      <c r="H1281" s="3" t="s">
        <v>86</v>
      </c>
      <c r="I1281" t="s">
        <v>56</v>
      </c>
    </row>
    <row r="1282" spans="1:9">
      <c r="A1282" s="4" t="s">
        <v>2619</v>
      </c>
      <c r="B1282" s="4" t="s">
        <v>2620</v>
      </c>
      <c r="C1282" s="4" t="s">
        <v>45</v>
      </c>
      <c r="D1282" s="2">
        <f>7136078848/(10^6)</f>
        <v>7136.078848</v>
      </c>
      <c r="E1282" s="5">
        <v>7.60146760940552</v>
      </c>
      <c r="F1282" s="5">
        <v>1.10557723045349</v>
      </c>
      <c r="G1282" s="5">
        <v>10.2411279678345</v>
      </c>
      <c r="H1282" s="5">
        <v>8.42251396179199</v>
      </c>
      <c r="I1282" t="s">
        <v>56</v>
      </c>
    </row>
    <row r="1283" spans="1:9">
      <c r="A1283" s="4" t="s">
        <v>2621</v>
      </c>
      <c r="B1283" s="4" t="s">
        <v>2622</v>
      </c>
      <c r="C1283" s="4" t="s">
        <v>33</v>
      </c>
      <c r="D1283" s="2">
        <f>7061417984/(10^6)</f>
        <v>7061.417984</v>
      </c>
      <c r="E1283" s="3" t="s">
        <v>86</v>
      </c>
      <c r="F1283" s="5">
        <v>0.988939642906189</v>
      </c>
      <c r="G1283" s="5">
        <v>0.872072637081146</v>
      </c>
      <c r="H1283" s="5">
        <v>4.60205936431885</v>
      </c>
      <c r="I1283" t="s">
        <v>56</v>
      </c>
    </row>
    <row r="1284" spans="1:9">
      <c r="A1284" s="4" t="s">
        <v>2623</v>
      </c>
      <c r="B1284" s="4" t="s">
        <v>2624</v>
      </c>
      <c r="C1284" s="4" t="s">
        <v>43</v>
      </c>
      <c r="D1284" s="2">
        <f>7033229312/(10^6)</f>
        <v>7033.229312</v>
      </c>
      <c r="E1284" s="5">
        <v>5.20911598205566</v>
      </c>
      <c r="F1284" s="5">
        <v>0.817905068397522</v>
      </c>
      <c r="G1284" s="5">
        <v>5.04738998413086</v>
      </c>
      <c r="H1284" s="3" t="s">
        <v>86</v>
      </c>
      <c r="I1284" t="s">
        <v>56</v>
      </c>
    </row>
    <row r="1285" spans="1:9">
      <c r="A1285" s="4" t="s">
        <v>2625</v>
      </c>
      <c r="B1285" s="4" t="s">
        <v>2626</v>
      </c>
      <c r="C1285" s="4" t="s">
        <v>31</v>
      </c>
      <c r="D1285" s="2">
        <f>6885093888/(10^6)</f>
        <v>6885.093888</v>
      </c>
      <c r="E1285" s="5">
        <v>36.6093597412109</v>
      </c>
      <c r="F1285" s="5">
        <v>3.67864489555359</v>
      </c>
      <c r="G1285" s="5">
        <v>5.4125542640686</v>
      </c>
      <c r="H1285" s="5">
        <v>18.0824432373047</v>
      </c>
      <c r="I1285" t="s">
        <v>56</v>
      </c>
    </row>
    <row r="1286" spans="1:9">
      <c r="A1286" s="4" t="s">
        <v>2627</v>
      </c>
      <c r="B1286" s="4" t="s">
        <v>2628</v>
      </c>
      <c r="C1286" s="4" t="s">
        <v>51</v>
      </c>
      <c r="D1286" s="2">
        <f>6862457856/(10^6)</f>
        <v>6862.457856</v>
      </c>
      <c r="E1286" s="5">
        <v>28.0653896331787</v>
      </c>
      <c r="F1286" s="5">
        <v>2.65168404579163</v>
      </c>
      <c r="G1286" s="5">
        <v>1.75135886669159</v>
      </c>
      <c r="H1286" s="5">
        <v>14.6671314239502</v>
      </c>
      <c r="I1286" t="s">
        <v>56</v>
      </c>
    </row>
    <row r="1287" spans="1:9">
      <c r="A1287" s="4" t="s">
        <v>2629</v>
      </c>
      <c r="B1287" s="4" t="s">
        <v>2630</v>
      </c>
      <c r="C1287" s="4" t="s">
        <v>39</v>
      </c>
      <c r="D1287" s="2">
        <f>6793102336/(10^6)</f>
        <v>6793.102336</v>
      </c>
      <c r="E1287" s="5">
        <v>16.8824691772461</v>
      </c>
      <c r="F1287" s="5">
        <v>1.26144373416901</v>
      </c>
      <c r="G1287" s="5">
        <v>0.331792056560516</v>
      </c>
      <c r="H1287" s="5">
        <v>7.64307594299316</v>
      </c>
      <c r="I1287" t="s">
        <v>56</v>
      </c>
    </row>
    <row r="1288" spans="1:9">
      <c r="A1288" s="4" t="s">
        <v>2631</v>
      </c>
      <c r="B1288" s="4" t="s">
        <v>2632</v>
      </c>
      <c r="C1288" s="4" t="s">
        <v>31</v>
      </c>
      <c r="D1288" s="2">
        <f>6776154624/(10^6)</f>
        <v>6776.154624</v>
      </c>
      <c r="E1288" s="5">
        <v>8.2187671661377</v>
      </c>
      <c r="F1288" s="5">
        <v>1.3172892332077</v>
      </c>
      <c r="G1288" s="5">
        <v>0.794562876224518</v>
      </c>
      <c r="H1288" s="5">
        <v>1.8189332485199</v>
      </c>
      <c r="I1288" t="s">
        <v>56</v>
      </c>
    </row>
    <row r="1289" spans="1:9">
      <c r="A1289" s="4" t="s">
        <v>2633</v>
      </c>
      <c r="B1289" s="4" t="s">
        <v>2634</v>
      </c>
      <c r="C1289" s="4" t="s">
        <v>39</v>
      </c>
      <c r="D1289" s="2">
        <f>6774891520/(10^6)</f>
        <v>6774.89152</v>
      </c>
      <c r="E1289" s="5">
        <v>23.0594387054443</v>
      </c>
      <c r="F1289" s="5">
        <v>1.87303113937378</v>
      </c>
      <c r="G1289" s="5">
        <v>2.7169930934906</v>
      </c>
      <c r="H1289" s="5">
        <v>13.6373071670532</v>
      </c>
      <c r="I1289" t="s">
        <v>56</v>
      </c>
    </row>
    <row r="1290" spans="1:9">
      <c r="A1290" s="4" t="s">
        <v>2635</v>
      </c>
      <c r="B1290" s="4" t="s">
        <v>2636</v>
      </c>
      <c r="C1290" s="4" t="s">
        <v>41</v>
      </c>
      <c r="D1290" s="2">
        <f>6730844160/(10^6)</f>
        <v>6730.84416</v>
      </c>
      <c r="E1290" s="5">
        <v>36.0826988220215</v>
      </c>
      <c r="F1290" s="3" t="s">
        <v>86</v>
      </c>
      <c r="G1290" s="5">
        <v>8.96603584289551</v>
      </c>
      <c r="H1290" s="3" t="s">
        <v>86</v>
      </c>
      <c r="I1290" t="s">
        <v>56</v>
      </c>
    </row>
    <row r="1291" spans="1:9">
      <c r="A1291" s="4" t="s">
        <v>2637</v>
      </c>
      <c r="B1291" s="4" t="s">
        <v>2638</v>
      </c>
      <c r="C1291" s="4" t="s">
        <v>27</v>
      </c>
      <c r="D1291" s="2">
        <f>6531560448/(10^6)</f>
        <v>6531.560448</v>
      </c>
      <c r="E1291" s="5">
        <v>10.3037376403809</v>
      </c>
      <c r="F1291" s="5">
        <v>1.92989885807037</v>
      </c>
      <c r="G1291" s="5">
        <v>4.69549179077148</v>
      </c>
      <c r="H1291" s="5">
        <v>9.55145072937012</v>
      </c>
      <c r="I1291" t="s">
        <v>56</v>
      </c>
    </row>
    <row r="1292" spans="1:9">
      <c r="A1292" s="4" t="s">
        <v>2639</v>
      </c>
      <c r="B1292" s="4" t="s">
        <v>2640</v>
      </c>
      <c r="C1292" s="4" t="s">
        <v>41</v>
      </c>
      <c r="D1292" s="2">
        <f>6516207616/(10^6)</f>
        <v>6516.207616</v>
      </c>
      <c r="E1292" s="5">
        <v>24.9546775817871</v>
      </c>
      <c r="F1292" s="5">
        <v>1.65208876132965</v>
      </c>
      <c r="G1292" s="5">
        <v>1.55572950839996</v>
      </c>
      <c r="H1292" s="5">
        <v>15.6192655563354</v>
      </c>
      <c r="I1292" t="s">
        <v>56</v>
      </c>
    </row>
    <row r="1293" spans="1:9">
      <c r="A1293" s="4" t="s">
        <v>2641</v>
      </c>
      <c r="B1293" s="4" t="s">
        <v>2642</v>
      </c>
      <c r="C1293" s="4" t="s">
        <v>37</v>
      </c>
      <c r="D1293" s="2">
        <f>6485683200/(10^6)</f>
        <v>6485.6832</v>
      </c>
      <c r="E1293" s="5">
        <v>11.8541650772095</v>
      </c>
      <c r="F1293" s="5">
        <v>1.92607200145721</v>
      </c>
      <c r="G1293" s="5">
        <v>0.623386383056641</v>
      </c>
      <c r="H1293" s="5">
        <v>6.58756542205811</v>
      </c>
      <c r="I1293" t="s">
        <v>56</v>
      </c>
    </row>
    <row r="1294" spans="1:9">
      <c r="A1294" s="4" t="s">
        <v>2643</v>
      </c>
      <c r="B1294" s="4" t="s">
        <v>2644</v>
      </c>
      <c r="C1294" s="4" t="s">
        <v>47</v>
      </c>
      <c r="D1294" s="2">
        <f>6359737856/(10^6)</f>
        <v>6359.737856</v>
      </c>
      <c r="E1294" s="5">
        <v>34.8303680419922</v>
      </c>
      <c r="F1294" s="5">
        <v>1.25349676609039</v>
      </c>
      <c r="G1294" s="5">
        <v>2.34364986419678</v>
      </c>
      <c r="H1294" s="5">
        <v>19.593713760376</v>
      </c>
      <c r="I1294" t="s">
        <v>56</v>
      </c>
    </row>
    <row r="1295" spans="1:9">
      <c r="A1295" s="4" t="s">
        <v>2645</v>
      </c>
      <c r="B1295" s="4" t="s">
        <v>2646</v>
      </c>
      <c r="C1295" s="4" t="s">
        <v>31</v>
      </c>
      <c r="D1295" s="2">
        <f>6359598592/(10^6)</f>
        <v>6359.598592</v>
      </c>
      <c r="E1295" s="5">
        <v>9.48148155212402</v>
      </c>
      <c r="F1295" s="5">
        <v>1.37116944789886</v>
      </c>
      <c r="G1295" s="5">
        <v>0.23773767054081</v>
      </c>
      <c r="H1295" s="5">
        <v>5.85829305648804</v>
      </c>
      <c r="I1295" t="s">
        <v>56</v>
      </c>
    </row>
    <row r="1296" spans="1:9">
      <c r="A1296" s="4" t="s">
        <v>2647</v>
      </c>
      <c r="B1296" s="4" t="s">
        <v>2648</v>
      </c>
      <c r="C1296" s="4" t="s">
        <v>45</v>
      </c>
      <c r="D1296" s="2">
        <f>6294064640/(10^6)</f>
        <v>6294.06464</v>
      </c>
      <c r="E1296" s="5">
        <v>16.6389789581299</v>
      </c>
      <c r="F1296" s="5">
        <v>0.542945742607117</v>
      </c>
      <c r="G1296" s="5">
        <v>3.34579277038574</v>
      </c>
      <c r="H1296" s="5">
        <v>33.8615913391113</v>
      </c>
      <c r="I1296" t="s">
        <v>56</v>
      </c>
    </row>
    <row r="1297" spans="1:9">
      <c r="A1297" s="4" t="s">
        <v>2649</v>
      </c>
      <c r="B1297" s="4" t="s">
        <v>2650</v>
      </c>
      <c r="C1297" s="4" t="s">
        <v>33</v>
      </c>
      <c r="D1297" s="2">
        <f>6156235264/(10^6)</f>
        <v>6156.235264</v>
      </c>
      <c r="E1297" s="5">
        <v>89.973747253418</v>
      </c>
      <c r="F1297" s="5">
        <v>5.28349828720093</v>
      </c>
      <c r="G1297" s="3" t="s">
        <v>86</v>
      </c>
      <c r="H1297" s="5">
        <v>38.8724212646484</v>
      </c>
      <c r="I1297" t="s">
        <v>56</v>
      </c>
    </row>
    <row r="1298" spans="1:9">
      <c r="A1298" s="4" t="s">
        <v>2651</v>
      </c>
      <c r="B1298" s="4" t="s">
        <v>2652</v>
      </c>
      <c r="C1298" s="4" t="s">
        <v>33</v>
      </c>
      <c r="D1298" s="2">
        <f>6094341632/(10^6)</f>
        <v>6094.341632</v>
      </c>
      <c r="E1298" s="5">
        <v>6.19937705993652</v>
      </c>
      <c r="F1298" s="5">
        <v>0.711414754390717</v>
      </c>
      <c r="G1298" s="5">
        <v>0.473765403032303</v>
      </c>
      <c r="H1298" s="5">
        <v>4.63121795654297</v>
      </c>
      <c r="I1298" t="s">
        <v>56</v>
      </c>
    </row>
    <row r="1299" spans="1:9">
      <c r="A1299" s="4" t="s">
        <v>2653</v>
      </c>
      <c r="B1299" s="4" t="s">
        <v>2654</v>
      </c>
      <c r="C1299" s="4" t="s">
        <v>47</v>
      </c>
      <c r="D1299" s="2">
        <f>6063337984/(10^6)</f>
        <v>6063.337984</v>
      </c>
      <c r="E1299" s="5">
        <v>13.762134552002</v>
      </c>
      <c r="F1299" s="5">
        <v>2.21426558494568</v>
      </c>
      <c r="G1299" s="5">
        <v>0.714249730110168</v>
      </c>
      <c r="H1299" s="5">
        <v>8.54660320281982</v>
      </c>
      <c r="I1299" t="s">
        <v>56</v>
      </c>
    </row>
    <row r="1300" spans="1:9">
      <c r="A1300" s="4" t="s">
        <v>2655</v>
      </c>
      <c r="B1300" s="4" t="s">
        <v>2656</v>
      </c>
      <c r="C1300" s="4" t="s">
        <v>31</v>
      </c>
      <c r="D1300" s="2">
        <f>5963138048/(10^6)</f>
        <v>5963.138048</v>
      </c>
      <c r="E1300" s="5">
        <v>30.7248229980469</v>
      </c>
      <c r="F1300" s="5">
        <v>10.1883611679077</v>
      </c>
      <c r="G1300" s="5">
        <v>6.24813413619995</v>
      </c>
      <c r="H1300" s="3" t="s">
        <v>86</v>
      </c>
      <c r="I1300" t="s">
        <v>56</v>
      </c>
    </row>
    <row r="1301" spans="1:9">
      <c r="A1301" s="4" t="s">
        <v>2657</v>
      </c>
      <c r="B1301" s="4" t="s">
        <v>2658</v>
      </c>
      <c r="C1301" s="4" t="s">
        <v>45</v>
      </c>
      <c r="D1301" s="2">
        <f>5950456832/(10^6)</f>
        <v>5950.456832</v>
      </c>
      <c r="E1301" s="5">
        <v>17.4680004119873</v>
      </c>
      <c r="F1301" s="5">
        <v>1.64161932468414</v>
      </c>
      <c r="G1301" s="5">
        <v>3.40551257133484</v>
      </c>
      <c r="H1301" s="5">
        <v>21.6312294006348</v>
      </c>
      <c r="I1301" t="s">
        <v>56</v>
      </c>
    </row>
    <row r="1302" spans="1:9">
      <c r="A1302" s="4" t="s">
        <v>2659</v>
      </c>
      <c r="B1302" s="4" t="s">
        <v>2660</v>
      </c>
      <c r="C1302" s="4" t="s">
        <v>47</v>
      </c>
      <c r="D1302" s="2">
        <f>5877879296/(10^6)</f>
        <v>5877.879296</v>
      </c>
      <c r="E1302" s="3" t="s">
        <v>86</v>
      </c>
      <c r="F1302" s="5">
        <v>0.148870572447777</v>
      </c>
      <c r="G1302" s="5">
        <v>0.08510534465313</v>
      </c>
      <c r="H1302" s="5">
        <v>8.10096645355225</v>
      </c>
      <c r="I1302" t="s">
        <v>56</v>
      </c>
    </row>
    <row r="1303" spans="1:9">
      <c r="A1303" s="4" t="s">
        <v>2661</v>
      </c>
      <c r="B1303" s="4" t="s">
        <v>2662</v>
      </c>
      <c r="C1303" s="4" t="s">
        <v>35</v>
      </c>
      <c r="D1303" s="2">
        <f>5727427072/(10^6)</f>
        <v>5727.427072</v>
      </c>
      <c r="E1303" s="5">
        <v>32.7433433532715</v>
      </c>
      <c r="F1303" s="5">
        <v>3.68192052841187</v>
      </c>
      <c r="G1303" s="5">
        <v>4.54740285873413</v>
      </c>
      <c r="H1303" s="5">
        <v>19.1012840270996</v>
      </c>
      <c r="I1303" t="s">
        <v>56</v>
      </c>
    </row>
    <row r="1304" spans="1:9">
      <c r="A1304" s="4" t="s">
        <v>2663</v>
      </c>
      <c r="B1304" s="4" t="s">
        <v>2664</v>
      </c>
      <c r="C1304" s="4" t="s">
        <v>41</v>
      </c>
      <c r="D1304" s="2">
        <f>5632781312/(10^6)</f>
        <v>5632.781312</v>
      </c>
      <c r="E1304" s="3" t="s">
        <v>86</v>
      </c>
      <c r="F1304" s="5">
        <v>6.7751145362854</v>
      </c>
      <c r="G1304" s="5">
        <v>69.4402084350586</v>
      </c>
      <c r="H1304" s="3" t="s">
        <v>86</v>
      </c>
      <c r="I1304" t="s">
        <v>56</v>
      </c>
    </row>
    <row r="1305" spans="1:9">
      <c r="A1305" s="4" t="s">
        <v>2665</v>
      </c>
      <c r="B1305" s="4" t="s">
        <v>2666</v>
      </c>
      <c r="C1305" s="4" t="s">
        <v>31</v>
      </c>
      <c r="D1305" s="2">
        <f>5601591296/(10^6)</f>
        <v>5601.591296</v>
      </c>
      <c r="E1305" s="5">
        <v>4.94538450241089</v>
      </c>
      <c r="F1305" s="5">
        <v>1.10016989707947</v>
      </c>
      <c r="G1305" s="5">
        <v>0.121579729020596</v>
      </c>
      <c r="H1305" s="5">
        <v>3.88441681861877</v>
      </c>
      <c r="I1305" t="s">
        <v>56</v>
      </c>
    </row>
    <row r="1306" spans="1:9">
      <c r="A1306" s="4" t="s">
        <v>2667</v>
      </c>
      <c r="B1306" s="4" t="s">
        <v>2668</v>
      </c>
      <c r="C1306" s="4" t="s">
        <v>43</v>
      </c>
      <c r="D1306" s="2">
        <f>5586126848/(10^6)</f>
        <v>5586.126848</v>
      </c>
      <c r="E1306" s="5">
        <v>18.8713035583496</v>
      </c>
      <c r="F1306" s="5">
        <v>3.51821899414062</v>
      </c>
      <c r="G1306" s="5">
        <v>7.34323596954346</v>
      </c>
      <c r="H1306" s="3" t="s">
        <v>86</v>
      </c>
      <c r="I1306" t="s">
        <v>56</v>
      </c>
    </row>
    <row r="1307" spans="1:9">
      <c r="A1307" s="4" t="s">
        <v>2669</v>
      </c>
      <c r="B1307" s="4" t="s">
        <v>2670</v>
      </c>
      <c r="C1307" s="4" t="s">
        <v>41</v>
      </c>
      <c r="D1307" s="2">
        <f>5555407872/(10^6)</f>
        <v>5555.407872</v>
      </c>
      <c r="E1307" s="5">
        <v>25.0352115631104</v>
      </c>
      <c r="F1307" s="5">
        <v>6.40814208984375</v>
      </c>
      <c r="G1307" s="5">
        <v>4.76883983612061</v>
      </c>
      <c r="H1307" s="5">
        <v>15.7697896957397</v>
      </c>
      <c r="I1307" t="s">
        <v>56</v>
      </c>
    </row>
    <row r="1308" spans="1:9">
      <c r="A1308" s="4" t="s">
        <v>2671</v>
      </c>
      <c r="B1308" s="4" t="s">
        <v>2672</v>
      </c>
      <c r="C1308" s="4" t="s">
        <v>43</v>
      </c>
      <c r="D1308" s="2">
        <f>5551632896/(10^6)</f>
        <v>5551.632896</v>
      </c>
      <c r="E1308" s="5">
        <v>4.15159368515015</v>
      </c>
      <c r="F1308" s="5">
        <v>0.216823980212212</v>
      </c>
      <c r="G1308" s="5">
        <v>0.077291533350945</v>
      </c>
      <c r="H1308" s="3" t="s">
        <v>86</v>
      </c>
      <c r="I1308" t="s">
        <v>56</v>
      </c>
    </row>
    <row r="1309" spans="1:9">
      <c r="A1309" s="4" t="s">
        <v>2673</v>
      </c>
      <c r="B1309" s="4" t="s">
        <v>2674</v>
      </c>
      <c r="C1309" s="4" t="s">
        <v>37</v>
      </c>
      <c r="D1309" s="2">
        <f>5498872320/(10^6)</f>
        <v>5498.87232</v>
      </c>
      <c r="E1309" s="5">
        <v>8.99905586242676</v>
      </c>
      <c r="F1309" s="5">
        <v>0.953481078147888</v>
      </c>
      <c r="G1309" s="5">
        <v>0.399696588516235</v>
      </c>
      <c r="H1309" s="5">
        <v>3.73397755622864</v>
      </c>
      <c r="I1309" t="s">
        <v>56</v>
      </c>
    </row>
    <row r="1310" spans="1:9">
      <c r="A1310" s="4" t="s">
        <v>2675</v>
      </c>
      <c r="B1310" s="4" t="s">
        <v>2676</v>
      </c>
      <c r="C1310" s="4" t="s">
        <v>39</v>
      </c>
      <c r="D1310" s="2">
        <f>5474255360/(10^6)</f>
        <v>5474.25536</v>
      </c>
      <c r="E1310" s="5">
        <v>13.5663738250732</v>
      </c>
      <c r="F1310" s="5">
        <v>1.41182327270508</v>
      </c>
      <c r="G1310" s="5">
        <v>0.666185915470123</v>
      </c>
      <c r="H1310" s="5">
        <v>7.88633060455322</v>
      </c>
      <c r="I1310" t="s">
        <v>56</v>
      </c>
    </row>
    <row r="1311" spans="1:9">
      <c r="A1311" s="4" t="s">
        <v>2677</v>
      </c>
      <c r="B1311" s="4" t="s">
        <v>2678</v>
      </c>
      <c r="C1311" s="4" t="s">
        <v>35</v>
      </c>
      <c r="D1311" s="2">
        <f>5441135616/(10^6)</f>
        <v>5441.135616</v>
      </c>
      <c r="E1311" s="5">
        <v>14.8429002761841</v>
      </c>
      <c r="F1311" s="5">
        <v>2.40310645103455</v>
      </c>
      <c r="G1311" s="5">
        <v>0.453973591327667</v>
      </c>
      <c r="H1311" s="5">
        <v>8.44448757171631</v>
      </c>
      <c r="I1311" t="s">
        <v>56</v>
      </c>
    </row>
    <row r="1312" spans="1:9">
      <c r="A1312" s="4" t="s">
        <v>2679</v>
      </c>
      <c r="B1312" s="4" t="s">
        <v>2680</v>
      </c>
      <c r="C1312" s="4" t="s">
        <v>51</v>
      </c>
      <c r="D1312" s="2">
        <f>5389033984/(10^6)</f>
        <v>5389.033984</v>
      </c>
      <c r="E1312" s="5">
        <v>39.9250640869141</v>
      </c>
      <c r="F1312" s="5">
        <v>14.880952835083</v>
      </c>
      <c r="G1312" s="5">
        <v>8.9096736907959</v>
      </c>
      <c r="H1312" s="5">
        <v>32.5300521850586</v>
      </c>
      <c r="I1312" t="s">
        <v>56</v>
      </c>
    </row>
    <row r="1313" spans="1:9">
      <c r="A1313" s="4" t="s">
        <v>2681</v>
      </c>
      <c r="B1313" s="4" t="s">
        <v>2682</v>
      </c>
      <c r="C1313" s="4" t="s">
        <v>31</v>
      </c>
      <c r="D1313" s="2">
        <f>5351712256/(10^6)</f>
        <v>5351.712256</v>
      </c>
      <c r="E1313" s="5">
        <v>10.5345420837402</v>
      </c>
      <c r="F1313" s="5">
        <v>1.40270781517029</v>
      </c>
      <c r="G1313" s="5">
        <v>0.384629309177399</v>
      </c>
      <c r="H1313" s="5">
        <v>6.85553932189941</v>
      </c>
      <c r="I1313" t="s">
        <v>56</v>
      </c>
    </row>
    <row r="1314" spans="1:9">
      <c r="A1314" s="4" t="s">
        <v>2683</v>
      </c>
      <c r="B1314" s="4" t="s">
        <v>2684</v>
      </c>
      <c r="C1314" s="4" t="s">
        <v>43</v>
      </c>
      <c r="D1314" s="2">
        <f>5348984832/(10^6)</f>
        <v>5348.984832</v>
      </c>
      <c r="E1314" s="5">
        <v>7.89302062988281</v>
      </c>
      <c r="F1314" s="5">
        <v>0.54309093952179</v>
      </c>
      <c r="G1314" s="5">
        <v>0.202954322099686</v>
      </c>
      <c r="H1314" s="3" t="s">
        <v>86</v>
      </c>
      <c r="I1314" t="s">
        <v>56</v>
      </c>
    </row>
    <row r="1315" spans="1:9">
      <c r="A1315" s="4" t="s">
        <v>2685</v>
      </c>
      <c r="B1315" s="4" t="s">
        <v>2686</v>
      </c>
      <c r="C1315" s="4" t="s">
        <v>45</v>
      </c>
      <c r="D1315" s="2">
        <f>5326169600/(10^6)</f>
        <v>5326.1696</v>
      </c>
      <c r="E1315" s="5">
        <v>6.01964664459229</v>
      </c>
      <c r="F1315" s="5">
        <v>0.552842438220978</v>
      </c>
      <c r="G1315" s="5">
        <v>3.60911703109741</v>
      </c>
      <c r="H1315" s="5">
        <v>9.9932279586792</v>
      </c>
      <c r="I1315" t="s">
        <v>56</v>
      </c>
    </row>
    <row r="1316" spans="1:9">
      <c r="A1316" s="4" t="s">
        <v>2687</v>
      </c>
      <c r="B1316" s="4" t="s">
        <v>2688</v>
      </c>
      <c r="C1316" s="4" t="s">
        <v>33</v>
      </c>
      <c r="D1316" s="2">
        <f>5293788672/(10^6)</f>
        <v>5293.788672</v>
      </c>
      <c r="E1316" s="5">
        <v>12.0800256729126</v>
      </c>
      <c r="F1316" s="5">
        <v>1.11900818347931</v>
      </c>
      <c r="G1316" s="5">
        <v>0.985843300819397</v>
      </c>
      <c r="H1316" s="5">
        <v>6.32261800765991</v>
      </c>
      <c r="I1316" t="s">
        <v>56</v>
      </c>
    </row>
    <row r="1317" spans="1:9">
      <c r="A1317" s="4" t="s">
        <v>2689</v>
      </c>
      <c r="B1317" s="4" t="s">
        <v>2690</v>
      </c>
      <c r="C1317" s="4" t="s">
        <v>43</v>
      </c>
      <c r="D1317" s="2">
        <f>5239321600/(10^6)</f>
        <v>5239.3216</v>
      </c>
      <c r="E1317" s="5">
        <v>4.0449800491333</v>
      </c>
      <c r="F1317" s="5">
        <v>0.393206238746643</v>
      </c>
      <c r="G1317" s="5">
        <v>0.623947381973267</v>
      </c>
      <c r="H1317" s="3" t="s">
        <v>86</v>
      </c>
      <c r="I1317" t="s">
        <v>56</v>
      </c>
    </row>
    <row r="1318" spans="1:9">
      <c r="A1318" s="4" t="s">
        <v>2691</v>
      </c>
      <c r="B1318" s="4" t="s">
        <v>2692</v>
      </c>
      <c r="C1318" s="4" t="s">
        <v>39</v>
      </c>
      <c r="D1318" s="2">
        <f>5215830528/(10^6)</f>
        <v>5215.830528</v>
      </c>
      <c r="E1318" s="5">
        <v>10.1781120300293</v>
      </c>
      <c r="F1318" s="5">
        <v>1.49609375</v>
      </c>
      <c r="G1318" s="5">
        <v>3.73056530952454</v>
      </c>
      <c r="H1318" s="5">
        <v>10.4746932983398</v>
      </c>
      <c r="I1318" t="s">
        <v>56</v>
      </c>
    </row>
    <row r="1319" spans="1:9">
      <c r="A1319" s="4" t="s">
        <v>2693</v>
      </c>
      <c r="B1319" s="4" t="s">
        <v>2694</v>
      </c>
      <c r="C1319" s="4" t="s">
        <v>43</v>
      </c>
      <c r="D1319" s="2">
        <f>5208033792/(10^6)</f>
        <v>5208.033792</v>
      </c>
      <c r="E1319" s="5">
        <v>20.6112861633301</v>
      </c>
      <c r="F1319" s="5">
        <v>5.01307058334351</v>
      </c>
      <c r="G1319" s="5">
        <v>6.74404430389404</v>
      </c>
      <c r="H1319" s="5">
        <v>13.7920532226562</v>
      </c>
      <c r="I1319" t="s">
        <v>56</v>
      </c>
    </row>
    <row r="1320" spans="1:9">
      <c r="A1320" s="4" t="s">
        <v>2695</v>
      </c>
      <c r="B1320" s="4" t="s">
        <v>2696</v>
      </c>
      <c r="C1320" s="4" t="s">
        <v>39</v>
      </c>
      <c r="D1320" s="2">
        <f>5186025984/(10^6)</f>
        <v>5186.025984</v>
      </c>
      <c r="E1320" s="5">
        <v>15.4686126708984</v>
      </c>
      <c r="F1320" s="5">
        <v>1.5494225025177</v>
      </c>
      <c r="G1320" s="5">
        <v>0.674476385116577</v>
      </c>
      <c r="H1320" s="5">
        <v>8.09727954864502</v>
      </c>
      <c r="I1320" t="s">
        <v>56</v>
      </c>
    </row>
    <row r="1321" spans="1:9">
      <c r="A1321" s="4" t="s">
        <v>2697</v>
      </c>
      <c r="B1321" s="4" t="s">
        <v>2698</v>
      </c>
      <c r="C1321" s="4" t="s">
        <v>43</v>
      </c>
      <c r="D1321" s="2">
        <f>5078192128/(10^6)</f>
        <v>5078.192128</v>
      </c>
      <c r="E1321" s="5">
        <v>5.21906995773315</v>
      </c>
      <c r="F1321" s="5">
        <v>0.418626517057419</v>
      </c>
      <c r="G1321" s="5">
        <v>1.95817077159882</v>
      </c>
      <c r="H1321" s="3" t="s">
        <v>86</v>
      </c>
      <c r="I1321" t="s">
        <v>56</v>
      </c>
    </row>
    <row r="1322" spans="1:9">
      <c r="A1322" s="4" t="s">
        <v>2699</v>
      </c>
      <c r="B1322" s="4" t="s">
        <v>2700</v>
      </c>
      <c r="C1322" s="4" t="s">
        <v>37</v>
      </c>
      <c r="D1322" s="2">
        <f>5068769792/(10^6)</f>
        <v>5068.769792</v>
      </c>
      <c r="E1322" s="5">
        <v>8.28146553039551</v>
      </c>
      <c r="F1322" s="5">
        <v>0.986059069633484</v>
      </c>
      <c r="G1322" s="5">
        <v>0.514911830425262</v>
      </c>
      <c r="H1322" s="5">
        <v>4.77156686782837</v>
      </c>
      <c r="I1322" t="s">
        <v>56</v>
      </c>
    </row>
    <row r="1323" spans="1:9">
      <c r="A1323" s="4" t="s">
        <v>2701</v>
      </c>
      <c r="B1323" s="4" t="s">
        <v>2702</v>
      </c>
      <c r="C1323" s="4" t="s">
        <v>31</v>
      </c>
      <c r="D1323" s="2">
        <f>4937679360/(10^6)</f>
        <v>4937.67936</v>
      </c>
      <c r="E1323" s="5">
        <v>10.0648679733276</v>
      </c>
      <c r="F1323" s="5">
        <v>1.28453886508942</v>
      </c>
      <c r="G1323" s="5">
        <v>0.520117461681366</v>
      </c>
      <c r="H1323" s="5">
        <v>4.41380882263184</v>
      </c>
      <c r="I1323" t="s">
        <v>56</v>
      </c>
    </row>
    <row r="1324" spans="1:9">
      <c r="A1324" s="4" t="s">
        <v>2703</v>
      </c>
      <c r="B1324" s="4" t="s">
        <v>2704</v>
      </c>
      <c r="C1324" s="4" t="s">
        <v>43</v>
      </c>
      <c r="D1324" s="2">
        <f>4929580544/(10^6)</f>
        <v>4929.580544</v>
      </c>
      <c r="E1324" s="5">
        <v>6.3828501701355</v>
      </c>
      <c r="F1324" s="5">
        <v>0.148334428668022</v>
      </c>
      <c r="G1324" s="5">
        <v>0.325636118650436</v>
      </c>
      <c r="H1324" s="3" t="s">
        <v>86</v>
      </c>
      <c r="I1324" t="s">
        <v>56</v>
      </c>
    </row>
    <row r="1325" spans="1:9">
      <c r="A1325" s="4" t="s">
        <v>2705</v>
      </c>
      <c r="B1325" s="4" t="s">
        <v>2706</v>
      </c>
      <c r="C1325" s="4" t="s">
        <v>31</v>
      </c>
      <c r="D1325" s="2">
        <f>4810171904/(10^6)</f>
        <v>4810.171904</v>
      </c>
      <c r="E1325" s="5">
        <v>3.44747734069824</v>
      </c>
      <c r="F1325" s="5">
        <v>0.415374428033829</v>
      </c>
      <c r="G1325" s="5">
        <v>0.115113280713558</v>
      </c>
      <c r="H1325" s="5">
        <v>2.44182300567627</v>
      </c>
      <c r="I1325" t="s">
        <v>56</v>
      </c>
    </row>
    <row r="1326" spans="1:9">
      <c r="A1326" s="4" t="s">
        <v>2707</v>
      </c>
      <c r="B1326" s="4" t="s">
        <v>2708</v>
      </c>
      <c r="C1326" s="4" t="s">
        <v>51</v>
      </c>
      <c r="D1326" s="2">
        <f>4798274560/(10^6)</f>
        <v>4798.27456</v>
      </c>
      <c r="E1326" s="5">
        <v>12.6756753921509</v>
      </c>
      <c r="F1326" s="5">
        <v>2.26832222938538</v>
      </c>
      <c r="G1326" s="5">
        <v>3.24881386756897</v>
      </c>
      <c r="H1326" s="5">
        <v>8.42686557769775</v>
      </c>
      <c r="I1326" t="s">
        <v>56</v>
      </c>
    </row>
    <row r="1327" spans="1:9">
      <c r="A1327" s="4" t="s">
        <v>2709</v>
      </c>
      <c r="B1327" s="4" t="s">
        <v>2710</v>
      </c>
      <c r="C1327" s="4" t="s">
        <v>51</v>
      </c>
      <c r="D1327" s="2">
        <f>4792012288/(10^6)</f>
        <v>4792.012288</v>
      </c>
      <c r="E1327" s="5">
        <v>26.2442989349365</v>
      </c>
      <c r="F1327" s="5">
        <v>4.40344429016113</v>
      </c>
      <c r="G1327" s="5">
        <v>0.831489264965057</v>
      </c>
      <c r="H1327" s="5">
        <v>13.9907207489014</v>
      </c>
      <c r="I1327" t="s">
        <v>56</v>
      </c>
    </row>
    <row r="1328" spans="1:9">
      <c r="A1328" s="4" t="s">
        <v>2711</v>
      </c>
      <c r="B1328" s="4" t="s">
        <v>2712</v>
      </c>
      <c r="C1328" s="4" t="s">
        <v>41</v>
      </c>
      <c r="D1328" s="2">
        <f>4789455872/(10^6)</f>
        <v>4789.455872</v>
      </c>
      <c r="E1328" s="5">
        <v>38.3136291503906</v>
      </c>
      <c r="F1328" s="5">
        <v>6.02877473831177</v>
      </c>
      <c r="G1328" s="5">
        <v>2.40218329429627</v>
      </c>
      <c r="H1328" s="5">
        <v>15.0188474655151</v>
      </c>
      <c r="I1328" t="s">
        <v>56</v>
      </c>
    </row>
    <row r="1329" spans="1:9">
      <c r="A1329" s="4" t="s">
        <v>2713</v>
      </c>
      <c r="B1329" s="4" t="s">
        <v>2714</v>
      </c>
      <c r="C1329" s="4" t="s">
        <v>47</v>
      </c>
      <c r="D1329" s="2">
        <f>4788364288/(10^6)</f>
        <v>4788.364288</v>
      </c>
      <c r="E1329" s="5">
        <v>0.093331947922707</v>
      </c>
      <c r="F1329" s="5">
        <v>0.008353226818144</v>
      </c>
      <c r="G1329" s="5">
        <v>0.009468046948314</v>
      </c>
      <c r="H1329" s="5">
        <v>14.4308729171753</v>
      </c>
      <c r="I1329" t="s">
        <v>56</v>
      </c>
    </row>
    <row r="1330" spans="1:9">
      <c r="A1330" s="4" t="s">
        <v>2715</v>
      </c>
      <c r="B1330" s="4" t="s">
        <v>2716</v>
      </c>
      <c r="C1330" s="4" t="s">
        <v>33</v>
      </c>
      <c r="D1330" s="2">
        <f>4774641152/(10^6)</f>
        <v>4774.641152</v>
      </c>
      <c r="E1330" s="5">
        <v>2.75306367874146</v>
      </c>
      <c r="F1330" s="3" t="s">
        <v>86</v>
      </c>
      <c r="G1330" s="5">
        <v>0.280872762203217</v>
      </c>
      <c r="H1330" s="5">
        <v>4.80939435958862</v>
      </c>
      <c r="I1330" t="s">
        <v>56</v>
      </c>
    </row>
    <row r="1331" spans="1:9">
      <c r="A1331" s="4" t="s">
        <v>2717</v>
      </c>
      <c r="B1331" s="4" t="s">
        <v>2718</v>
      </c>
      <c r="C1331" s="4" t="s">
        <v>45</v>
      </c>
      <c r="D1331" s="2">
        <f>4724089856/(10^6)</f>
        <v>4724.089856</v>
      </c>
      <c r="E1331" s="5">
        <v>4.93067646026611</v>
      </c>
      <c r="F1331" s="5">
        <v>0.735855638980865</v>
      </c>
      <c r="G1331" s="5">
        <v>11.5378274917603</v>
      </c>
      <c r="H1331" s="5">
        <v>33.777042388916</v>
      </c>
      <c r="I1331" t="s">
        <v>56</v>
      </c>
    </row>
    <row r="1332" spans="1:9">
      <c r="A1332" s="4" t="s">
        <v>2719</v>
      </c>
      <c r="B1332" s="4" t="s">
        <v>2720</v>
      </c>
      <c r="C1332" s="4" t="s">
        <v>39</v>
      </c>
      <c r="D1332" s="2">
        <f>4716961792/(10^6)</f>
        <v>4716.961792</v>
      </c>
      <c r="E1332" s="5">
        <v>12.9607706069946</v>
      </c>
      <c r="F1332" s="5">
        <v>1.80102133750916</v>
      </c>
      <c r="G1332" s="5">
        <v>0.759909451007843</v>
      </c>
      <c r="H1332" s="5">
        <v>10.0777225494385</v>
      </c>
      <c r="I1332" t="s">
        <v>56</v>
      </c>
    </row>
    <row r="1333" spans="1:9">
      <c r="A1333" s="4" t="s">
        <v>2721</v>
      </c>
      <c r="B1333" s="4" t="s">
        <v>2722</v>
      </c>
      <c r="C1333" s="4" t="s">
        <v>45</v>
      </c>
      <c r="D1333" s="2">
        <f>4680496128/(10^6)</f>
        <v>4680.496128</v>
      </c>
      <c r="E1333" s="5">
        <v>4.91017961502075</v>
      </c>
      <c r="F1333" s="5">
        <v>1.31145012378693</v>
      </c>
      <c r="G1333" s="5">
        <v>10.7949914932251</v>
      </c>
      <c r="H1333" s="5">
        <v>6.11381149291992</v>
      </c>
      <c r="I1333" t="s">
        <v>56</v>
      </c>
    </row>
    <row r="1334" spans="1:9">
      <c r="A1334" s="4" t="s">
        <v>2723</v>
      </c>
      <c r="B1334" s="4" t="s">
        <v>2724</v>
      </c>
      <c r="C1334" s="4" t="s">
        <v>31</v>
      </c>
      <c r="D1334" s="2">
        <f>4667898368/(10^6)</f>
        <v>4667.898368</v>
      </c>
      <c r="E1334" s="5">
        <v>14.1308355331421</v>
      </c>
      <c r="F1334" s="5">
        <v>1.70269680023193</v>
      </c>
      <c r="G1334" s="5">
        <v>0.356789082288742</v>
      </c>
      <c r="H1334" s="5">
        <v>7.26681280136108</v>
      </c>
      <c r="I1334" t="s">
        <v>56</v>
      </c>
    </row>
    <row r="1335" spans="1:9">
      <c r="A1335" s="4" t="s">
        <v>2725</v>
      </c>
      <c r="B1335" s="4" t="s">
        <v>2726</v>
      </c>
      <c r="C1335" s="4" t="s">
        <v>47</v>
      </c>
      <c r="D1335" s="2">
        <f>4621800448/(10^6)</f>
        <v>4621.800448</v>
      </c>
      <c r="E1335" s="3" t="s">
        <v>86</v>
      </c>
      <c r="F1335" s="5">
        <v>18.0240669250488</v>
      </c>
      <c r="G1335" s="5">
        <v>2.45028734207153</v>
      </c>
      <c r="H1335" s="5">
        <v>292.542144775391</v>
      </c>
      <c r="I1335" t="s">
        <v>56</v>
      </c>
    </row>
    <row r="1336" spans="1:9">
      <c r="A1336" s="4" t="s">
        <v>2727</v>
      </c>
      <c r="B1336" s="4" t="s">
        <v>2728</v>
      </c>
      <c r="C1336" s="4" t="s">
        <v>31</v>
      </c>
      <c r="D1336" s="2">
        <f>4574651392/(10^6)</f>
        <v>4574.651392</v>
      </c>
      <c r="E1336" s="3" t="s">
        <v>86</v>
      </c>
      <c r="F1336" s="5">
        <v>3.10955762863159</v>
      </c>
      <c r="G1336" s="5">
        <v>0.153386890888214</v>
      </c>
      <c r="H1336" s="3" t="s">
        <v>86</v>
      </c>
      <c r="I1336" t="s">
        <v>56</v>
      </c>
    </row>
    <row r="1337" spans="1:9">
      <c r="A1337" s="4" t="s">
        <v>2729</v>
      </c>
      <c r="B1337" s="4" t="s">
        <v>2730</v>
      </c>
      <c r="C1337" s="4" t="s">
        <v>41</v>
      </c>
      <c r="D1337" s="2">
        <f>4516570624/(10^6)</f>
        <v>4516.570624</v>
      </c>
      <c r="E1337" s="3" t="s">
        <v>86</v>
      </c>
      <c r="F1337" s="5">
        <v>2.2305862903595</v>
      </c>
      <c r="G1337" s="5">
        <v>1.45044839382172</v>
      </c>
      <c r="H1337" s="5">
        <v>40.1853370666504</v>
      </c>
      <c r="I1337" t="s">
        <v>56</v>
      </c>
    </row>
    <row r="1338" spans="1:9">
      <c r="A1338" s="4" t="s">
        <v>2731</v>
      </c>
      <c r="B1338" s="4" t="s">
        <v>2732</v>
      </c>
      <c r="C1338" s="4" t="s">
        <v>37</v>
      </c>
      <c r="D1338" s="2">
        <f>4489609216/(10^6)</f>
        <v>4489.609216</v>
      </c>
      <c r="E1338" s="5">
        <v>17.1906986236572</v>
      </c>
      <c r="F1338" s="5">
        <v>2.50378179550171</v>
      </c>
      <c r="G1338" s="5">
        <v>1.51862370967865</v>
      </c>
      <c r="H1338" s="5">
        <v>9.61862850189209</v>
      </c>
      <c r="I1338" t="s">
        <v>56</v>
      </c>
    </row>
    <row r="1339" spans="1:9">
      <c r="A1339" s="4" t="s">
        <v>2733</v>
      </c>
      <c r="B1339" s="4" t="s">
        <v>2734</v>
      </c>
      <c r="C1339" s="4" t="s">
        <v>43</v>
      </c>
      <c r="D1339" s="2">
        <f>4326969344/(10^6)</f>
        <v>4326.969344</v>
      </c>
      <c r="E1339" s="5">
        <v>9.72308349609375</v>
      </c>
      <c r="F1339" s="5">
        <v>1.11113965511322</v>
      </c>
      <c r="G1339" s="5">
        <v>0.893151581287384</v>
      </c>
      <c r="H1339" s="5">
        <v>8.00005149841309</v>
      </c>
      <c r="I1339" t="s">
        <v>56</v>
      </c>
    </row>
    <row r="1340" spans="1:9">
      <c r="A1340" s="4" t="s">
        <v>2735</v>
      </c>
      <c r="B1340" s="4" t="s">
        <v>2736</v>
      </c>
      <c r="C1340" s="4" t="s">
        <v>45</v>
      </c>
      <c r="D1340" s="2">
        <f>4312823808/(10^6)</f>
        <v>4312.823808</v>
      </c>
      <c r="E1340" s="5">
        <v>9.23299407958984</v>
      </c>
      <c r="F1340" s="5">
        <v>1.80694496631622</v>
      </c>
      <c r="G1340" s="5">
        <v>15.2026987075806</v>
      </c>
      <c r="H1340" s="3" t="s">
        <v>86</v>
      </c>
      <c r="I1340" t="s">
        <v>56</v>
      </c>
    </row>
    <row r="1341" spans="1:9">
      <c r="A1341" s="4" t="s">
        <v>2737</v>
      </c>
      <c r="B1341" s="4" t="s">
        <v>2738</v>
      </c>
      <c r="C1341" s="4" t="s">
        <v>33</v>
      </c>
      <c r="D1341" s="2">
        <f>4283339008/(10^6)</f>
        <v>4283.339008</v>
      </c>
      <c r="E1341" s="5">
        <v>28.717643737793</v>
      </c>
      <c r="F1341" s="5">
        <v>7.49520301818848</v>
      </c>
      <c r="G1341" s="5">
        <v>2.65823125839233</v>
      </c>
      <c r="H1341" s="5">
        <v>11.2787218093872</v>
      </c>
      <c r="I1341" t="s">
        <v>56</v>
      </c>
    </row>
    <row r="1342" spans="1:9">
      <c r="A1342" s="4" t="s">
        <v>2739</v>
      </c>
      <c r="B1342" s="4" t="s">
        <v>2740</v>
      </c>
      <c r="C1342" s="4" t="s">
        <v>43</v>
      </c>
      <c r="D1342" s="2">
        <f>4234955520/(10^6)</f>
        <v>4234.95552</v>
      </c>
      <c r="E1342" s="5">
        <v>8.65198230743408</v>
      </c>
      <c r="F1342" s="5">
        <v>0.576643347740173</v>
      </c>
      <c r="G1342" s="5">
        <v>0.248836353421211</v>
      </c>
      <c r="H1342" s="3" t="s">
        <v>86</v>
      </c>
      <c r="I1342" t="s">
        <v>56</v>
      </c>
    </row>
    <row r="1343" spans="1:9">
      <c r="A1343" s="4" t="s">
        <v>2741</v>
      </c>
      <c r="B1343" s="4" t="s">
        <v>2742</v>
      </c>
      <c r="C1343" s="4" t="s">
        <v>31</v>
      </c>
      <c r="D1343" s="2">
        <f>4223990784/(10^6)</f>
        <v>4223.990784</v>
      </c>
      <c r="E1343" s="5">
        <v>17.3513507843018</v>
      </c>
      <c r="F1343" s="5">
        <v>1.58550262451172</v>
      </c>
      <c r="G1343" s="5">
        <v>0.734789848327637</v>
      </c>
      <c r="H1343" s="5">
        <v>8.27861213684082</v>
      </c>
      <c r="I1343" t="s">
        <v>56</v>
      </c>
    </row>
    <row r="1344" spans="1:9">
      <c r="A1344" s="4" t="s">
        <v>2743</v>
      </c>
      <c r="B1344" s="4" t="s">
        <v>2744</v>
      </c>
      <c r="C1344" s="4" t="s">
        <v>47</v>
      </c>
      <c r="D1344" s="2">
        <f>4141217792/(10^6)</f>
        <v>4141.217792</v>
      </c>
      <c r="E1344" s="5">
        <v>11.2897338867188</v>
      </c>
      <c r="F1344" s="5">
        <v>0.765264868736267</v>
      </c>
      <c r="G1344" s="5">
        <v>0.18122074007988</v>
      </c>
      <c r="H1344" s="5">
        <v>3.20629262924194</v>
      </c>
      <c r="I1344" t="s">
        <v>56</v>
      </c>
    </row>
    <row r="1345" spans="1:9">
      <c r="A1345" s="4" t="s">
        <v>2745</v>
      </c>
      <c r="B1345" s="4" t="s">
        <v>2746</v>
      </c>
      <c r="C1345" s="4" t="s">
        <v>39</v>
      </c>
      <c r="D1345" s="2">
        <f>4100961792/(10^6)</f>
        <v>4100.961792</v>
      </c>
      <c r="E1345" s="5">
        <v>9.07745456695557</v>
      </c>
      <c r="F1345" s="5">
        <v>2.42694020271301</v>
      </c>
      <c r="G1345" s="5">
        <v>2.59052300453186</v>
      </c>
      <c r="H1345" s="5">
        <v>10.2265777587891</v>
      </c>
      <c r="I1345" t="s">
        <v>56</v>
      </c>
    </row>
    <row r="1346" spans="1:9">
      <c r="A1346" s="4" t="s">
        <v>2747</v>
      </c>
      <c r="B1346" s="4" t="s">
        <v>2748</v>
      </c>
      <c r="C1346" s="4" t="s">
        <v>47</v>
      </c>
      <c r="D1346" s="2">
        <f>4063586304/(10^6)</f>
        <v>4063.586304</v>
      </c>
      <c r="E1346" s="5">
        <v>5.83904981613159</v>
      </c>
      <c r="F1346" s="5">
        <v>0.841233909130096</v>
      </c>
      <c r="G1346" s="5">
        <v>0.194127634167671</v>
      </c>
      <c r="H1346" s="5">
        <v>3.05039381980896</v>
      </c>
      <c r="I1346" t="s">
        <v>56</v>
      </c>
    </row>
    <row r="1347" spans="1:9">
      <c r="A1347" s="4" t="s">
        <v>2749</v>
      </c>
      <c r="B1347" s="4" t="s">
        <v>2750</v>
      </c>
      <c r="C1347" s="4" t="s">
        <v>31</v>
      </c>
      <c r="D1347" s="2">
        <f>3871961344/(10^6)</f>
        <v>3871.961344</v>
      </c>
      <c r="E1347" s="5">
        <v>4.69590616226196</v>
      </c>
      <c r="F1347" s="5">
        <v>0.63625705242157</v>
      </c>
      <c r="G1347" s="5">
        <v>0.245942667126656</v>
      </c>
      <c r="H1347" s="5">
        <v>4.06143188476562</v>
      </c>
      <c r="I1347" t="s">
        <v>56</v>
      </c>
    </row>
    <row r="1348" spans="1:9">
      <c r="A1348" s="4" t="s">
        <v>2751</v>
      </c>
      <c r="B1348" s="4" t="s">
        <v>2752</v>
      </c>
      <c r="C1348" s="4" t="s">
        <v>31</v>
      </c>
      <c r="D1348" s="2">
        <f>3851000832/(10^6)</f>
        <v>3851.000832</v>
      </c>
      <c r="E1348" s="5">
        <v>8.2506742477417</v>
      </c>
      <c r="F1348" s="5">
        <v>0.781243443489075</v>
      </c>
      <c r="G1348" s="5">
        <v>0.936529874801636</v>
      </c>
      <c r="H1348" s="5">
        <v>7.12092256546021</v>
      </c>
      <c r="I1348" t="s">
        <v>56</v>
      </c>
    </row>
    <row r="1349" spans="1:9">
      <c r="A1349" s="4" t="s">
        <v>2753</v>
      </c>
      <c r="B1349" s="4" t="s">
        <v>2754</v>
      </c>
      <c r="C1349" s="4" t="s">
        <v>31</v>
      </c>
      <c r="D1349" s="2">
        <f>3792646912/(10^6)</f>
        <v>3792.646912</v>
      </c>
      <c r="E1349" s="3" t="s">
        <v>86</v>
      </c>
      <c r="F1349" s="5">
        <v>1.56240558624268</v>
      </c>
      <c r="G1349" s="5">
        <v>0.887803733348846</v>
      </c>
      <c r="H1349" s="5">
        <v>20.4975090026855</v>
      </c>
      <c r="I1349" t="s">
        <v>56</v>
      </c>
    </row>
    <row r="1350" spans="1:9">
      <c r="A1350" s="4" t="s">
        <v>2755</v>
      </c>
      <c r="B1350" s="4" t="s">
        <v>2756</v>
      </c>
      <c r="C1350" s="4" t="s">
        <v>39</v>
      </c>
      <c r="D1350" s="2">
        <f>3708244736/(10^6)</f>
        <v>3708.244736</v>
      </c>
      <c r="E1350" s="5">
        <v>13.1021795272827</v>
      </c>
      <c r="F1350" s="5">
        <v>1.06828844547272</v>
      </c>
      <c r="G1350" s="5">
        <v>0.471272975206375</v>
      </c>
      <c r="H1350" s="5">
        <v>6.87085962295532</v>
      </c>
      <c r="I1350" t="s">
        <v>56</v>
      </c>
    </row>
    <row r="1351" spans="1:9">
      <c r="A1351" s="4" t="s">
        <v>2757</v>
      </c>
      <c r="B1351" s="4" t="s">
        <v>2758</v>
      </c>
      <c r="C1351" s="4" t="s">
        <v>43</v>
      </c>
      <c r="D1351" s="2">
        <f>3651374080/(10^6)</f>
        <v>3651.37408</v>
      </c>
      <c r="E1351" s="3" t="s">
        <v>86</v>
      </c>
      <c r="F1351" s="5">
        <v>1.29074585437775</v>
      </c>
      <c r="G1351" s="5">
        <v>0.369449883699417</v>
      </c>
      <c r="H1351" s="5">
        <v>6.45549631118774</v>
      </c>
      <c r="I1351" t="s">
        <v>56</v>
      </c>
    </row>
    <row r="1352" spans="1:9">
      <c r="A1352" s="4" t="s">
        <v>2759</v>
      </c>
      <c r="B1352" s="4" t="s">
        <v>2760</v>
      </c>
      <c r="C1352" s="4" t="s">
        <v>45</v>
      </c>
      <c r="D1352" s="2">
        <f>3646172928/(10^6)</f>
        <v>3646.172928</v>
      </c>
      <c r="E1352" s="5">
        <v>5.5519814491272</v>
      </c>
      <c r="F1352" s="5">
        <v>0.476163983345032</v>
      </c>
      <c r="G1352" s="5">
        <v>6.10407447814941</v>
      </c>
      <c r="H1352" s="5">
        <v>11.8439769744873</v>
      </c>
      <c r="I1352" t="s">
        <v>56</v>
      </c>
    </row>
    <row r="1353" spans="1:9">
      <c r="A1353" s="4" t="s">
        <v>2761</v>
      </c>
      <c r="B1353" s="4" t="s">
        <v>2762</v>
      </c>
      <c r="C1353" s="4" t="s">
        <v>31</v>
      </c>
      <c r="D1353" s="2">
        <f>3641727744/(10^6)</f>
        <v>3641.727744</v>
      </c>
      <c r="E1353" s="5">
        <v>30.3504257202148</v>
      </c>
      <c r="F1353" s="5">
        <v>3.79273533821106</v>
      </c>
      <c r="G1353" s="5">
        <v>1.22133922576904</v>
      </c>
      <c r="H1353" s="5">
        <v>15.5507574081421</v>
      </c>
      <c r="I1353" t="s">
        <v>56</v>
      </c>
    </row>
    <row r="1354" spans="1:9">
      <c r="A1354" s="4" t="s">
        <v>2763</v>
      </c>
      <c r="B1354" s="4" t="s">
        <v>2764</v>
      </c>
      <c r="C1354" s="4" t="s">
        <v>43</v>
      </c>
      <c r="D1354" s="2">
        <f>3622416640/(10^6)</f>
        <v>3622.41664</v>
      </c>
      <c r="E1354" s="5">
        <v>3.56372547149658</v>
      </c>
      <c r="F1354" s="5">
        <v>0.637256860733032</v>
      </c>
      <c r="G1354" s="5">
        <v>0.393509566783905</v>
      </c>
      <c r="H1354" s="3" t="s">
        <v>86</v>
      </c>
      <c r="I1354" t="s">
        <v>56</v>
      </c>
    </row>
    <row r="1355" spans="1:9">
      <c r="A1355" s="4" t="s">
        <v>2765</v>
      </c>
      <c r="B1355" s="4" t="s">
        <v>2766</v>
      </c>
      <c r="C1355" s="4" t="s">
        <v>31</v>
      </c>
      <c r="D1355" s="2">
        <f>3583322624/(10^6)</f>
        <v>3583.322624</v>
      </c>
      <c r="E1355" s="3" t="s">
        <v>86</v>
      </c>
      <c r="F1355" s="5">
        <v>1.55428946018219</v>
      </c>
      <c r="G1355" s="5">
        <v>0.665627062320709</v>
      </c>
      <c r="H1355" s="5">
        <v>8.53420639038086</v>
      </c>
      <c r="I1355" t="s">
        <v>56</v>
      </c>
    </row>
    <row r="1356" spans="1:9">
      <c r="A1356" s="4" t="s">
        <v>2767</v>
      </c>
      <c r="B1356" s="4" t="s">
        <v>2768</v>
      </c>
      <c r="C1356" s="4" t="s">
        <v>37</v>
      </c>
      <c r="D1356" s="2">
        <f>3508122624/(10^6)</f>
        <v>3508.122624</v>
      </c>
      <c r="E1356" s="3" t="s">
        <v>86</v>
      </c>
      <c r="F1356" s="5">
        <v>0.563433766365051</v>
      </c>
      <c r="G1356" s="5">
        <v>0.235679507255554</v>
      </c>
      <c r="H1356" s="5">
        <v>6.03184986114502</v>
      </c>
      <c r="I1356" t="s">
        <v>56</v>
      </c>
    </row>
    <row r="1357" spans="1:9">
      <c r="A1357" s="4" t="s">
        <v>2769</v>
      </c>
      <c r="B1357" s="4" t="s">
        <v>2770</v>
      </c>
      <c r="C1357" s="4" t="s">
        <v>43</v>
      </c>
      <c r="D1357" s="2">
        <f>3502037248/(10^6)</f>
        <v>3502.037248</v>
      </c>
      <c r="E1357" s="5">
        <v>23.3029747009277</v>
      </c>
      <c r="F1357" s="5">
        <v>0.633177220821381</v>
      </c>
      <c r="G1357" s="5">
        <v>0.589962065219879</v>
      </c>
      <c r="H1357" s="5">
        <v>9.60521697998047</v>
      </c>
      <c r="I1357" t="s">
        <v>56</v>
      </c>
    </row>
    <row r="1358" spans="1:9">
      <c r="A1358" s="4" t="s">
        <v>2771</v>
      </c>
      <c r="B1358" s="4" t="s">
        <v>2772</v>
      </c>
      <c r="C1358" s="4" t="s">
        <v>37</v>
      </c>
      <c r="D1358" s="2">
        <f>3447005440/(10^6)</f>
        <v>3447.00544</v>
      </c>
      <c r="E1358" s="5">
        <v>12.4042530059814</v>
      </c>
      <c r="F1358" s="5">
        <v>1.17165040969849</v>
      </c>
      <c r="G1358" s="5">
        <v>0.464646279811859</v>
      </c>
      <c r="H1358" s="5">
        <v>5.32502317428589</v>
      </c>
      <c r="I1358" t="s">
        <v>56</v>
      </c>
    </row>
    <row r="1359" spans="1:9">
      <c r="A1359" s="4" t="s">
        <v>2773</v>
      </c>
      <c r="B1359" s="4" t="s">
        <v>2774</v>
      </c>
      <c r="C1359" s="4" t="s">
        <v>45</v>
      </c>
      <c r="D1359" s="2">
        <f>3377309952/(10^6)</f>
        <v>3377.309952</v>
      </c>
      <c r="E1359" s="5">
        <v>13.6340675354004</v>
      </c>
      <c r="F1359" s="5">
        <v>1.18293166160583</v>
      </c>
      <c r="G1359" s="5">
        <v>9.53630447387695</v>
      </c>
      <c r="H1359" s="3" t="s">
        <v>86</v>
      </c>
      <c r="I1359" t="s">
        <v>56</v>
      </c>
    </row>
    <row r="1360" spans="1:9">
      <c r="A1360" s="4" t="s">
        <v>2775</v>
      </c>
      <c r="B1360" s="4" t="s">
        <v>2776</v>
      </c>
      <c r="C1360" s="4" t="s">
        <v>37</v>
      </c>
      <c r="D1360" s="2">
        <f>3371858944/(10^6)</f>
        <v>3371.858944</v>
      </c>
      <c r="E1360" s="5">
        <v>15.4340658187866</v>
      </c>
      <c r="F1360" s="5">
        <v>2.17446780204773</v>
      </c>
      <c r="G1360" s="5">
        <v>0.862318933010101</v>
      </c>
      <c r="H1360" s="5">
        <v>9.07300853729248</v>
      </c>
      <c r="I1360" t="s">
        <v>56</v>
      </c>
    </row>
    <row r="1361" spans="1:9">
      <c r="A1361" s="4" t="s">
        <v>2777</v>
      </c>
      <c r="B1361" s="4" t="s">
        <v>2778</v>
      </c>
      <c r="C1361" s="4" t="s">
        <v>45</v>
      </c>
      <c r="D1361" s="2">
        <f>3366265344/(10^6)</f>
        <v>3366.265344</v>
      </c>
      <c r="E1361" s="5">
        <v>7.40842866897583</v>
      </c>
      <c r="F1361" s="5">
        <v>0.867687940597534</v>
      </c>
      <c r="G1361" s="5">
        <v>5.38785696029663</v>
      </c>
      <c r="H1361" s="5">
        <v>10.6306304931641</v>
      </c>
      <c r="I1361" t="s">
        <v>56</v>
      </c>
    </row>
    <row r="1362" spans="1:9">
      <c r="A1362" s="4" t="s">
        <v>2779</v>
      </c>
      <c r="B1362" s="4" t="s">
        <v>2780</v>
      </c>
      <c r="C1362" s="4" t="s">
        <v>41</v>
      </c>
      <c r="D1362" s="2">
        <f>3340513280/(10^6)</f>
        <v>3340.51328</v>
      </c>
      <c r="E1362" s="3" t="s">
        <v>86</v>
      </c>
      <c r="F1362" s="5">
        <v>7.13106060028076</v>
      </c>
      <c r="G1362" s="5">
        <v>39.0595245361328</v>
      </c>
      <c r="H1362" s="3" t="s">
        <v>86</v>
      </c>
      <c r="I1362" t="s">
        <v>56</v>
      </c>
    </row>
    <row r="1363" spans="1:9">
      <c r="A1363" s="4" t="s">
        <v>2781</v>
      </c>
      <c r="B1363" s="4" t="s">
        <v>2782</v>
      </c>
      <c r="C1363" s="4" t="s">
        <v>41</v>
      </c>
      <c r="D1363" s="2">
        <f>3283215360/(10^6)</f>
        <v>3283.21536</v>
      </c>
      <c r="E1363" s="5">
        <v>79.3596801757812</v>
      </c>
      <c r="F1363" s="5">
        <v>6.27615356445312</v>
      </c>
      <c r="G1363" s="5">
        <v>6.65534830093384</v>
      </c>
      <c r="H1363" s="5">
        <v>27.5419178009033</v>
      </c>
      <c r="I1363" t="s">
        <v>56</v>
      </c>
    </row>
    <row r="1364" spans="1:9">
      <c r="A1364" s="4" t="s">
        <v>2783</v>
      </c>
      <c r="B1364" s="4" t="s">
        <v>2784</v>
      </c>
      <c r="C1364" s="4" t="s">
        <v>31</v>
      </c>
      <c r="D1364" s="2">
        <f>3250770176/(10^6)</f>
        <v>3250.770176</v>
      </c>
      <c r="E1364" s="5">
        <v>12.2106924057007</v>
      </c>
      <c r="F1364" s="5">
        <v>1.9131510257721</v>
      </c>
      <c r="G1364" s="5">
        <v>1.02638304233551</v>
      </c>
      <c r="H1364" s="5">
        <v>7.0802640914917</v>
      </c>
      <c r="I1364" t="s">
        <v>56</v>
      </c>
    </row>
    <row r="1365" spans="1:9">
      <c r="A1365" s="4" t="s">
        <v>2785</v>
      </c>
      <c r="B1365" s="4" t="s">
        <v>2786</v>
      </c>
      <c r="C1365" s="4" t="s">
        <v>43</v>
      </c>
      <c r="D1365" s="2">
        <f>3211247616/(10^6)</f>
        <v>3211.247616</v>
      </c>
      <c r="E1365" s="5">
        <v>5.10401439666748</v>
      </c>
      <c r="F1365" s="5">
        <v>0.583143770694733</v>
      </c>
      <c r="G1365" s="5">
        <v>1.19653117656708</v>
      </c>
      <c r="H1365" s="3" t="s">
        <v>86</v>
      </c>
      <c r="I1365" t="s">
        <v>56</v>
      </c>
    </row>
    <row r="1366" spans="1:9">
      <c r="A1366" s="4" t="s">
        <v>2787</v>
      </c>
      <c r="B1366" s="4" t="s">
        <v>2788</v>
      </c>
      <c r="C1366" s="4" t="s">
        <v>35</v>
      </c>
      <c r="D1366" s="2">
        <f>3177512704/(10^6)</f>
        <v>3177.512704</v>
      </c>
      <c r="E1366" s="5">
        <v>15.5466976165771</v>
      </c>
      <c r="F1366" s="5">
        <v>1.65078818798065</v>
      </c>
      <c r="G1366" s="5">
        <v>0.722863852977753</v>
      </c>
      <c r="H1366" s="5">
        <v>12.1764249801636</v>
      </c>
      <c r="I1366" t="s">
        <v>56</v>
      </c>
    </row>
    <row r="1367" spans="1:9">
      <c r="A1367" s="4" t="s">
        <v>2789</v>
      </c>
      <c r="B1367" s="4" t="s">
        <v>2790</v>
      </c>
      <c r="C1367" s="4" t="s">
        <v>37</v>
      </c>
      <c r="D1367" s="2">
        <f>3148290560/(10^6)</f>
        <v>3148.29056</v>
      </c>
      <c r="E1367" s="3" t="s">
        <v>86</v>
      </c>
      <c r="F1367" s="5">
        <v>1.93107557296753</v>
      </c>
      <c r="G1367" s="5">
        <v>0.064960949122906</v>
      </c>
      <c r="H1367" s="5">
        <v>7.73155641555786</v>
      </c>
      <c r="I1367" t="s">
        <v>56</v>
      </c>
    </row>
    <row r="1368" spans="1:9">
      <c r="A1368" s="4" t="s">
        <v>2791</v>
      </c>
      <c r="B1368" s="4" t="s">
        <v>2792</v>
      </c>
      <c r="C1368" s="4" t="s">
        <v>43</v>
      </c>
      <c r="D1368" s="2">
        <f>3117400832/(10^6)</f>
        <v>3117.400832</v>
      </c>
      <c r="E1368" s="5">
        <v>10.9327459335327</v>
      </c>
      <c r="F1368" s="5">
        <v>0.289427399635315</v>
      </c>
      <c r="G1368" s="5">
        <v>0.620996832847595</v>
      </c>
      <c r="H1368" s="3" t="s">
        <v>86</v>
      </c>
      <c r="I1368" t="s">
        <v>56</v>
      </c>
    </row>
    <row r="1369" spans="1:9">
      <c r="A1369" s="4" t="s">
        <v>2793</v>
      </c>
      <c r="B1369" s="4" t="s">
        <v>2794</v>
      </c>
      <c r="C1369" s="4" t="s">
        <v>31</v>
      </c>
      <c r="D1369" s="2">
        <f>3104285440/(10^6)</f>
        <v>3104.28544</v>
      </c>
      <c r="E1369" s="5">
        <v>20.7265110015869</v>
      </c>
      <c r="F1369" s="5">
        <v>2.18508815765381</v>
      </c>
      <c r="G1369" s="5">
        <v>0.397043108940125</v>
      </c>
      <c r="H1369" s="5">
        <v>5.41410684585571</v>
      </c>
      <c r="I1369" t="s">
        <v>56</v>
      </c>
    </row>
    <row r="1370" spans="1:9">
      <c r="A1370" s="4" t="s">
        <v>2795</v>
      </c>
      <c r="B1370" s="4" t="s">
        <v>2796</v>
      </c>
      <c r="C1370" s="4" t="s">
        <v>43</v>
      </c>
      <c r="D1370" s="2">
        <f>3096611840/(10^6)</f>
        <v>3096.61184</v>
      </c>
      <c r="E1370" s="5">
        <v>22.5498809814453</v>
      </c>
      <c r="F1370" s="5">
        <v>7.21945762634277</v>
      </c>
      <c r="G1370" s="5">
        <v>9.54148864746094</v>
      </c>
      <c r="H1370" s="5">
        <v>15.0374460220337</v>
      </c>
      <c r="I1370" t="s">
        <v>56</v>
      </c>
    </row>
    <row r="1371" spans="1:9">
      <c r="A1371" s="4" t="s">
        <v>2797</v>
      </c>
      <c r="B1371" s="4" t="s">
        <v>2798</v>
      </c>
      <c r="C1371" s="4" t="s">
        <v>27</v>
      </c>
      <c r="D1371" s="2">
        <f>3056519680/(10^6)</f>
        <v>3056.51968</v>
      </c>
      <c r="E1371" s="5">
        <v>25.2789211273193</v>
      </c>
      <c r="F1371" s="5">
        <v>0.415035456418991</v>
      </c>
      <c r="G1371" s="5">
        <v>0.237440675497055</v>
      </c>
      <c r="H1371" s="3" t="s">
        <v>86</v>
      </c>
      <c r="I1371" t="s">
        <v>56</v>
      </c>
    </row>
    <row r="1372" spans="1:9">
      <c r="A1372" s="4" t="s">
        <v>2799</v>
      </c>
      <c r="B1372" s="4" t="s">
        <v>2800</v>
      </c>
      <c r="C1372" s="4" t="s">
        <v>31</v>
      </c>
      <c r="D1372" s="2">
        <f>3024424192/(10^6)</f>
        <v>3024.424192</v>
      </c>
      <c r="E1372" s="5">
        <v>7.91361045837402</v>
      </c>
      <c r="F1372" s="5">
        <v>1.25561511516571</v>
      </c>
      <c r="G1372" s="5">
        <v>0.42784196138382</v>
      </c>
      <c r="H1372" s="5">
        <v>3.77503895759583</v>
      </c>
      <c r="I1372" t="s">
        <v>56</v>
      </c>
    </row>
    <row r="1373" spans="1:9">
      <c r="A1373" s="4" t="s">
        <v>2801</v>
      </c>
      <c r="B1373" s="4" t="s">
        <v>2802</v>
      </c>
      <c r="C1373" s="4" t="s">
        <v>43</v>
      </c>
      <c r="D1373" s="2">
        <f>3020386304/(10^6)</f>
        <v>3020.386304</v>
      </c>
      <c r="E1373" s="5">
        <v>3.4419252872467</v>
      </c>
      <c r="F1373" s="5">
        <v>0.204714268445969</v>
      </c>
      <c r="G1373" s="5">
        <v>0.411368429660797</v>
      </c>
      <c r="H1373" s="3" t="s">
        <v>86</v>
      </c>
      <c r="I1373" t="s">
        <v>56</v>
      </c>
    </row>
    <row r="1374" spans="1:9">
      <c r="A1374" s="4" t="s">
        <v>2803</v>
      </c>
      <c r="B1374" s="4" t="s">
        <v>2804</v>
      </c>
      <c r="C1374" s="4" t="s">
        <v>35</v>
      </c>
      <c r="D1374" s="2">
        <f>2900570112/(10^6)</f>
        <v>2900.570112</v>
      </c>
      <c r="E1374" s="5">
        <v>5.93791484832764</v>
      </c>
      <c r="F1374" s="5">
        <v>1.04934918880463</v>
      </c>
      <c r="G1374" s="5">
        <v>0.092006973922253</v>
      </c>
      <c r="H1374" s="5">
        <v>4.34678030014038</v>
      </c>
      <c r="I1374" t="s">
        <v>56</v>
      </c>
    </row>
    <row r="1375" spans="1:9">
      <c r="A1375" s="4" t="s">
        <v>2805</v>
      </c>
      <c r="B1375" s="4" t="s">
        <v>2806</v>
      </c>
      <c r="C1375" s="4" t="s">
        <v>33</v>
      </c>
      <c r="D1375" s="2">
        <f>2762295296/(10^6)</f>
        <v>2762.295296</v>
      </c>
      <c r="E1375" s="5">
        <v>9.77879810333252</v>
      </c>
      <c r="F1375" s="5">
        <v>0.621351957321167</v>
      </c>
      <c r="G1375" s="5">
        <v>1.52427816390991</v>
      </c>
      <c r="H1375" s="5">
        <v>5.90847253799438</v>
      </c>
      <c r="I1375" t="s">
        <v>56</v>
      </c>
    </row>
    <row r="1376" spans="1:9">
      <c r="A1376" s="4" t="s">
        <v>2807</v>
      </c>
      <c r="B1376" s="4" t="s">
        <v>2808</v>
      </c>
      <c r="C1376" s="4" t="s">
        <v>31</v>
      </c>
      <c r="D1376" s="2">
        <f>2728509696/(10^6)</f>
        <v>2728.509696</v>
      </c>
      <c r="E1376" s="5">
        <v>12.088888168335</v>
      </c>
      <c r="F1376" s="5">
        <v>2.34785985946655</v>
      </c>
      <c r="G1376" s="5">
        <v>0.688471078872681</v>
      </c>
      <c r="H1376" s="5">
        <v>6.09761476516724</v>
      </c>
      <c r="I1376" t="s">
        <v>56</v>
      </c>
    </row>
    <row r="1377" spans="1:9">
      <c r="A1377" s="4" t="s">
        <v>2809</v>
      </c>
      <c r="B1377" s="4" t="s">
        <v>2810</v>
      </c>
      <c r="C1377" s="4" t="s">
        <v>45</v>
      </c>
      <c r="D1377" s="2">
        <f>2724082688/(10^6)</f>
        <v>2724.082688</v>
      </c>
      <c r="E1377" s="5">
        <v>5.24428176879883</v>
      </c>
      <c r="F1377" s="5">
        <v>1.0457239151001</v>
      </c>
      <c r="G1377" s="5">
        <v>4.84186697006226</v>
      </c>
      <c r="H1377" s="5">
        <v>7.88354349136353</v>
      </c>
      <c r="I1377" t="s">
        <v>56</v>
      </c>
    </row>
    <row r="1378" spans="1:9">
      <c r="A1378" s="4" t="s">
        <v>2811</v>
      </c>
      <c r="B1378" s="4" t="s">
        <v>2812</v>
      </c>
      <c r="C1378" s="4" t="s">
        <v>47</v>
      </c>
      <c r="D1378" s="2">
        <f>2662519808/(10^6)</f>
        <v>2662.519808</v>
      </c>
      <c r="E1378" s="5">
        <v>6.19550228118896</v>
      </c>
      <c r="F1378" s="5">
        <v>1.40354490280151</v>
      </c>
      <c r="G1378" s="5">
        <v>1.544757604599</v>
      </c>
      <c r="H1378" s="5">
        <v>5.52968597412109</v>
      </c>
      <c r="I1378" t="s">
        <v>56</v>
      </c>
    </row>
    <row r="1379" spans="1:9">
      <c r="A1379" s="4" t="s">
        <v>2813</v>
      </c>
      <c r="B1379" s="4" t="s">
        <v>2814</v>
      </c>
      <c r="C1379" s="4" t="s">
        <v>31</v>
      </c>
      <c r="D1379" s="2">
        <f>2639056640/(10^6)</f>
        <v>2639.05664</v>
      </c>
      <c r="E1379" s="5">
        <v>12.8739700317383</v>
      </c>
      <c r="F1379" s="5">
        <v>2.165203332901</v>
      </c>
      <c r="G1379" s="5">
        <v>1.67635250091553</v>
      </c>
      <c r="H1379" s="5">
        <v>8.70985126495361</v>
      </c>
      <c r="I1379" t="s">
        <v>56</v>
      </c>
    </row>
    <row r="1380" spans="1:9">
      <c r="A1380" s="4" t="s">
        <v>2815</v>
      </c>
      <c r="B1380" s="4" t="s">
        <v>2816</v>
      </c>
      <c r="C1380" s="4" t="s">
        <v>31</v>
      </c>
      <c r="D1380" s="2">
        <f>2632462848/(10^6)</f>
        <v>2632.462848</v>
      </c>
      <c r="E1380" s="5">
        <v>9.74463081359863</v>
      </c>
      <c r="F1380" s="5">
        <v>1.25095808506012</v>
      </c>
      <c r="G1380" s="5">
        <v>0.777701616287231</v>
      </c>
      <c r="H1380" s="5">
        <v>6.39775991439819</v>
      </c>
      <c r="I1380" t="s">
        <v>56</v>
      </c>
    </row>
    <row r="1381" spans="1:9">
      <c r="A1381" s="4" t="s">
        <v>2817</v>
      </c>
      <c r="B1381" s="4" t="s">
        <v>2818</v>
      </c>
      <c r="C1381" s="4" t="s">
        <v>31</v>
      </c>
      <c r="D1381" s="2">
        <f>2607084544/(10^6)</f>
        <v>2607.084544</v>
      </c>
      <c r="E1381" s="5">
        <v>8.64182758331299</v>
      </c>
      <c r="F1381" s="5">
        <v>1.05691683292389</v>
      </c>
      <c r="G1381" s="5">
        <v>0.365277767181396</v>
      </c>
      <c r="H1381" s="5">
        <v>4.50908184051514</v>
      </c>
      <c r="I1381" t="s">
        <v>56</v>
      </c>
    </row>
    <row r="1382" spans="1:9">
      <c r="A1382" s="4" t="s">
        <v>2819</v>
      </c>
      <c r="B1382" s="4" t="s">
        <v>2820</v>
      </c>
      <c r="C1382" s="4" t="s">
        <v>31</v>
      </c>
      <c r="D1382" s="2">
        <f>2604442624/(10^6)</f>
        <v>2604.442624</v>
      </c>
      <c r="E1382" s="5">
        <v>10.9524717330933</v>
      </c>
      <c r="F1382" s="5">
        <v>0.532561302185059</v>
      </c>
      <c r="G1382" s="5">
        <v>0.162824496626854</v>
      </c>
      <c r="H1382" s="5">
        <v>5.79846000671387</v>
      </c>
      <c r="I1382" t="s">
        <v>56</v>
      </c>
    </row>
    <row r="1383" spans="1:9">
      <c r="A1383" s="4" t="s">
        <v>2821</v>
      </c>
      <c r="B1383" s="4" t="s">
        <v>2822</v>
      </c>
      <c r="C1383" s="4" t="s">
        <v>43</v>
      </c>
      <c r="D1383" s="2">
        <f>2598129664/(10^6)</f>
        <v>2598.129664</v>
      </c>
      <c r="E1383" s="5">
        <v>16.3817386627197</v>
      </c>
      <c r="F1383" s="5">
        <v>2.22101020812988</v>
      </c>
      <c r="G1383" s="5">
        <v>3.98663687705994</v>
      </c>
      <c r="H1383" s="5">
        <v>23.9541969299316</v>
      </c>
      <c r="I1383" t="s">
        <v>56</v>
      </c>
    </row>
    <row r="1384" spans="1:9">
      <c r="A1384" s="4" t="s">
        <v>2823</v>
      </c>
      <c r="B1384" s="4" t="s">
        <v>2824</v>
      </c>
      <c r="C1384" s="4" t="s">
        <v>43</v>
      </c>
      <c r="D1384" s="2">
        <f>2569863680/(10^6)</f>
        <v>2569.86368</v>
      </c>
      <c r="E1384" s="5">
        <v>5.32818508148193</v>
      </c>
      <c r="F1384" s="5">
        <v>0.624273717403412</v>
      </c>
      <c r="G1384" s="5">
        <v>1.51953411102295</v>
      </c>
      <c r="H1384" s="3" t="s">
        <v>86</v>
      </c>
      <c r="I1384" t="s">
        <v>56</v>
      </c>
    </row>
    <row r="1385" spans="1:9">
      <c r="A1385" s="4" t="s">
        <v>2825</v>
      </c>
      <c r="B1385" s="4" t="s">
        <v>2826</v>
      </c>
      <c r="C1385" s="4" t="s">
        <v>27</v>
      </c>
      <c r="D1385" s="2">
        <f>2548717824/(10^6)</f>
        <v>2548.717824</v>
      </c>
      <c r="E1385" s="5">
        <v>6.91703081130981</v>
      </c>
      <c r="F1385" s="5">
        <v>0.924274384975433</v>
      </c>
      <c r="G1385" s="5">
        <v>0.747455418109894</v>
      </c>
      <c r="H1385" s="5">
        <v>7.95027017593384</v>
      </c>
      <c r="I1385" t="s">
        <v>56</v>
      </c>
    </row>
    <row r="1386" spans="1:9">
      <c r="A1386" s="4" t="s">
        <v>2827</v>
      </c>
      <c r="B1386" s="4" t="s">
        <v>2828</v>
      </c>
      <c r="C1386" s="4" t="s">
        <v>45</v>
      </c>
      <c r="D1386" s="2">
        <f>2524457984/(10^6)</f>
        <v>2524.457984</v>
      </c>
      <c r="E1386" s="5">
        <v>3.93237662315369</v>
      </c>
      <c r="F1386" s="5">
        <v>0.718636572360992</v>
      </c>
      <c r="G1386" s="5">
        <v>11.2010297775269</v>
      </c>
      <c r="H1386" s="5">
        <v>6.24564027786255</v>
      </c>
      <c r="I1386" t="s">
        <v>56</v>
      </c>
    </row>
    <row r="1387" spans="1:9">
      <c r="A1387" s="4" t="s">
        <v>2829</v>
      </c>
      <c r="B1387" s="4" t="s">
        <v>2830</v>
      </c>
      <c r="C1387" s="4" t="s">
        <v>27</v>
      </c>
      <c r="D1387" s="2">
        <f>2502488064/(10^6)</f>
        <v>2502.488064</v>
      </c>
      <c r="E1387" s="5">
        <v>184.935516357422</v>
      </c>
      <c r="F1387" s="3" t="s">
        <v>86</v>
      </c>
      <c r="G1387" s="5">
        <v>0.243883430957794</v>
      </c>
      <c r="H1387" s="3" t="s">
        <v>86</v>
      </c>
      <c r="I1387" t="s">
        <v>56</v>
      </c>
    </row>
    <row r="1388" spans="1:9">
      <c r="A1388" s="4" t="s">
        <v>2831</v>
      </c>
      <c r="B1388" s="4" t="s">
        <v>2832</v>
      </c>
      <c r="C1388" s="4" t="s">
        <v>45</v>
      </c>
      <c r="D1388" s="2">
        <f>2460454400/(10^6)</f>
        <v>2460.4544</v>
      </c>
      <c r="E1388" s="5">
        <v>13.2565307617188</v>
      </c>
      <c r="F1388" s="5">
        <v>1.55272328853607</v>
      </c>
      <c r="G1388" s="5">
        <v>14.5386829376221</v>
      </c>
      <c r="H1388" s="5">
        <v>18.0743179321289</v>
      </c>
      <c r="I1388" t="s">
        <v>56</v>
      </c>
    </row>
    <row r="1389" spans="1:9">
      <c r="A1389" s="4" t="s">
        <v>2833</v>
      </c>
      <c r="B1389" s="4" t="s">
        <v>2834</v>
      </c>
      <c r="C1389" s="4" t="s">
        <v>51</v>
      </c>
      <c r="D1389" s="2">
        <f>2334492928/(10^6)</f>
        <v>2334.492928</v>
      </c>
      <c r="E1389" s="5">
        <v>12.6522998809814</v>
      </c>
      <c r="F1389" s="5">
        <v>1.89038729667664</v>
      </c>
      <c r="G1389" s="5">
        <v>0.792093515396118</v>
      </c>
      <c r="H1389" s="5">
        <v>7.40264368057251</v>
      </c>
      <c r="I1389" t="s">
        <v>56</v>
      </c>
    </row>
    <row r="1390" spans="1:9">
      <c r="A1390" s="4" t="s">
        <v>2835</v>
      </c>
      <c r="B1390" s="4" t="s">
        <v>2836</v>
      </c>
      <c r="C1390" s="4" t="s">
        <v>43</v>
      </c>
      <c r="D1390" s="2">
        <f>2333783808/(10^6)</f>
        <v>2333.783808</v>
      </c>
      <c r="E1390" s="5">
        <v>5.03242492675781</v>
      </c>
      <c r="F1390" s="5">
        <v>0.201385766267776</v>
      </c>
      <c r="G1390" s="5">
        <v>0.556778967380524</v>
      </c>
      <c r="H1390" s="3" t="s">
        <v>86</v>
      </c>
      <c r="I1390" t="s">
        <v>56</v>
      </c>
    </row>
    <row r="1391" spans="1:9">
      <c r="A1391" s="4" t="s">
        <v>2837</v>
      </c>
      <c r="B1391" s="4" t="s">
        <v>2838</v>
      </c>
      <c r="C1391" s="4" t="s">
        <v>51</v>
      </c>
      <c r="D1391" s="2">
        <f>2333118208/(10^6)</f>
        <v>2333.118208</v>
      </c>
      <c r="E1391" s="5">
        <v>23.4642868041992</v>
      </c>
      <c r="F1391" s="5">
        <v>6.35742521286011</v>
      </c>
      <c r="G1391" s="5">
        <v>5.37006568908691</v>
      </c>
      <c r="H1391" s="5">
        <v>17.7635173797607</v>
      </c>
      <c r="I1391" t="s">
        <v>56</v>
      </c>
    </row>
    <row r="1392" spans="1:9">
      <c r="A1392" s="4" t="s">
        <v>2839</v>
      </c>
      <c r="B1392" s="4" t="s">
        <v>2840</v>
      </c>
      <c r="C1392" s="4" t="s">
        <v>33</v>
      </c>
      <c r="D1392" s="2">
        <f>2272316928/(10^6)</f>
        <v>2272.316928</v>
      </c>
      <c r="E1392" s="5">
        <v>6.33313274383545</v>
      </c>
      <c r="F1392" s="5">
        <v>0.825400590896606</v>
      </c>
      <c r="G1392" s="5">
        <v>1.61131978034973</v>
      </c>
      <c r="H1392" s="5">
        <v>5.45063209533691</v>
      </c>
      <c r="I1392" t="s">
        <v>56</v>
      </c>
    </row>
    <row r="1393" spans="1:9">
      <c r="A1393" s="4" t="s">
        <v>2841</v>
      </c>
      <c r="B1393" s="4" t="s">
        <v>2842</v>
      </c>
      <c r="C1393" s="4" t="s">
        <v>31</v>
      </c>
      <c r="D1393" s="2">
        <f>2258676992/(10^6)</f>
        <v>2258.676992</v>
      </c>
      <c r="E1393" s="5">
        <v>15.0883255004883</v>
      </c>
      <c r="F1393" s="5">
        <v>0.707512021064758</v>
      </c>
      <c r="G1393" s="5">
        <v>0.634145855903625</v>
      </c>
      <c r="H1393" s="5">
        <v>5.50501298904419</v>
      </c>
      <c r="I1393" t="s">
        <v>56</v>
      </c>
    </row>
    <row r="1394" spans="1:9">
      <c r="A1394" s="4" t="s">
        <v>2843</v>
      </c>
      <c r="B1394" s="4" t="s">
        <v>2844</v>
      </c>
      <c r="C1394" s="4" t="s">
        <v>33</v>
      </c>
      <c r="D1394" s="2">
        <f>2244216064/(10^6)</f>
        <v>2244.216064</v>
      </c>
      <c r="E1394" s="5">
        <v>10.5026893615723</v>
      </c>
      <c r="F1394" s="5">
        <v>1.5300817489624</v>
      </c>
      <c r="G1394" s="5">
        <v>0.684461236000061</v>
      </c>
      <c r="H1394" s="5">
        <v>9.63973426818848</v>
      </c>
      <c r="I1394" t="s">
        <v>56</v>
      </c>
    </row>
    <row r="1395" spans="1:9">
      <c r="A1395" s="4" t="s">
        <v>2845</v>
      </c>
      <c r="B1395" s="4" t="s">
        <v>2846</v>
      </c>
      <c r="C1395" s="4" t="s">
        <v>43</v>
      </c>
      <c r="D1395" s="2">
        <f>2112642816/(10^6)</f>
        <v>2112.642816</v>
      </c>
      <c r="E1395" s="5">
        <v>2.32829785346985</v>
      </c>
      <c r="F1395" s="5">
        <v>0.153549283742905</v>
      </c>
      <c r="G1395" s="5">
        <v>0.437184065580368</v>
      </c>
      <c r="H1395" s="3" t="s">
        <v>86</v>
      </c>
      <c r="I1395" t="s">
        <v>56</v>
      </c>
    </row>
    <row r="1396" spans="1:9">
      <c r="A1396" s="4" t="s">
        <v>2847</v>
      </c>
      <c r="B1396" s="4" t="s">
        <v>2848</v>
      </c>
      <c r="C1396" s="4" t="s">
        <v>51</v>
      </c>
      <c r="D1396" s="2">
        <f>2109732736/(10^6)</f>
        <v>2109.732736</v>
      </c>
      <c r="E1396" s="5">
        <v>11.6650953292847</v>
      </c>
      <c r="F1396" s="5">
        <v>1.33497941493988</v>
      </c>
      <c r="G1396" s="5">
        <v>0.421584457159042</v>
      </c>
      <c r="H1396" s="5">
        <v>6.18913269042969</v>
      </c>
      <c r="I1396" t="s">
        <v>56</v>
      </c>
    </row>
    <row r="1397" spans="1:9">
      <c r="A1397" s="4" t="s">
        <v>2849</v>
      </c>
      <c r="B1397" s="4" t="s">
        <v>2850</v>
      </c>
      <c r="C1397" s="4" t="s">
        <v>45</v>
      </c>
      <c r="D1397" s="2">
        <f>1906457600/(10^6)</f>
        <v>1906.4576</v>
      </c>
      <c r="E1397" s="5">
        <v>5.69953298568726</v>
      </c>
      <c r="F1397" s="5">
        <v>0.532582521438599</v>
      </c>
      <c r="G1397" s="5">
        <v>3.25767755508423</v>
      </c>
      <c r="H1397" s="3" t="s">
        <v>86</v>
      </c>
      <c r="I1397" t="s">
        <v>56</v>
      </c>
    </row>
    <row r="1398" spans="1:9">
      <c r="A1398" s="4" t="s">
        <v>2851</v>
      </c>
      <c r="B1398" s="4" t="s">
        <v>2852</v>
      </c>
      <c r="C1398" s="4" t="s">
        <v>51</v>
      </c>
      <c r="D1398" s="2">
        <f>1868890368/(10^6)</f>
        <v>1868.890368</v>
      </c>
      <c r="E1398" s="5">
        <v>6.2604660987854</v>
      </c>
      <c r="F1398" s="5">
        <v>1.27153170108795</v>
      </c>
      <c r="G1398" s="5">
        <v>1.19989335536957</v>
      </c>
      <c r="H1398" s="5">
        <v>2.31791973114014</v>
      </c>
      <c r="I1398" t="s">
        <v>56</v>
      </c>
    </row>
    <row r="1399" spans="1:9">
      <c r="A1399" s="4" t="s">
        <v>2853</v>
      </c>
      <c r="B1399" s="4" t="s">
        <v>2854</v>
      </c>
      <c r="C1399" s="4" t="s">
        <v>37</v>
      </c>
      <c r="D1399" s="2">
        <f>1862163968/(10^6)</f>
        <v>1862.163968</v>
      </c>
      <c r="E1399" s="5">
        <v>6.55663394927979</v>
      </c>
      <c r="F1399" s="5">
        <v>0.887154936790466</v>
      </c>
      <c r="G1399" s="5">
        <v>0.469705045223236</v>
      </c>
      <c r="H1399" s="5">
        <v>4.6417760848999</v>
      </c>
      <c r="I1399" t="s">
        <v>56</v>
      </c>
    </row>
    <row r="1400" spans="1:9">
      <c r="A1400" s="4" t="s">
        <v>2855</v>
      </c>
      <c r="B1400" s="4" t="s">
        <v>2856</v>
      </c>
      <c r="C1400" s="4" t="s">
        <v>33</v>
      </c>
      <c r="D1400" s="2">
        <f>1772283904/(10^6)</f>
        <v>1772.283904</v>
      </c>
      <c r="E1400" s="5">
        <v>3.67650270462036</v>
      </c>
      <c r="F1400" s="5">
        <v>1.43670964241028</v>
      </c>
      <c r="G1400" s="5">
        <v>0.371240735054016</v>
      </c>
      <c r="H1400" s="5">
        <v>5.04579973220825</v>
      </c>
      <c r="I1400" t="s">
        <v>56</v>
      </c>
    </row>
    <row r="1401" spans="1:9">
      <c r="A1401" s="4" t="s">
        <v>2857</v>
      </c>
      <c r="B1401" s="4" t="s">
        <v>2858</v>
      </c>
      <c r="C1401" s="4" t="s">
        <v>47</v>
      </c>
      <c r="D1401" s="2">
        <f>1764145280/(10^6)</f>
        <v>1764.14528</v>
      </c>
      <c r="E1401" s="5">
        <v>7.38037347793579</v>
      </c>
      <c r="F1401" s="5">
        <v>1.50279748439789</v>
      </c>
      <c r="G1401" s="5">
        <v>0.512745201587677</v>
      </c>
      <c r="H1401" s="5">
        <v>3.71891140937805</v>
      </c>
      <c r="I1401" t="s">
        <v>56</v>
      </c>
    </row>
    <row r="1402" spans="1:9">
      <c r="A1402" s="4" t="s">
        <v>2859</v>
      </c>
      <c r="B1402" s="4" t="s">
        <v>2860</v>
      </c>
      <c r="C1402" s="4" t="s">
        <v>31</v>
      </c>
      <c r="D1402" s="2">
        <f>1704843008/(10^6)</f>
        <v>1704.843008</v>
      </c>
      <c r="E1402" s="5">
        <v>8.97839832305908</v>
      </c>
      <c r="F1402" s="5">
        <v>0.998880326747894</v>
      </c>
      <c r="G1402" s="5">
        <v>0.204346463084221</v>
      </c>
      <c r="H1402" s="5">
        <v>6.0752649307251</v>
      </c>
      <c r="I1402" t="s">
        <v>56</v>
      </c>
    </row>
    <row r="1403" spans="1:9">
      <c r="A1403" s="4" t="s">
        <v>2861</v>
      </c>
      <c r="B1403" s="4" t="s">
        <v>2862</v>
      </c>
      <c r="C1403" s="4" t="s">
        <v>51</v>
      </c>
      <c r="D1403" s="2">
        <f>1138625216512/(10^6)</f>
        <v>1138625.216512</v>
      </c>
      <c r="E1403" s="5">
        <v>27.7716960906982</v>
      </c>
      <c r="F1403" s="5">
        <v>10.3476257324219</v>
      </c>
      <c r="G1403" s="5">
        <v>8.52410316467285</v>
      </c>
      <c r="H1403" s="5">
        <v>17.277982711792</v>
      </c>
      <c r="I1403" t="s">
        <v>57</v>
      </c>
    </row>
    <row r="1404" spans="1:9">
      <c r="A1404" s="4" t="s">
        <v>2863</v>
      </c>
      <c r="B1404" s="4" t="s">
        <v>2864</v>
      </c>
      <c r="C1404" s="4" t="s">
        <v>51</v>
      </c>
      <c r="D1404" s="2">
        <f>1083981430784/(10^6)</f>
        <v>1083981.430784</v>
      </c>
      <c r="E1404" s="5">
        <v>19.5768489837646</v>
      </c>
      <c r="F1404" s="5">
        <v>12.1335601806641</v>
      </c>
      <c r="G1404" s="5">
        <v>4.18183374404907</v>
      </c>
      <c r="H1404" s="5">
        <v>12.6598472595215</v>
      </c>
      <c r="I1404" t="s">
        <v>57</v>
      </c>
    </row>
    <row r="1405" spans="1:9">
      <c r="A1405" s="4" t="s">
        <v>2865</v>
      </c>
      <c r="B1405" s="4" t="s">
        <v>2866</v>
      </c>
      <c r="C1405" s="4" t="s">
        <v>47</v>
      </c>
      <c r="D1405" s="2">
        <f>945889607680/(10^6)</f>
        <v>945889.60768</v>
      </c>
      <c r="E1405" s="5">
        <v>82.5771408081055</v>
      </c>
      <c r="F1405" s="5">
        <v>15.2473373413086</v>
      </c>
      <c r="G1405" s="5">
        <v>3.34608793258667</v>
      </c>
      <c r="H1405" s="5">
        <v>24.2113018035889</v>
      </c>
      <c r="I1405" t="s">
        <v>57</v>
      </c>
    </row>
    <row r="1406" spans="1:9">
      <c r="A1406" s="4" t="s">
        <v>2867</v>
      </c>
      <c r="B1406" s="4" t="s">
        <v>2868</v>
      </c>
      <c r="C1406" s="4" t="s">
        <v>33</v>
      </c>
      <c r="D1406" s="2">
        <f>763230093312/(10^6)</f>
        <v>763230.093312</v>
      </c>
      <c r="E1406" s="5">
        <v>23.1809597015381</v>
      </c>
      <c r="F1406" s="5">
        <v>3.79380106925964</v>
      </c>
      <c r="G1406" s="5">
        <v>4.74942922592163</v>
      </c>
      <c r="H1406" s="5">
        <v>13.7883024215698</v>
      </c>
      <c r="I1406" t="s">
        <v>57</v>
      </c>
    </row>
    <row r="1407" spans="1:9">
      <c r="A1407" s="4" t="s">
        <v>2869</v>
      </c>
      <c r="B1407" s="4" t="s">
        <v>2870</v>
      </c>
      <c r="C1407" s="4" t="s">
        <v>33</v>
      </c>
      <c r="D1407" s="2">
        <f>763230093312/(10^6)</f>
        <v>763230.093312</v>
      </c>
      <c r="E1407" s="5">
        <v>23.1809597015381</v>
      </c>
      <c r="F1407" s="5">
        <v>3.79380106925964</v>
      </c>
      <c r="G1407" s="5">
        <v>4.74942922592163</v>
      </c>
      <c r="H1407" s="5">
        <v>13.7883024215698</v>
      </c>
      <c r="I1407" t="s">
        <v>57</v>
      </c>
    </row>
    <row r="1408" spans="1:9">
      <c r="A1408" s="4" t="s">
        <v>2871</v>
      </c>
      <c r="B1408" s="4" t="s">
        <v>2872</v>
      </c>
      <c r="C1408" s="4" t="s">
        <v>33</v>
      </c>
      <c r="D1408" s="2">
        <f>446922162176/(10^6)</f>
        <v>446922.162176</v>
      </c>
      <c r="E1408" s="5">
        <v>19.1248226165771</v>
      </c>
      <c r="F1408" s="5">
        <v>4.4250111579895</v>
      </c>
      <c r="G1408" s="5">
        <v>6.33034086227417</v>
      </c>
      <c r="H1408" s="5">
        <v>13.0520362854004</v>
      </c>
      <c r="I1408" t="s">
        <v>57</v>
      </c>
    </row>
    <row r="1409" spans="1:9">
      <c r="A1409" s="4" t="s">
        <v>2873</v>
      </c>
      <c r="B1409" s="4" t="s">
        <v>2874</v>
      </c>
      <c r="C1409" s="4" t="s">
        <v>43</v>
      </c>
      <c r="D1409" s="2">
        <f>435806470144/(10^6)</f>
        <v>435806.470144</v>
      </c>
      <c r="E1409" s="5">
        <v>18.27809715271</v>
      </c>
      <c r="F1409" s="5">
        <v>1.02569210529327</v>
      </c>
      <c r="G1409" s="5">
        <v>1.33862137794495</v>
      </c>
      <c r="H1409" s="5">
        <v>1.16784477233887</v>
      </c>
      <c r="I1409" t="s">
        <v>57</v>
      </c>
    </row>
    <row r="1410" spans="1:9">
      <c r="A1410" s="4" t="s">
        <v>2875</v>
      </c>
      <c r="B1410" s="4" t="s">
        <v>2876</v>
      </c>
      <c r="C1410" s="4" t="s">
        <v>43</v>
      </c>
      <c r="D1410" s="2">
        <f>435806470144/(10^6)</f>
        <v>435806.470144</v>
      </c>
      <c r="E1410" s="5">
        <v>18.27809715271</v>
      </c>
      <c r="F1410" s="5">
        <v>1.02569210529327</v>
      </c>
      <c r="G1410" s="5">
        <v>1.33862137794495</v>
      </c>
      <c r="H1410" s="5">
        <v>1.16784477233887</v>
      </c>
      <c r="I1410" t="s">
        <v>57</v>
      </c>
    </row>
    <row r="1411" spans="1:9">
      <c r="A1411" s="4" t="s">
        <v>2877</v>
      </c>
      <c r="B1411" s="4" t="s">
        <v>2878</v>
      </c>
      <c r="C1411" s="4" t="s">
        <v>41</v>
      </c>
      <c r="D1411" s="2">
        <f>324693131264/(10^6)</f>
        <v>324693.131264</v>
      </c>
      <c r="E1411" s="5">
        <v>19.6693058013916</v>
      </c>
      <c r="F1411" s="5">
        <v>5.45172548294067</v>
      </c>
      <c r="G1411" s="5">
        <v>3.98375082015991</v>
      </c>
      <c r="H1411" s="5">
        <v>12.1947412490845</v>
      </c>
      <c r="I1411" t="s">
        <v>57</v>
      </c>
    </row>
    <row r="1412" spans="1:9">
      <c r="A1412" s="4" t="s">
        <v>2879</v>
      </c>
      <c r="B1412" s="4" t="s">
        <v>2880</v>
      </c>
      <c r="C1412" s="4" t="s">
        <v>51</v>
      </c>
      <c r="D1412" s="2">
        <f>317062610944/(10^6)</f>
        <v>317062.610944</v>
      </c>
      <c r="E1412" s="5">
        <v>29.3162631988525</v>
      </c>
      <c r="F1412" s="5">
        <v>10.6503419876099</v>
      </c>
      <c r="G1412" s="5">
        <v>13.6383256912231</v>
      </c>
      <c r="H1412" s="5">
        <v>20.330997467041</v>
      </c>
      <c r="I1412" t="s">
        <v>57</v>
      </c>
    </row>
    <row r="1413" spans="1:9">
      <c r="A1413" s="4" t="s">
        <v>2881</v>
      </c>
      <c r="B1413" s="4" t="s">
        <v>2882</v>
      </c>
      <c r="C1413" s="4" t="s">
        <v>35</v>
      </c>
      <c r="D1413" s="2">
        <f>310360932352/(10^6)</f>
        <v>310360.932352</v>
      </c>
      <c r="E1413" s="5">
        <v>22.1587085723877</v>
      </c>
      <c r="F1413" s="5">
        <v>4.15608310699463</v>
      </c>
      <c r="G1413" s="5">
        <v>0.595974564552307</v>
      </c>
      <c r="H1413" s="5">
        <v>11.1091871261597</v>
      </c>
      <c r="I1413" t="s">
        <v>57</v>
      </c>
    </row>
    <row r="1414" spans="1:9">
      <c r="A1414" s="4" t="s">
        <v>2883</v>
      </c>
      <c r="B1414" s="4" t="s">
        <v>2884</v>
      </c>
      <c r="C1414" s="4" t="s">
        <v>43</v>
      </c>
      <c r="D1414" s="2">
        <f>280131469312/(10^6)</f>
        <v>280131.469312</v>
      </c>
      <c r="E1414" s="5">
        <v>8.64224910736084</v>
      </c>
      <c r="F1414" s="5">
        <v>1.19932770729065</v>
      </c>
      <c r="G1414" s="5">
        <v>2.06197333335877</v>
      </c>
      <c r="H1414" s="5" t="s">
        <v>86</v>
      </c>
      <c r="I1414" t="s">
        <v>57</v>
      </c>
    </row>
    <row r="1415" spans="1:9">
      <c r="A1415" s="4" t="s">
        <v>2885</v>
      </c>
      <c r="B1415" s="4" t="s">
        <v>2886</v>
      </c>
      <c r="C1415" s="4" t="s">
        <v>35</v>
      </c>
      <c r="D1415" s="2">
        <f>272059629568/(10^6)</f>
        <v>272059.629568</v>
      </c>
      <c r="E1415" s="5">
        <v>22.5892200469971</v>
      </c>
      <c r="F1415" s="5">
        <v>6.09630107879639</v>
      </c>
      <c r="G1415" s="5">
        <v>3.96090841293335</v>
      </c>
      <c r="H1415" s="5">
        <v>29.8725528717041</v>
      </c>
      <c r="I1415" t="s">
        <v>57</v>
      </c>
    </row>
    <row r="1416" spans="1:9">
      <c r="A1416" s="4" t="s">
        <v>2887</v>
      </c>
      <c r="B1416" s="4" t="s">
        <v>2888</v>
      </c>
      <c r="C1416" s="4" t="s">
        <v>51</v>
      </c>
      <c r="D1416" s="2">
        <f>248915230720/(10^6)</f>
        <v>248915.23072</v>
      </c>
      <c r="E1416" s="5">
        <v>31.7635669708252</v>
      </c>
      <c r="F1416" s="5">
        <v>42.318603515625</v>
      </c>
      <c r="G1416" s="5">
        <v>14.9083976745605</v>
      </c>
      <c r="H1416" s="5">
        <v>24.3657627105713</v>
      </c>
      <c r="I1416" t="s">
        <v>57</v>
      </c>
    </row>
    <row r="1417" spans="1:9">
      <c r="A1417" s="4" t="s">
        <v>2889</v>
      </c>
      <c r="B1417" s="4" t="s">
        <v>2890</v>
      </c>
      <c r="C1417" s="4" t="s">
        <v>41</v>
      </c>
      <c r="D1417" s="2">
        <f>229981618176/(10^6)</f>
        <v>229981.618176</v>
      </c>
      <c r="E1417" s="5">
        <v>16.9190502166748</v>
      </c>
      <c r="F1417" s="5">
        <v>3.98921465873718</v>
      </c>
      <c r="G1417" s="5">
        <v>0.955893039703369</v>
      </c>
      <c r="H1417" s="5">
        <v>11.2451877593994</v>
      </c>
      <c r="I1417" t="s">
        <v>57</v>
      </c>
    </row>
    <row r="1418" spans="1:9">
      <c r="A1418" s="4" t="s">
        <v>2891</v>
      </c>
      <c r="B1418" s="4" t="s">
        <v>2892</v>
      </c>
      <c r="C1418" s="4" t="s">
        <v>51</v>
      </c>
      <c r="D1418" s="2">
        <f>223986483200/(10^6)</f>
        <v>223986.4832</v>
      </c>
      <c r="E1418" s="5">
        <v>11.9836664199829</v>
      </c>
      <c r="F1418" s="5">
        <v>2.89299750328064</v>
      </c>
      <c r="G1418" s="5">
        <v>3.20883536338806</v>
      </c>
      <c r="H1418" s="5">
        <v>7.15510129928589</v>
      </c>
      <c r="I1418" t="s">
        <v>57</v>
      </c>
    </row>
    <row r="1419" spans="1:9">
      <c r="A1419" s="4" t="s">
        <v>2893</v>
      </c>
      <c r="B1419" s="4" t="s">
        <v>2894</v>
      </c>
      <c r="C1419" s="4" t="s">
        <v>33</v>
      </c>
      <c r="D1419" s="2">
        <f>218249527296/(10^6)</f>
        <v>218249.527296</v>
      </c>
      <c r="E1419" s="5">
        <v>9.86975574493408</v>
      </c>
      <c r="F1419" s="5">
        <v>3.55481147766113</v>
      </c>
      <c r="G1419" s="5">
        <v>1.65602099895477</v>
      </c>
      <c r="H1419" s="5">
        <v>6.7966570854187</v>
      </c>
      <c r="I1419" t="s">
        <v>57</v>
      </c>
    </row>
    <row r="1420" spans="1:9">
      <c r="A1420" s="4" t="s">
        <v>2895</v>
      </c>
      <c r="B1420" s="4" t="s">
        <v>2896</v>
      </c>
      <c r="C1420" s="4" t="s">
        <v>33</v>
      </c>
      <c r="D1420" s="2">
        <f>214343876608/(10^6)</f>
        <v>214343.876608</v>
      </c>
      <c r="E1420" s="5">
        <v>13.0454530715942</v>
      </c>
      <c r="F1420" s="5">
        <v>1.16185915470123</v>
      </c>
      <c r="G1420" s="5">
        <v>1.20528316497803</v>
      </c>
      <c r="H1420" s="5">
        <v>6.60128164291382</v>
      </c>
      <c r="I1420" t="s">
        <v>57</v>
      </c>
    </row>
    <row r="1421" spans="1:9">
      <c r="A1421" s="4" t="s">
        <v>2897</v>
      </c>
      <c r="B1421" s="4" t="s">
        <v>2898</v>
      </c>
      <c r="C1421" s="4" t="s">
        <v>47</v>
      </c>
      <c r="D1421" s="2">
        <f>204792004608/(10^6)</f>
        <v>204792.004608</v>
      </c>
      <c r="E1421" s="5">
        <v>18.5902442932129</v>
      </c>
      <c r="F1421" s="5" t="s">
        <v>86</v>
      </c>
      <c r="G1421" s="5">
        <v>1.88796699047089</v>
      </c>
      <c r="H1421" s="5">
        <v>12.6654710769653</v>
      </c>
      <c r="I1421" t="s">
        <v>57</v>
      </c>
    </row>
    <row r="1422" spans="1:9">
      <c r="A1422" s="4" t="s">
        <v>2899</v>
      </c>
      <c r="B1422" s="4" t="s">
        <v>2900</v>
      </c>
      <c r="C1422" s="4" t="s">
        <v>43</v>
      </c>
      <c r="D1422" s="2">
        <f>188455059456/(10^6)</f>
        <v>188455.059456</v>
      </c>
      <c r="E1422" s="5">
        <v>7.75236940383911</v>
      </c>
      <c r="F1422" s="5">
        <v>0.790611863136292</v>
      </c>
      <c r="G1422" s="5">
        <v>1.78455078601837</v>
      </c>
      <c r="H1422" s="5" t="s">
        <v>86</v>
      </c>
      <c r="I1422" t="s">
        <v>57</v>
      </c>
    </row>
    <row r="1423" spans="1:9">
      <c r="A1423" s="4" t="s">
        <v>2901</v>
      </c>
      <c r="B1423" s="4" t="s">
        <v>2902</v>
      </c>
      <c r="C1423" s="4" t="s">
        <v>35</v>
      </c>
      <c r="D1423" s="2">
        <f>183800512512/(10^6)</f>
        <v>183800.512512</v>
      </c>
      <c r="E1423" s="5">
        <v>19.9497184753418</v>
      </c>
      <c r="F1423" s="5">
        <v>9.65316963195801</v>
      </c>
      <c r="G1423" s="5">
        <v>4.91147708892822</v>
      </c>
      <c r="H1423" s="5">
        <v>18.5852870941162</v>
      </c>
      <c r="I1423" t="s">
        <v>57</v>
      </c>
    </row>
    <row r="1424" spans="1:9">
      <c r="A1424" s="4" t="s">
        <v>2903</v>
      </c>
      <c r="B1424" s="4" t="s">
        <v>2904</v>
      </c>
      <c r="C1424" s="4" t="s">
        <v>41</v>
      </c>
      <c r="D1424" s="2">
        <f>181926559744/(10^6)</f>
        <v>181926.559744</v>
      </c>
      <c r="E1424" s="5">
        <v>13.8886480331421</v>
      </c>
      <c r="F1424" s="5">
        <v>7.02990055084229</v>
      </c>
      <c r="G1424" s="5">
        <v>3.93320918083191</v>
      </c>
      <c r="H1424" s="5">
        <v>12.7545881271362</v>
      </c>
      <c r="I1424" t="s">
        <v>57</v>
      </c>
    </row>
    <row r="1425" spans="1:9">
      <c r="A1425" s="4" t="s">
        <v>2905</v>
      </c>
      <c r="B1425" s="4" t="s">
        <v>2906</v>
      </c>
      <c r="C1425" s="4" t="s">
        <v>33</v>
      </c>
      <c r="D1425" s="2">
        <f>174044282880/(10^6)</f>
        <v>174044.28288</v>
      </c>
      <c r="E1425" s="5">
        <v>21.9572467803955</v>
      </c>
      <c r="F1425" s="5">
        <v>1.91281342506409</v>
      </c>
      <c r="G1425" s="5">
        <v>2.23505449295044</v>
      </c>
      <c r="H1425" s="5">
        <v>14.3712739944458</v>
      </c>
      <c r="I1425" t="s">
        <v>57</v>
      </c>
    </row>
    <row r="1426" spans="1:9">
      <c r="A1426" s="4" t="s">
        <v>2907</v>
      </c>
      <c r="B1426" s="4" t="s">
        <v>2908</v>
      </c>
      <c r="C1426" s="4" t="s">
        <v>41</v>
      </c>
      <c r="D1426" s="2">
        <f>171422040064/(10^6)</f>
        <v>171422.040064</v>
      </c>
      <c r="E1426" s="5">
        <v>23.2628173828125</v>
      </c>
      <c r="F1426" s="5">
        <v>2.70883440971375</v>
      </c>
      <c r="G1426" s="5">
        <v>3.32552313804627</v>
      </c>
      <c r="H1426" s="5">
        <v>7.79226684570312</v>
      </c>
      <c r="I1426" t="s">
        <v>57</v>
      </c>
    </row>
    <row r="1427" spans="1:9">
      <c r="A1427" s="4" t="s">
        <v>2909</v>
      </c>
      <c r="B1427" s="4" t="s">
        <v>2910</v>
      </c>
      <c r="C1427" s="4" t="s">
        <v>35</v>
      </c>
      <c r="D1427" s="2">
        <f>167347961856/(10^6)</f>
        <v>167347.961856</v>
      </c>
      <c r="E1427" s="5">
        <v>21.57399559021</v>
      </c>
      <c r="F1427" s="5">
        <v>11.3323316574097</v>
      </c>
      <c r="G1427" s="5">
        <v>2.51270723342896</v>
      </c>
      <c r="H1427" s="5">
        <v>14.8003301620483</v>
      </c>
      <c r="I1427" t="s">
        <v>57</v>
      </c>
    </row>
    <row r="1428" spans="1:9">
      <c r="A1428" s="4" t="s">
        <v>2911</v>
      </c>
      <c r="B1428" s="4" t="s">
        <v>2912</v>
      </c>
      <c r="C1428" s="4" t="s">
        <v>51</v>
      </c>
      <c r="D1428" s="2">
        <f>164630970368/(10^6)</f>
        <v>164630.970368</v>
      </c>
      <c r="E1428" s="5">
        <v>13.6844091415405</v>
      </c>
      <c r="F1428" s="5">
        <v>4.63331651687622</v>
      </c>
      <c r="G1428" s="5">
        <v>3.22428750991821</v>
      </c>
      <c r="H1428" s="5">
        <v>9.52275276184082</v>
      </c>
      <c r="I1428" t="s">
        <v>57</v>
      </c>
    </row>
    <row r="1429" spans="1:9">
      <c r="A1429" s="4" t="s">
        <v>2913</v>
      </c>
      <c r="B1429" s="4" t="s">
        <v>2914</v>
      </c>
      <c r="C1429" s="4" t="s">
        <v>33</v>
      </c>
      <c r="D1429" s="2">
        <f>157398401024/(10^6)</f>
        <v>157398.401024</v>
      </c>
      <c r="E1429" s="5">
        <v>12.5946140289307</v>
      </c>
      <c r="F1429" s="5">
        <v>1.90264737606049</v>
      </c>
      <c r="G1429" s="5">
        <v>1.4483722448349</v>
      </c>
      <c r="H1429" s="5">
        <v>7.57312536239624</v>
      </c>
      <c r="I1429" t="s">
        <v>57</v>
      </c>
    </row>
    <row r="1430" spans="1:9">
      <c r="A1430" s="4" t="s">
        <v>2915</v>
      </c>
      <c r="B1430" s="4" t="s">
        <v>2916</v>
      </c>
      <c r="C1430" s="4" t="s">
        <v>51</v>
      </c>
      <c r="D1430" s="2">
        <f>157143089152/(10^6)</f>
        <v>157143.089152</v>
      </c>
      <c r="E1430" s="5">
        <v>15.3614149093628</v>
      </c>
      <c r="F1430" s="5">
        <v>11.06516456604</v>
      </c>
      <c r="G1430" s="5">
        <v>4.11869239807129</v>
      </c>
      <c r="H1430" s="5">
        <v>10.7310857772827</v>
      </c>
      <c r="I1430" t="s">
        <v>57</v>
      </c>
    </row>
    <row r="1431" spans="1:9">
      <c r="A1431" s="4" t="s">
        <v>2917</v>
      </c>
      <c r="B1431" s="4" t="s">
        <v>2918</v>
      </c>
      <c r="C1431" s="4" t="s">
        <v>33</v>
      </c>
      <c r="D1431" s="2">
        <f>156706635776/(10^6)</f>
        <v>156706.635776</v>
      </c>
      <c r="E1431" s="5">
        <v>86.4697341918945</v>
      </c>
      <c r="F1431" s="5">
        <v>20.6678161621094</v>
      </c>
      <c r="G1431" s="5">
        <v>7.75728273391724</v>
      </c>
      <c r="H1431" s="5">
        <v>57.4402885437012</v>
      </c>
      <c r="I1431" t="s">
        <v>57</v>
      </c>
    </row>
    <row r="1432" spans="1:9">
      <c r="A1432" s="4" t="s">
        <v>2919</v>
      </c>
      <c r="B1432" s="4" t="s">
        <v>2920</v>
      </c>
      <c r="C1432" s="4" t="s">
        <v>27</v>
      </c>
      <c r="D1432" s="2">
        <f>156379447296/(10^6)</f>
        <v>156379.447296</v>
      </c>
      <c r="E1432" s="5">
        <v>14.8198003768921</v>
      </c>
      <c r="F1432" s="5">
        <v>0.816312551498413</v>
      </c>
      <c r="G1432" s="5">
        <v>0.617358386516571</v>
      </c>
      <c r="H1432" s="5">
        <v>6.66994476318359</v>
      </c>
      <c r="I1432" t="s">
        <v>57</v>
      </c>
    </row>
    <row r="1433" spans="1:9">
      <c r="A1433" s="4" t="s">
        <v>2921</v>
      </c>
      <c r="B1433" s="4" t="s">
        <v>2922</v>
      </c>
      <c r="C1433" s="4" t="s">
        <v>51</v>
      </c>
      <c r="D1433" s="2">
        <f>154670759936/(10^6)</f>
        <v>154670.759936</v>
      </c>
      <c r="E1433" s="5">
        <v>55.1514167785645</v>
      </c>
      <c r="F1433" s="5">
        <v>12.6737766265869</v>
      </c>
      <c r="G1433" s="5">
        <v>14.1137475967407</v>
      </c>
      <c r="H1433" s="5">
        <v>43.8242301940918</v>
      </c>
      <c r="I1433" t="s">
        <v>57</v>
      </c>
    </row>
    <row r="1434" spans="1:9">
      <c r="A1434" s="4" t="s">
        <v>2923</v>
      </c>
      <c r="B1434" s="4" t="s">
        <v>2924</v>
      </c>
      <c r="C1434" s="4" t="s">
        <v>51</v>
      </c>
      <c r="D1434" s="2">
        <f>147349159936/(10^6)</f>
        <v>147349.159936</v>
      </c>
      <c r="E1434" s="5">
        <v>46.4069404602051</v>
      </c>
      <c r="F1434" s="5">
        <v>14.1152296066284</v>
      </c>
      <c r="G1434" s="5">
        <v>12.7110061645508</v>
      </c>
      <c r="H1434" s="5">
        <v>34.2489738464355</v>
      </c>
      <c r="I1434" t="s">
        <v>57</v>
      </c>
    </row>
    <row r="1435" spans="1:9">
      <c r="A1435" s="4" t="s">
        <v>2925</v>
      </c>
      <c r="B1435" s="4" t="s">
        <v>2926</v>
      </c>
      <c r="C1435" s="4" t="s">
        <v>41</v>
      </c>
      <c r="D1435" s="2">
        <f>131481583616/(10^6)</f>
        <v>131481.583616</v>
      </c>
      <c r="E1435" s="5">
        <v>31.1955280303955</v>
      </c>
      <c r="F1435" s="5">
        <v>4.22710466384888</v>
      </c>
      <c r="G1435" s="5">
        <v>4.13970327377319</v>
      </c>
      <c r="H1435" s="5">
        <v>18.6522369384766</v>
      </c>
      <c r="I1435" t="s">
        <v>57</v>
      </c>
    </row>
    <row r="1436" spans="1:9">
      <c r="A1436" s="4" t="s">
        <v>2927</v>
      </c>
      <c r="B1436" s="4" t="s">
        <v>2928</v>
      </c>
      <c r="C1436" s="4" t="s">
        <v>51</v>
      </c>
      <c r="D1436" s="2">
        <f>130670002176/(10^6)</f>
        <v>130670.002176</v>
      </c>
      <c r="E1436" s="5" t="s">
        <v>86</v>
      </c>
      <c r="F1436" s="5">
        <v>3.84766125679016</v>
      </c>
      <c r="G1436" s="5">
        <v>7.09128189086914</v>
      </c>
      <c r="H1436" s="5">
        <v>38.5578498840332</v>
      </c>
      <c r="I1436" t="s">
        <v>57</v>
      </c>
    </row>
    <row r="1437" spans="1:9">
      <c r="A1437" s="4" t="s">
        <v>2929</v>
      </c>
      <c r="B1437" s="4" t="s">
        <v>2930</v>
      </c>
      <c r="C1437" s="4" t="s">
        <v>47</v>
      </c>
      <c r="D1437" s="2">
        <f>129620131840/(10^6)</f>
        <v>129620.13184</v>
      </c>
      <c r="E1437" s="5">
        <v>28.6157131195068</v>
      </c>
      <c r="F1437" s="5">
        <v>14.330587387085</v>
      </c>
      <c r="G1437" s="5">
        <v>3.15054631233215</v>
      </c>
      <c r="H1437" s="5">
        <v>21.6942348480225</v>
      </c>
      <c r="I1437" t="s">
        <v>57</v>
      </c>
    </row>
    <row r="1438" spans="1:9">
      <c r="A1438" s="4" t="s">
        <v>2931</v>
      </c>
      <c r="B1438" s="4" t="s">
        <v>2932</v>
      </c>
      <c r="C1438" s="4" t="s">
        <v>27</v>
      </c>
      <c r="D1438" s="2">
        <f>129259954176/(10^6)</f>
        <v>129259.954176</v>
      </c>
      <c r="E1438" s="5">
        <v>11.455623626709</v>
      </c>
      <c r="F1438" s="5">
        <v>0.897668838500977</v>
      </c>
      <c r="G1438" s="5">
        <v>0.925782024860382</v>
      </c>
      <c r="H1438" s="5">
        <v>4.87936782836914</v>
      </c>
      <c r="I1438" t="s">
        <v>57</v>
      </c>
    </row>
    <row r="1439" spans="1:9">
      <c r="A1439" s="4" t="s">
        <v>2933</v>
      </c>
      <c r="B1439" s="4" t="s">
        <v>2934</v>
      </c>
      <c r="C1439" s="4" t="s">
        <v>41</v>
      </c>
      <c r="D1439" s="2">
        <f>128348422144/(10^6)</f>
        <v>128348.422144</v>
      </c>
      <c r="E1439" s="5">
        <v>23.1056671142578</v>
      </c>
      <c r="F1439" s="5">
        <v>49.2592010498047</v>
      </c>
      <c r="G1439" s="5">
        <v>5.5890679359436</v>
      </c>
      <c r="H1439" s="5">
        <v>22.2467708587646</v>
      </c>
      <c r="I1439" t="s">
        <v>57</v>
      </c>
    </row>
    <row r="1440" spans="1:9">
      <c r="A1440" s="4" t="s">
        <v>2935</v>
      </c>
      <c r="B1440" s="4" t="s">
        <v>2936</v>
      </c>
      <c r="C1440" s="4" t="s">
        <v>35</v>
      </c>
      <c r="D1440" s="2">
        <f>125554425856/(10^6)</f>
        <v>125554.425856</v>
      </c>
      <c r="E1440" s="5">
        <v>32.5320358276367</v>
      </c>
      <c r="F1440" s="5">
        <v>7.55786561965942</v>
      </c>
      <c r="G1440" s="5">
        <v>0.791506588459015</v>
      </c>
      <c r="H1440" s="5">
        <v>19.145938873291</v>
      </c>
      <c r="I1440" t="s">
        <v>57</v>
      </c>
    </row>
    <row r="1441" spans="1:9">
      <c r="A1441" s="4" t="s">
        <v>2937</v>
      </c>
      <c r="B1441" s="4" t="s">
        <v>2938</v>
      </c>
      <c r="C1441" s="4" t="s">
        <v>43</v>
      </c>
      <c r="D1441" s="2">
        <f>123826970624/(10^6)</f>
        <v>123826.970624</v>
      </c>
      <c r="E1441" s="5">
        <v>7.2744288444519</v>
      </c>
      <c r="F1441" s="5">
        <v>0.755994498729706</v>
      </c>
      <c r="G1441" s="5">
        <v>1.28037536144257</v>
      </c>
      <c r="H1441" s="5" t="s">
        <v>86</v>
      </c>
      <c r="I1441" t="s">
        <v>57</v>
      </c>
    </row>
    <row r="1442" spans="1:9">
      <c r="A1442" s="4" t="s">
        <v>2939</v>
      </c>
      <c r="B1442" s="4" t="s">
        <v>2940</v>
      </c>
      <c r="C1442" s="4" t="s">
        <v>47</v>
      </c>
      <c r="D1442" s="2">
        <f>122260709376/(10^6)</f>
        <v>122260.709376</v>
      </c>
      <c r="E1442" s="5">
        <v>21.1242752075195</v>
      </c>
      <c r="F1442" s="5" t="s">
        <v>86</v>
      </c>
      <c r="G1442" s="5">
        <v>5.89806413650513</v>
      </c>
      <c r="H1442" s="5">
        <v>13.7393312454224</v>
      </c>
      <c r="I1442" t="s">
        <v>57</v>
      </c>
    </row>
    <row r="1443" spans="1:9">
      <c r="A1443" s="4" t="s">
        <v>2941</v>
      </c>
      <c r="B1443" s="4" t="s">
        <v>2942</v>
      </c>
      <c r="C1443" s="4" t="s">
        <v>41</v>
      </c>
      <c r="D1443" s="2">
        <f>119173996544/(10^6)</f>
        <v>119173.996544</v>
      </c>
      <c r="E1443" s="5">
        <v>12.8375673294067</v>
      </c>
      <c r="F1443" s="5">
        <v>2.27947044372559</v>
      </c>
      <c r="G1443" s="5">
        <v>3.4547393321991</v>
      </c>
      <c r="H1443" s="5">
        <v>19.3814487457275</v>
      </c>
      <c r="I1443" t="s">
        <v>57</v>
      </c>
    </row>
    <row r="1444" spans="1:9">
      <c r="A1444" s="4" t="s">
        <v>2943</v>
      </c>
      <c r="B1444" s="4" t="s">
        <v>2944</v>
      </c>
      <c r="C1444" s="4" t="s">
        <v>41</v>
      </c>
      <c r="D1444" s="2">
        <f>116940996608/(10^6)</f>
        <v>116940.996608</v>
      </c>
      <c r="E1444" s="5">
        <v>15.2316617965698</v>
      </c>
      <c r="F1444" s="5">
        <v>12.113881111145</v>
      </c>
      <c r="G1444" s="5">
        <v>5.13199186325073</v>
      </c>
      <c r="H1444" s="5">
        <v>11.4895858764648</v>
      </c>
      <c r="I1444" t="s">
        <v>57</v>
      </c>
    </row>
    <row r="1445" spans="1:9">
      <c r="A1445" s="4" t="s">
        <v>2945</v>
      </c>
      <c r="B1445" s="4" t="s">
        <v>2946</v>
      </c>
      <c r="C1445" s="4" t="s">
        <v>33</v>
      </c>
      <c r="D1445" s="2">
        <f>116897529856/(10^6)</f>
        <v>116897.529856</v>
      </c>
      <c r="E1445" s="5">
        <v>54.730152130127</v>
      </c>
      <c r="F1445" s="5">
        <v>2.93612456321716</v>
      </c>
      <c r="G1445" s="5">
        <v>2.10766816139221</v>
      </c>
      <c r="H1445" s="5">
        <v>11.5988702774048</v>
      </c>
      <c r="I1445" t="s">
        <v>57</v>
      </c>
    </row>
    <row r="1446" spans="1:9">
      <c r="A1446" s="4" t="s">
        <v>2947</v>
      </c>
      <c r="B1446" s="4" t="s">
        <v>2948</v>
      </c>
      <c r="C1446" s="4" t="s">
        <v>39</v>
      </c>
      <c r="D1446" s="2">
        <f>113415634944/(10^6)</f>
        <v>113415.634944</v>
      </c>
      <c r="E1446" s="5">
        <v>28.3467597961426</v>
      </c>
      <c r="F1446" s="5">
        <v>3.06508684158325</v>
      </c>
      <c r="G1446" s="5">
        <v>5.82723522186279</v>
      </c>
      <c r="H1446" s="5">
        <v>16.3501815795898</v>
      </c>
      <c r="I1446" t="s">
        <v>57</v>
      </c>
    </row>
    <row r="1447" spans="1:9">
      <c r="A1447" s="4" t="s">
        <v>2949</v>
      </c>
      <c r="B1447" s="4" t="s">
        <v>2950</v>
      </c>
      <c r="C1447" s="4" t="s">
        <v>51</v>
      </c>
      <c r="D1447" s="2">
        <f>109647880192/(10^6)</f>
        <v>109647.880192</v>
      </c>
      <c r="E1447" s="5">
        <v>42.6626663208008</v>
      </c>
      <c r="F1447" s="5">
        <v>6.4940505027771</v>
      </c>
      <c r="G1447" s="5">
        <v>6.17408609390259</v>
      </c>
      <c r="H1447" s="5">
        <v>27.7593402862549</v>
      </c>
      <c r="I1447" t="s">
        <v>57</v>
      </c>
    </row>
    <row r="1448" spans="1:9">
      <c r="A1448" s="4" t="s">
        <v>2951</v>
      </c>
      <c r="B1448" s="4" t="s">
        <v>2952</v>
      </c>
      <c r="C1448" s="4" t="s">
        <v>41</v>
      </c>
      <c r="D1448" s="2">
        <f>109414580224/(10^6)</f>
        <v>109414.580224</v>
      </c>
      <c r="E1448" s="5">
        <v>31.1027660369873</v>
      </c>
      <c r="F1448" s="5">
        <v>3.68628239631653</v>
      </c>
      <c r="G1448" s="5">
        <v>4.29604816436768</v>
      </c>
      <c r="H1448" s="5">
        <v>17.7292804718018</v>
      </c>
      <c r="I1448" t="s">
        <v>57</v>
      </c>
    </row>
    <row r="1449" spans="1:9">
      <c r="A1449" s="4" t="s">
        <v>2953</v>
      </c>
      <c r="B1449" s="4" t="s">
        <v>2954</v>
      </c>
      <c r="C1449" s="4" t="s">
        <v>35</v>
      </c>
      <c r="D1449" s="2">
        <f>107591311360/(10^6)</f>
        <v>107591.31136</v>
      </c>
      <c r="E1449" s="5">
        <v>13.7452173233032</v>
      </c>
      <c r="F1449" s="5" t="s">
        <v>86</v>
      </c>
      <c r="G1449" s="5">
        <v>3.60951972007752</v>
      </c>
      <c r="H1449" s="5">
        <v>11.4608764648438</v>
      </c>
      <c r="I1449" t="s">
        <v>57</v>
      </c>
    </row>
    <row r="1450" spans="1:9">
      <c r="A1450" s="4" t="s">
        <v>2955</v>
      </c>
      <c r="B1450" s="4" t="s">
        <v>2956</v>
      </c>
      <c r="C1450" s="4" t="s">
        <v>41</v>
      </c>
      <c r="D1450" s="2">
        <f>107490312192/(10^6)</f>
        <v>107490.312192</v>
      </c>
      <c r="E1450" s="5">
        <v>9.05512046813965</v>
      </c>
      <c r="F1450" s="5" t="s">
        <v>86</v>
      </c>
      <c r="G1450" s="5">
        <v>3.23648715019226</v>
      </c>
      <c r="H1450" s="5">
        <v>8.90335273742676</v>
      </c>
      <c r="I1450" t="s">
        <v>57</v>
      </c>
    </row>
    <row r="1451" spans="1:9">
      <c r="A1451" s="4" t="s">
        <v>2957</v>
      </c>
      <c r="B1451" s="4" t="s">
        <v>2958</v>
      </c>
      <c r="C1451" s="4" t="s">
        <v>31</v>
      </c>
      <c r="D1451" s="2">
        <f>98197307392/(10^6)</f>
        <v>98197.307392</v>
      </c>
      <c r="E1451" s="5">
        <v>13.4770040512085</v>
      </c>
      <c r="F1451" s="5">
        <v>31.1948833465576</v>
      </c>
      <c r="G1451" s="5">
        <v>1.64258050918579</v>
      </c>
      <c r="H1451" s="5">
        <v>11.0780410766602</v>
      </c>
      <c r="I1451" t="s">
        <v>57</v>
      </c>
    </row>
    <row r="1452" spans="1:9">
      <c r="A1452" s="4" t="s">
        <v>2959</v>
      </c>
      <c r="B1452" s="4" t="s">
        <v>2960</v>
      </c>
      <c r="C1452" s="4" t="s">
        <v>41</v>
      </c>
      <c r="D1452" s="2">
        <f>96484540416/(10^6)</f>
        <v>96484.540416</v>
      </c>
      <c r="E1452" s="5">
        <v>35.3920822143555</v>
      </c>
      <c r="F1452" s="5">
        <v>3.36171531677246</v>
      </c>
      <c r="G1452" s="5">
        <v>4.96903276443481</v>
      </c>
      <c r="H1452" s="5">
        <v>21.0271511077881</v>
      </c>
      <c r="I1452" t="s">
        <v>57</v>
      </c>
    </row>
    <row r="1453" spans="1:9">
      <c r="A1453" s="4" t="s">
        <v>2961</v>
      </c>
      <c r="B1453" s="4" t="s">
        <v>2962</v>
      </c>
      <c r="C1453" s="4" t="s">
        <v>31</v>
      </c>
      <c r="D1453" s="2">
        <f>95980863488/(10^6)</f>
        <v>95980.863488</v>
      </c>
      <c r="E1453" s="5">
        <v>16.5636787414551</v>
      </c>
      <c r="F1453" s="5">
        <v>5.30872678756714</v>
      </c>
      <c r="G1453" s="5">
        <v>4.50574111938477</v>
      </c>
      <c r="H1453" s="5">
        <v>11.0192337036133</v>
      </c>
      <c r="I1453" t="s">
        <v>57</v>
      </c>
    </row>
    <row r="1454" spans="1:9">
      <c r="A1454" s="4" t="s">
        <v>2963</v>
      </c>
      <c r="B1454" s="4" t="s">
        <v>2964</v>
      </c>
      <c r="C1454" s="4" t="s">
        <v>51</v>
      </c>
      <c r="D1454" s="2">
        <f>95974719488/(10^6)</f>
        <v>95974.719488</v>
      </c>
      <c r="E1454" s="5">
        <v>7.94041681289673</v>
      </c>
      <c r="F1454" s="5">
        <v>4.59891748428345</v>
      </c>
      <c r="G1454" s="5">
        <v>1.24238610267639</v>
      </c>
      <c r="H1454" s="5">
        <v>8.84067440032959</v>
      </c>
      <c r="I1454" t="s">
        <v>57</v>
      </c>
    </row>
    <row r="1455" spans="1:9">
      <c r="A1455" s="4" t="s">
        <v>2965</v>
      </c>
      <c r="B1455" s="4" t="s">
        <v>2966</v>
      </c>
      <c r="C1455" s="4" t="s">
        <v>47</v>
      </c>
      <c r="D1455" s="2">
        <f>94698602496/(10^6)</f>
        <v>94698.602496</v>
      </c>
      <c r="E1455" s="5" t="s">
        <v>86</v>
      </c>
      <c r="F1455" s="5">
        <v>14.0675659179688</v>
      </c>
      <c r="G1455" s="5">
        <v>3.71562671661377</v>
      </c>
      <c r="H1455" s="5">
        <v>41.0771598815918</v>
      </c>
      <c r="I1455" t="s">
        <v>57</v>
      </c>
    </row>
    <row r="1456" spans="1:9">
      <c r="A1456" s="4" t="s">
        <v>2967</v>
      </c>
      <c r="B1456" s="4" t="s">
        <v>2968</v>
      </c>
      <c r="C1456" s="4" t="s">
        <v>51</v>
      </c>
      <c r="D1456" s="2">
        <f>93835386880/(10^6)</f>
        <v>93835.38688</v>
      </c>
      <c r="E1456" s="5">
        <v>19.2586212158203</v>
      </c>
      <c r="F1456" s="5">
        <v>10.5163545608521</v>
      </c>
      <c r="G1456" s="5">
        <v>6.54049062728882</v>
      </c>
      <c r="H1456" s="5">
        <v>13.830002784729</v>
      </c>
      <c r="I1456" t="s">
        <v>57</v>
      </c>
    </row>
    <row r="1457" spans="1:9">
      <c r="A1457" s="4" t="s">
        <v>2969</v>
      </c>
      <c r="B1457" s="4" t="s">
        <v>2970</v>
      </c>
      <c r="C1457" s="4" t="s">
        <v>31</v>
      </c>
      <c r="D1457" s="2">
        <f>92845522944/(10^6)</f>
        <v>92845.522944</v>
      </c>
      <c r="E1457" s="5">
        <v>14.7843933105469</v>
      </c>
      <c r="F1457" s="5">
        <v>5.04737234115601</v>
      </c>
      <c r="G1457" s="5">
        <v>2.57764911651611</v>
      </c>
      <c r="H1457" s="5">
        <v>12.1744298934937</v>
      </c>
      <c r="I1457" t="s">
        <v>57</v>
      </c>
    </row>
    <row r="1458" spans="1:9">
      <c r="A1458" s="4" t="s">
        <v>2971</v>
      </c>
      <c r="B1458" s="4" t="s">
        <v>2972</v>
      </c>
      <c r="C1458" s="4" t="s">
        <v>51</v>
      </c>
      <c r="D1458" s="2">
        <f>92227862528/(10^6)</f>
        <v>92227.862528</v>
      </c>
      <c r="E1458" s="5">
        <v>31.9914512634277</v>
      </c>
      <c r="F1458" s="5">
        <v>4.4556736946106</v>
      </c>
      <c r="G1458" s="5">
        <v>4.04568672180176</v>
      </c>
      <c r="H1458" s="5">
        <v>13.9014797210693</v>
      </c>
      <c r="I1458" t="s">
        <v>57</v>
      </c>
    </row>
    <row r="1459" spans="1:9">
      <c r="A1459" s="4" t="s">
        <v>2973</v>
      </c>
      <c r="B1459" s="4" t="s">
        <v>2974</v>
      </c>
      <c r="C1459" s="4" t="s">
        <v>41</v>
      </c>
      <c r="D1459" s="2">
        <f>92055928832/(10^6)</f>
        <v>92055.928832</v>
      </c>
      <c r="E1459" s="5">
        <v>13.6176996231079</v>
      </c>
      <c r="F1459" s="5">
        <v>4.09447717666626</v>
      </c>
      <c r="G1459" s="5">
        <v>4.12003231048584</v>
      </c>
      <c r="H1459" s="5">
        <v>15.6601619720459</v>
      </c>
      <c r="I1459" t="s">
        <v>57</v>
      </c>
    </row>
    <row r="1460" spans="1:9">
      <c r="A1460" s="4" t="s">
        <v>2975</v>
      </c>
      <c r="B1460" s="4" t="s">
        <v>2976</v>
      </c>
      <c r="C1460" s="4" t="s">
        <v>43</v>
      </c>
      <c r="D1460" s="2">
        <f>91901501440/(10^6)</f>
        <v>91901.50144</v>
      </c>
      <c r="E1460" s="5">
        <v>5.01646995544434</v>
      </c>
      <c r="F1460" s="5">
        <v>0.528343796730042</v>
      </c>
      <c r="G1460" s="5">
        <v>0.951787292957306</v>
      </c>
      <c r="H1460" s="5">
        <v>4.30482721328735</v>
      </c>
      <c r="I1460" t="s">
        <v>57</v>
      </c>
    </row>
    <row r="1461" spans="1:9">
      <c r="A1461" s="4" t="s">
        <v>2977</v>
      </c>
      <c r="B1461" s="4" t="s">
        <v>2978</v>
      </c>
      <c r="C1461" s="4" t="s">
        <v>31</v>
      </c>
      <c r="D1461" s="2">
        <f>91404591104/(10^6)</f>
        <v>91404.591104</v>
      </c>
      <c r="E1461" s="5" t="s">
        <v>86</v>
      </c>
      <c r="F1461" s="5" t="s">
        <v>86</v>
      </c>
      <c r="G1461" s="5">
        <v>1.19672107696533</v>
      </c>
      <c r="H1461" s="5">
        <v>203.364562988281</v>
      </c>
      <c r="I1461" t="s">
        <v>57</v>
      </c>
    </row>
    <row r="1462" spans="1:9">
      <c r="A1462" s="4" t="s">
        <v>2979</v>
      </c>
      <c r="B1462" s="4" t="s">
        <v>2980</v>
      </c>
      <c r="C1462" s="4" t="s">
        <v>31</v>
      </c>
      <c r="D1462" s="2">
        <f>84147920896/(10^6)</f>
        <v>84147.920896</v>
      </c>
      <c r="E1462" s="5">
        <v>12.0144577026367</v>
      </c>
      <c r="F1462" s="5">
        <v>2.01017761230469</v>
      </c>
      <c r="G1462" s="5">
        <v>1.07768416404724</v>
      </c>
      <c r="H1462" s="5">
        <v>9.32941722869873</v>
      </c>
      <c r="I1462" t="s">
        <v>57</v>
      </c>
    </row>
    <row r="1463" spans="1:9">
      <c r="A1463" s="4" t="s">
        <v>2981</v>
      </c>
      <c r="B1463" s="4" t="s">
        <v>2982</v>
      </c>
      <c r="C1463" s="4" t="s">
        <v>31</v>
      </c>
      <c r="D1463" s="2">
        <f>83715719168/(10^6)</f>
        <v>83715.719168</v>
      </c>
      <c r="E1463" s="5">
        <v>12.929051399231</v>
      </c>
      <c r="F1463" s="5">
        <v>25.5695247650146</v>
      </c>
      <c r="G1463" s="5">
        <v>1.13773024082184</v>
      </c>
      <c r="H1463" s="5">
        <v>9.8285083770752</v>
      </c>
      <c r="I1463" t="s">
        <v>57</v>
      </c>
    </row>
    <row r="1464" spans="1:9">
      <c r="A1464" s="4" t="s">
        <v>2983</v>
      </c>
      <c r="B1464" s="4" t="s">
        <v>2984</v>
      </c>
      <c r="C1464" s="4" t="s">
        <v>47</v>
      </c>
      <c r="D1464" s="2">
        <f>77863256064/(10^6)</f>
        <v>77863.256064</v>
      </c>
      <c r="E1464" s="5">
        <v>22.8239631652832</v>
      </c>
      <c r="F1464" s="5" t="s">
        <v>86</v>
      </c>
      <c r="G1464" s="5">
        <v>2.97066354751587</v>
      </c>
      <c r="H1464" s="5">
        <v>15.5784931182861</v>
      </c>
      <c r="I1464" t="s">
        <v>57</v>
      </c>
    </row>
    <row r="1465" spans="1:9">
      <c r="A1465" s="4" t="s">
        <v>2985</v>
      </c>
      <c r="B1465" s="4" t="s">
        <v>2986</v>
      </c>
      <c r="C1465" s="4" t="s">
        <v>31</v>
      </c>
      <c r="D1465" s="2">
        <f>76692946944/(10^6)</f>
        <v>76692.946944</v>
      </c>
      <c r="E1465" s="5">
        <v>14.2927951812744</v>
      </c>
      <c r="F1465" s="5">
        <v>7.61578321456909</v>
      </c>
      <c r="G1465" s="5">
        <v>2.39231085777283</v>
      </c>
      <c r="H1465" s="5">
        <v>11.8394985198975</v>
      </c>
      <c r="I1465" t="s">
        <v>57</v>
      </c>
    </row>
    <row r="1466" spans="1:9">
      <c r="A1466" s="4" t="s">
        <v>2987</v>
      </c>
      <c r="B1466" s="4" t="s">
        <v>2988</v>
      </c>
      <c r="C1466" s="4" t="s">
        <v>41</v>
      </c>
      <c r="D1466" s="2">
        <f>76423757824/(10^6)</f>
        <v>76423.757824</v>
      </c>
      <c r="E1466" s="5">
        <v>10.3198585510254</v>
      </c>
      <c r="F1466" s="5">
        <v>1.19468247890472</v>
      </c>
      <c r="G1466" s="5">
        <v>0.296918541193008</v>
      </c>
      <c r="H1466" s="5">
        <v>8.28651237487793</v>
      </c>
      <c r="I1466" t="s">
        <v>57</v>
      </c>
    </row>
    <row r="1467" spans="1:9">
      <c r="A1467" s="4" t="s">
        <v>2989</v>
      </c>
      <c r="B1467" s="4" t="s">
        <v>2990</v>
      </c>
      <c r="C1467" s="4" t="s">
        <v>51</v>
      </c>
      <c r="D1467" s="2">
        <f>76115214336/(10^6)</f>
        <v>76115.214336</v>
      </c>
      <c r="E1467" s="5">
        <v>10.4945411682129</v>
      </c>
      <c r="F1467" s="5">
        <v>16.8651390075684</v>
      </c>
      <c r="G1467" s="5">
        <v>3.25085544586182</v>
      </c>
      <c r="H1467" s="5">
        <v>8.60526084899902</v>
      </c>
      <c r="I1467" t="s">
        <v>57</v>
      </c>
    </row>
    <row r="1468" spans="1:9">
      <c r="A1468" s="4" t="s">
        <v>2991</v>
      </c>
      <c r="B1468" s="4" t="s">
        <v>2992</v>
      </c>
      <c r="C1468" s="4" t="s">
        <v>51</v>
      </c>
      <c r="D1468" s="2">
        <f>74020225024/(10^6)</f>
        <v>74020.225024</v>
      </c>
      <c r="E1468" s="5">
        <v>45.5224113464355</v>
      </c>
      <c r="F1468" s="5">
        <v>1.49153316020966</v>
      </c>
      <c r="G1468" s="5">
        <v>5.04679107666016</v>
      </c>
      <c r="H1468" s="5">
        <v>26.3631896972656</v>
      </c>
      <c r="I1468" t="s">
        <v>57</v>
      </c>
    </row>
    <row r="1469" spans="1:9">
      <c r="A1469" s="4" t="s">
        <v>2993</v>
      </c>
      <c r="B1469" s="4" t="s">
        <v>2994</v>
      </c>
      <c r="C1469" s="4" t="s">
        <v>43</v>
      </c>
      <c r="D1469" s="2">
        <f>71697448960/(10^6)</f>
        <v>71697.44896</v>
      </c>
      <c r="E1469" s="5">
        <v>10.8339443206787</v>
      </c>
      <c r="F1469" s="5">
        <v>3.11522269248962</v>
      </c>
      <c r="G1469" s="5">
        <v>1.56269383430481</v>
      </c>
      <c r="H1469" s="5">
        <v>8.56528186798096</v>
      </c>
      <c r="I1469" t="s">
        <v>57</v>
      </c>
    </row>
    <row r="1470" spans="1:9">
      <c r="A1470" s="4" t="s">
        <v>2995</v>
      </c>
      <c r="B1470" s="4" t="s">
        <v>2996</v>
      </c>
      <c r="C1470" s="4" t="s">
        <v>33</v>
      </c>
      <c r="D1470" s="2">
        <f>70028550144/(10^6)</f>
        <v>70028.550144</v>
      </c>
      <c r="E1470" s="5">
        <v>17.7388935089111</v>
      </c>
      <c r="F1470" s="5">
        <v>2.43239808082581</v>
      </c>
      <c r="G1470" s="5">
        <v>1.55120551586151</v>
      </c>
      <c r="H1470" s="5">
        <v>7.4405574798584</v>
      </c>
      <c r="I1470" t="s">
        <v>57</v>
      </c>
    </row>
    <row r="1471" spans="1:9">
      <c r="A1471" s="4" t="s">
        <v>2997</v>
      </c>
      <c r="B1471" s="4" t="s">
        <v>2998</v>
      </c>
      <c r="C1471" s="4" t="s">
        <v>35</v>
      </c>
      <c r="D1471" s="2">
        <f>68623638528/(10^6)</f>
        <v>68623.638528</v>
      </c>
      <c r="E1471" s="5">
        <v>19.3377056121826</v>
      </c>
      <c r="F1471" s="5">
        <v>2.51961326599121</v>
      </c>
      <c r="G1471" s="5">
        <v>2.67504239082336</v>
      </c>
      <c r="H1471" s="5">
        <v>16.9243316650391</v>
      </c>
      <c r="I1471" t="s">
        <v>57</v>
      </c>
    </row>
    <row r="1472" spans="1:9">
      <c r="A1472" s="4" t="s">
        <v>2999</v>
      </c>
      <c r="B1472" s="4" t="s">
        <v>3000</v>
      </c>
      <c r="C1472" s="4" t="s">
        <v>35</v>
      </c>
      <c r="D1472" s="2">
        <f>68090560512/(10^6)</f>
        <v>68090.560512</v>
      </c>
      <c r="E1472" s="5">
        <v>8.65781879425049</v>
      </c>
      <c r="F1472" s="5">
        <v>10.9412488937378</v>
      </c>
      <c r="G1472" s="5">
        <v>3.45951843261719</v>
      </c>
      <c r="H1472" s="5">
        <v>8.922532081604</v>
      </c>
      <c r="I1472" t="s">
        <v>57</v>
      </c>
    </row>
    <row r="1473" spans="1:9">
      <c r="A1473" s="4" t="s">
        <v>3001</v>
      </c>
      <c r="B1473" s="4" t="s">
        <v>3002</v>
      </c>
      <c r="C1473" s="4" t="s">
        <v>43</v>
      </c>
      <c r="D1473" s="2">
        <f>67667644416/(10^6)</f>
        <v>67667.644416</v>
      </c>
      <c r="E1473" s="5">
        <v>15.7773208618164</v>
      </c>
      <c r="F1473" s="5">
        <v>1.99873542785645</v>
      </c>
      <c r="G1473" s="5">
        <v>4.65895462036133</v>
      </c>
      <c r="H1473" s="5">
        <v>11.1069612503052</v>
      </c>
      <c r="I1473" t="s">
        <v>57</v>
      </c>
    </row>
    <row r="1474" spans="1:9">
      <c r="A1474" s="4" t="s">
        <v>3003</v>
      </c>
      <c r="B1474" s="4" t="s">
        <v>3004</v>
      </c>
      <c r="C1474" s="4" t="s">
        <v>31</v>
      </c>
      <c r="D1474" s="2">
        <f>66608836608/(10^6)</f>
        <v>66608.836608</v>
      </c>
      <c r="E1474" s="5">
        <v>13.4249000549316</v>
      </c>
      <c r="F1474" s="5">
        <v>2.35206151008606</v>
      </c>
      <c r="G1474" s="5">
        <v>0.628898859024048</v>
      </c>
      <c r="H1474" s="5">
        <v>14.7028951644897</v>
      </c>
      <c r="I1474" t="s">
        <v>57</v>
      </c>
    </row>
    <row r="1475" spans="1:9">
      <c r="A1475" s="4" t="s">
        <v>3005</v>
      </c>
      <c r="B1475" s="4" t="s">
        <v>3006</v>
      </c>
      <c r="C1475" s="4" t="s">
        <v>47</v>
      </c>
      <c r="D1475" s="2">
        <f>65665433600/(10^6)</f>
        <v>65665.4336</v>
      </c>
      <c r="E1475" s="5">
        <v>14.661187171936</v>
      </c>
      <c r="F1475" s="5">
        <v>33.6540260314941</v>
      </c>
      <c r="G1475" s="5">
        <v>0.93746155500412</v>
      </c>
      <c r="H1475" s="5">
        <v>10.5429191589355</v>
      </c>
      <c r="I1475" t="s">
        <v>57</v>
      </c>
    </row>
    <row r="1476" spans="1:9">
      <c r="A1476" s="4" t="s">
        <v>3007</v>
      </c>
      <c r="B1476" s="4" t="s">
        <v>3008</v>
      </c>
      <c r="C1476" s="4" t="s">
        <v>51</v>
      </c>
      <c r="D1476" s="2">
        <f>63801327616/(10^6)</f>
        <v>63801.327616</v>
      </c>
      <c r="E1476" s="5">
        <v>31.8286838531494</v>
      </c>
      <c r="F1476" s="5">
        <v>1.11814713478088</v>
      </c>
      <c r="G1476" s="5">
        <v>4.98189353942871</v>
      </c>
      <c r="H1476" s="5">
        <v>25.6312885284424</v>
      </c>
      <c r="I1476" t="s">
        <v>57</v>
      </c>
    </row>
    <row r="1477" spans="1:9">
      <c r="A1477" s="4" t="s">
        <v>3009</v>
      </c>
      <c r="B1477" s="4" t="s">
        <v>3010</v>
      </c>
      <c r="C1477" s="4" t="s">
        <v>43</v>
      </c>
      <c r="D1477" s="2">
        <f>61421895680/(10^6)</f>
        <v>61421.89568</v>
      </c>
      <c r="E1477" s="5">
        <v>28.1909999847412</v>
      </c>
      <c r="F1477" s="5">
        <v>2.34411883354187</v>
      </c>
      <c r="G1477" s="5">
        <v>12.5706796646118</v>
      </c>
      <c r="H1477" s="5">
        <v>20.5592746734619</v>
      </c>
      <c r="I1477" t="s">
        <v>57</v>
      </c>
    </row>
    <row r="1478" spans="1:9">
      <c r="A1478" s="4" t="s">
        <v>3011</v>
      </c>
      <c r="B1478" s="4" t="s">
        <v>3012</v>
      </c>
      <c r="C1478" s="4" t="s">
        <v>39</v>
      </c>
      <c r="D1478" s="2">
        <f>61232660480/(10^6)</f>
        <v>61232.66048</v>
      </c>
      <c r="E1478" s="5">
        <v>13.5980005264282</v>
      </c>
      <c r="F1478" s="5">
        <v>2.06818199157715</v>
      </c>
      <c r="G1478" s="5">
        <v>3.56819725036621</v>
      </c>
      <c r="H1478" s="5">
        <v>18.6250743865967</v>
      </c>
      <c r="I1478" t="s">
        <v>57</v>
      </c>
    </row>
    <row r="1479" spans="1:9">
      <c r="A1479" s="4" t="s">
        <v>3013</v>
      </c>
      <c r="B1479" s="4" t="s">
        <v>3014</v>
      </c>
      <c r="C1479" s="4" t="s">
        <v>41</v>
      </c>
      <c r="D1479" s="2">
        <f>59986894848/(10^6)</f>
        <v>59986.894848</v>
      </c>
      <c r="E1479" s="5">
        <v>14.4764957427979</v>
      </c>
      <c r="F1479" s="5">
        <v>1.32527947425842</v>
      </c>
      <c r="G1479" s="5">
        <v>0.396009773015976</v>
      </c>
      <c r="H1479" s="5">
        <v>7.76350259780884</v>
      </c>
      <c r="I1479" t="s">
        <v>57</v>
      </c>
    </row>
    <row r="1480" spans="1:9">
      <c r="A1480" s="4" t="s">
        <v>3015</v>
      </c>
      <c r="B1480" s="4" t="s">
        <v>3016</v>
      </c>
      <c r="C1480" s="4" t="s">
        <v>51</v>
      </c>
      <c r="D1480" s="2">
        <f>59831824384/(10^6)</f>
        <v>59831.824384</v>
      </c>
      <c r="E1480" s="5">
        <v>37.1114311218262</v>
      </c>
      <c r="F1480" s="5">
        <v>16.0553131103516</v>
      </c>
      <c r="G1480" s="5">
        <v>8.39222621917725</v>
      </c>
      <c r="H1480" s="5">
        <v>26.9874248504639</v>
      </c>
      <c r="I1480" t="s">
        <v>57</v>
      </c>
    </row>
    <row r="1481" spans="1:9">
      <c r="A1481" s="4" t="s">
        <v>3017</v>
      </c>
      <c r="B1481" s="4" t="s">
        <v>3018</v>
      </c>
      <c r="C1481" s="4" t="s">
        <v>41</v>
      </c>
      <c r="D1481" s="2">
        <f>59639853056/(10^6)</f>
        <v>59639.853056</v>
      </c>
      <c r="E1481" s="5">
        <v>21.8909816741943</v>
      </c>
      <c r="F1481" s="5">
        <v>4.6568169593811</v>
      </c>
      <c r="G1481" s="5">
        <v>4.00049209594727</v>
      </c>
      <c r="H1481" s="5">
        <v>18.4028301239014</v>
      </c>
      <c r="I1481" t="s">
        <v>57</v>
      </c>
    </row>
    <row r="1482" spans="1:9">
      <c r="A1482" s="4" t="s">
        <v>3019</v>
      </c>
      <c r="B1482" s="4" t="s">
        <v>3020</v>
      </c>
      <c r="C1482" s="4" t="s">
        <v>39</v>
      </c>
      <c r="D1482" s="2">
        <f>58779271168/(10^6)</f>
        <v>58779.271168</v>
      </c>
      <c r="E1482" s="5">
        <v>15.8315782546997</v>
      </c>
      <c r="F1482" s="5">
        <v>1.31028246879578</v>
      </c>
      <c r="G1482" s="5">
        <v>2.32942700386047</v>
      </c>
      <c r="H1482" s="5">
        <v>11.1460380554199</v>
      </c>
      <c r="I1482" t="s">
        <v>57</v>
      </c>
    </row>
    <row r="1483" spans="1:9">
      <c r="A1483" s="4" t="s">
        <v>3021</v>
      </c>
      <c r="B1483" s="4" t="s">
        <v>3022</v>
      </c>
      <c r="C1483" s="4" t="s">
        <v>39</v>
      </c>
      <c r="D1483" s="2">
        <f>58739589120/(10^6)</f>
        <v>58739.58912</v>
      </c>
      <c r="E1483" s="5">
        <v>18.3091926574707</v>
      </c>
      <c r="F1483" s="5">
        <v>2.23795628547669</v>
      </c>
      <c r="G1483" s="5">
        <v>2.73372364044189</v>
      </c>
      <c r="H1483" s="5">
        <v>9.67079257965088</v>
      </c>
      <c r="I1483" t="s">
        <v>57</v>
      </c>
    </row>
    <row r="1484" spans="1:9">
      <c r="A1484" s="4" t="s">
        <v>3023</v>
      </c>
      <c r="B1484" s="4" t="s">
        <v>3024</v>
      </c>
      <c r="C1484" s="4" t="s">
        <v>41</v>
      </c>
      <c r="D1484" s="2">
        <f>58730680320/(10^6)</f>
        <v>58730.68032</v>
      </c>
      <c r="E1484" s="5">
        <v>20.8734092712402</v>
      </c>
      <c r="F1484" s="5">
        <v>3.13615012168884</v>
      </c>
      <c r="G1484" s="5">
        <v>3.37519788742065</v>
      </c>
      <c r="H1484" s="5">
        <v>22.1915302276611</v>
      </c>
      <c r="I1484" t="s">
        <v>57</v>
      </c>
    </row>
    <row r="1485" spans="1:9">
      <c r="A1485" s="4" t="s">
        <v>3025</v>
      </c>
      <c r="B1485" s="4" t="s">
        <v>3026</v>
      </c>
      <c r="C1485" s="4" t="s">
        <v>31</v>
      </c>
      <c r="D1485" s="2">
        <f>58000711680/(10^6)</f>
        <v>58000.71168</v>
      </c>
      <c r="E1485" s="5">
        <v>9.26357555389404</v>
      </c>
      <c r="F1485" s="5">
        <v>3.97591924667358</v>
      </c>
      <c r="G1485" s="5">
        <v>1.1010662317276</v>
      </c>
      <c r="H1485" s="5">
        <v>5.39730739593506</v>
      </c>
      <c r="I1485" t="s">
        <v>57</v>
      </c>
    </row>
    <row r="1486" spans="1:9">
      <c r="A1486" s="4" t="s">
        <v>3027</v>
      </c>
      <c r="B1486" s="4" t="s">
        <v>3028</v>
      </c>
      <c r="C1486" s="4" t="s">
        <v>35</v>
      </c>
      <c r="D1486" s="2">
        <f>57770926080/(10^6)</f>
        <v>57770.92608</v>
      </c>
      <c r="E1486" s="5">
        <v>22.3146190643311</v>
      </c>
      <c r="F1486" s="5">
        <v>12.6252059936523</v>
      </c>
      <c r="G1486" s="5">
        <v>3.66156673431396</v>
      </c>
      <c r="H1486" s="5">
        <v>22.6745529174805</v>
      </c>
      <c r="I1486" t="s">
        <v>57</v>
      </c>
    </row>
    <row r="1487" spans="1:9">
      <c r="A1487" s="4" t="s">
        <v>3029</v>
      </c>
      <c r="B1487" s="4" t="s">
        <v>3030</v>
      </c>
      <c r="C1487" s="4" t="s">
        <v>43</v>
      </c>
      <c r="D1487" s="2">
        <f>57706672128/(10^6)</f>
        <v>57706.672128</v>
      </c>
      <c r="E1487" s="5">
        <v>26.2204456329346</v>
      </c>
      <c r="F1487" s="5">
        <v>122.127334594727</v>
      </c>
      <c r="G1487" s="5">
        <v>8.78314304351807</v>
      </c>
      <c r="H1487" s="5">
        <v>17.3061790466309</v>
      </c>
      <c r="I1487" t="s">
        <v>57</v>
      </c>
    </row>
    <row r="1488" spans="1:9">
      <c r="A1488" s="4" t="s">
        <v>3031</v>
      </c>
      <c r="B1488" s="4" t="s">
        <v>3032</v>
      </c>
      <c r="C1488" s="4" t="s">
        <v>41</v>
      </c>
      <c r="D1488" s="2">
        <f>56917348352/(10^6)</f>
        <v>56917.348352</v>
      </c>
      <c r="E1488" s="5">
        <v>3461.86669921875</v>
      </c>
      <c r="F1488" s="5">
        <v>0.977209568023682</v>
      </c>
      <c r="G1488" s="5">
        <v>3.53704786300659</v>
      </c>
      <c r="H1488" s="5">
        <v>42.1629524230957</v>
      </c>
      <c r="I1488" t="s">
        <v>57</v>
      </c>
    </row>
    <row r="1489" spans="1:9">
      <c r="A1489" s="4" t="s">
        <v>3033</v>
      </c>
      <c r="B1489" s="4" t="s">
        <v>3034</v>
      </c>
      <c r="C1489" s="4" t="s">
        <v>41</v>
      </c>
      <c r="D1489" s="2">
        <f>56875356160/(10^6)</f>
        <v>56875.35616</v>
      </c>
      <c r="E1489" s="5">
        <v>44.3890647888184</v>
      </c>
      <c r="F1489" s="5">
        <v>6.88394689559937</v>
      </c>
      <c r="G1489" s="5">
        <v>12.6395645141602</v>
      </c>
      <c r="H1489" s="5">
        <v>33.665885925293</v>
      </c>
      <c r="I1489" t="s">
        <v>57</v>
      </c>
    </row>
    <row r="1490" spans="1:9">
      <c r="A1490" s="4" t="s">
        <v>3035</v>
      </c>
      <c r="B1490" s="4" t="s">
        <v>3036</v>
      </c>
      <c r="C1490" s="4" t="s">
        <v>43</v>
      </c>
      <c r="D1490" s="2">
        <f>56760958976/(10^6)</f>
        <v>56760.958976</v>
      </c>
      <c r="E1490" s="5">
        <v>6.69287919998169</v>
      </c>
      <c r="F1490" s="5">
        <v>0.695635318756104</v>
      </c>
      <c r="G1490" s="5">
        <v>1.09095501899719</v>
      </c>
      <c r="H1490" s="5">
        <v>5.7107367515564</v>
      </c>
      <c r="I1490" t="s">
        <v>57</v>
      </c>
    </row>
    <row r="1491" spans="1:9">
      <c r="A1491" s="4" t="s">
        <v>3037</v>
      </c>
      <c r="B1491" s="4" t="s">
        <v>3038</v>
      </c>
      <c r="C1491" s="4" t="s">
        <v>51</v>
      </c>
      <c r="D1491" s="2">
        <f>56723873792/(10^6)</f>
        <v>56723.873792</v>
      </c>
      <c r="E1491" s="5">
        <v>22.9967555999756</v>
      </c>
      <c r="F1491" s="5">
        <v>10.5752534866333</v>
      </c>
      <c r="G1491" s="5">
        <v>3.91984677314758</v>
      </c>
      <c r="H1491" s="5">
        <v>15.6414241790771</v>
      </c>
      <c r="I1491" t="s">
        <v>57</v>
      </c>
    </row>
    <row r="1492" spans="1:9">
      <c r="A1492" s="4" t="s">
        <v>3039</v>
      </c>
      <c r="B1492" s="4" t="s">
        <v>3040</v>
      </c>
      <c r="C1492" s="4" t="s">
        <v>41</v>
      </c>
      <c r="D1492" s="2">
        <f>56323510272/(10^6)</f>
        <v>56323.510272</v>
      </c>
      <c r="E1492" s="5">
        <v>53.9888343811035</v>
      </c>
      <c r="F1492" s="5">
        <v>9.2459135055542</v>
      </c>
      <c r="G1492" s="5">
        <v>13.4046716690063</v>
      </c>
      <c r="H1492" s="5">
        <v>40.5990943908691</v>
      </c>
      <c r="I1492" t="s">
        <v>57</v>
      </c>
    </row>
    <row r="1493" spans="1:9">
      <c r="A1493" s="4" t="s">
        <v>3041</v>
      </c>
      <c r="B1493" s="4" t="s">
        <v>3042</v>
      </c>
      <c r="C1493" s="4" t="s">
        <v>47</v>
      </c>
      <c r="D1493" s="2">
        <f>56308998144/(10^6)</f>
        <v>56308.998144</v>
      </c>
      <c r="E1493" s="5">
        <v>22.2825412750244</v>
      </c>
      <c r="F1493" s="5">
        <v>9.43440914154053</v>
      </c>
      <c r="G1493" s="5">
        <v>1.35469055175781</v>
      </c>
      <c r="H1493" s="5">
        <v>9.17567920684814</v>
      </c>
      <c r="I1493" t="s">
        <v>57</v>
      </c>
    </row>
    <row r="1494" spans="1:9">
      <c r="A1494" s="4" t="s">
        <v>3043</v>
      </c>
      <c r="B1494" s="4" t="s">
        <v>3044</v>
      </c>
      <c r="C1494" s="4" t="s">
        <v>41</v>
      </c>
      <c r="D1494" s="2">
        <f>56259477504/(10^6)</f>
        <v>56259.477504</v>
      </c>
      <c r="E1494" s="5">
        <v>12.0790920257568</v>
      </c>
      <c r="F1494" s="5">
        <v>1.77734267711639</v>
      </c>
      <c r="G1494" s="5">
        <v>0.549304306507111</v>
      </c>
      <c r="H1494" s="5">
        <v>6.38040208816528</v>
      </c>
      <c r="I1494" t="s">
        <v>57</v>
      </c>
    </row>
    <row r="1495" spans="1:9">
      <c r="A1495" s="4" t="s">
        <v>3045</v>
      </c>
      <c r="B1495" s="4" t="s">
        <v>3046</v>
      </c>
      <c r="C1495" s="4" t="s">
        <v>35</v>
      </c>
      <c r="D1495" s="2">
        <f>55799242752/(10^6)</f>
        <v>55799.242752</v>
      </c>
      <c r="E1495" s="5">
        <v>23.0251274108887</v>
      </c>
      <c r="F1495" s="5">
        <v>476.733184814453</v>
      </c>
      <c r="G1495" s="5">
        <v>3.57290863990784</v>
      </c>
      <c r="H1495" s="5">
        <v>15.0441398620605</v>
      </c>
      <c r="I1495" t="s">
        <v>57</v>
      </c>
    </row>
    <row r="1496" spans="1:9">
      <c r="A1496" s="4" t="s">
        <v>3047</v>
      </c>
      <c r="B1496" s="4" t="s">
        <v>3048</v>
      </c>
      <c r="C1496" s="4" t="s">
        <v>43</v>
      </c>
      <c r="D1496" s="2">
        <f>55599788032/(10^6)</f>
        <v>55599.788032</v>
      </c>
      <c r="E1496" s="5">
        <v>15.4543180465698</v>
      </c>
      <c r="F1496" s="5">
        <v>4.3807053565979</v>
      </c>
      <c r="G1496" s="5">
        <v>4.24625444412231</v>
      </c>
      <c r="H1496" s="5">
        <v>17.9108200073242</v>
      </c>
      <c r="I1496" t="s">
        <v>57</v>
      </c>
    </row>
    <row r="1497" spans="1:9">
      <c r="A1497" s="4" t="s">
        <v>3049</v>
      </c>
      <c r="B1497" s="4" t="s">
        <v>3050</v>
      </c>
      <c r="C1497" s="4" t="s">
        <v>51</v>
      </c>
      <c r="D1497" s="2">
        <f>54482833408/(10^6)</f>
        <v>54482.833408</v>
      </c>
      <c r="E1497" s="5">
        <v>101.655784606934</v>
      </c>
      <c r="F1497" s="5">
        <v>19.2778949737549</v>
      </c>
      <c r="G1497" s="5">
        <v>7.58843040466309</v>
      </c>
      <c r="H1497" s="5">
        <v>59.0845260620117</v>
      </c>
      <c r="I1497" t="s">
        <v>57</v>
      </c>
    </row>
    <row r="1498" spans="1:9">
      <c r="A1498" s="4" t="s">
        <v>3051</v>
      </c>
      <c r="B1498" s="4" t="s">
        <v>3052</v>
      </c>
      <c r="C1498" s="4" t="s">
        <v>43</v>
      </c>
      <c r="D1498" s="2">
        <f>54415519744/(10^6)</f>
        <v>54415.519744</v>
      </c>
      <c r="E1498" s="5">
        <v>8.46682548522949</v>
      </c>
      <c r="F1498" s="5">
        <v>1.20140838623047</v>
      </c>
      <c r="G1498" s="5">
        <v>2.06901383399963</v>
      </c>
      <c r="H1498" s="5" t="s">
        <v>86</v>
      </c>
      <c r="I1498" t="s">
        <v>57</v>
      </c>
    </row>
    <row r="1499" spans="1:9">
      <c r="A1499" s="4" t="s">
        <v>3053</v>
      </c>
      <c r="B1499" s="4" t="s">
        <v>3054</v>
      </c>
      <c r="C1499" s="4" t="s">
        <v>41</v>
      </c>
      <c r="D1499" s="2">
        <f>53083365376/(10^6)</f>
        <v>53083.365376</v>
      </c>
      <c r="E1499" s="5">
        <v>31.7025127410889</v>
      </c>
      <c r="F1499" s="5">
        <v>19.626953125</v>
      </c>
      <c r="G1499" s="5">
        <v>8.53608703613281</v>
      </c>
      <c r="H1499" s="5">
        <v>23.8922557830811</v>
      </c>
      <c r="I1499" t="s">
        <v>57</v>
      </c>
    </row>
    <row r="1500" spans="1:9">
      <c r="A1500" s="4" t="s">
        <v>3055</v>
      </c>
      <c r="B1500" s="4" t="s">
        <v>3056</v>
      </c>
      <c r="C1500" s="4" t="s">
        <v>31</v>
      </c>
      <c r="D1500" s="2">
        <f>52327931904/(10^6)</f>
        <v>52327.931904</v>
      </c>
      <c r="E1500" s="5">
        <v>13.6803998947144</v>
      </c>
      <c r="F1500" s="5">
        <v>5.9410228729248</v>
      </c>
      <c r="G1500" s="5">
        <v>1.56148862838745</v>
      </c>
      <c r="H1500" s="5">
        <v>12.3526735305786</v>
      </c>
      <c r="I1500" t="s">
        <v>57</v>
      </c>
    </row>
    <row r="1501" spans="1:9">
      <c r="A1501" s="4" t="s">
        <v>3057</v>
      </c>
      <c r="B1501" s="4" t="s">
        <v>3058</v>
      </c>
      <c r="C1501" s="4" t="s">
        <v>43</v>
      </c>
      <c r="D1501" s="2">
        <f>52116844544/(10^6)</f>
        <v>52116.844544</v>
      </c>
      <c r="E1501" s="5">
        <v>6.54197072982788</v>
      </c>
      <c r="F1501" s="5">
        <v>0.742322146892548</v>
      </c>
      <c r="G1501" s="5">
        <v>1.02183938026428</v>
      </c>
      <c r="H1501" s="5">
        <v>7.29615831375122</v>
      </c>
      <c r="I1501" t="s">
        <v>57</v>
      </c>
    </row>
    <row r="1502" spans="1:9">
      <c r="A1502" s="4" t="s">
        <v>3059</v>
      </c>
      <c r="B1502" s="4" t="s">
        <v>3060</v>
      </c>
      <c r="C1502" s="4" t="s">
        <v>51</v>
      </c>
      <c r="D1502" s="2">
        <f>52005199872/(10^6)</f>
        <v>52005.199872</v>
      </c>
      <c r="E1502" s="5">
        <v>86.3618850708008</v>
      </c>
      <c r="F1502" s="5">
        <v>24.3955593109131</v>
      </c>
      <c r="G1502" s="5">
        <v>14.7747840881348</v>
      </c>
      <c r="H1502" s="5">
        <v>143.485824584961</v>
      </c>
      <c r="I1502" t="s">
        <v>57</v>
      </c>
    </row>
    <row r="1503" spans="1:9">
      <c r="A1503" s="4" t="s">
        <v>3061</v>
      </c>
      <c r="B1503" s="4" t="s">
        <v>3062</v>
      </c>
      <c r="C1503" s="4" t="s">
        <v>41</v>
      </c>
      <c r="D1503" s="2">
        <f>51653496832/(10^6)</f>
        <v>51653.496832</v>
      </c>
      <c r="E1503" s="5">
        <v>9.22222137451172</v>
      </c>
      <c r="F1503" s="5">
        <v>3.8741717338562</v>
      </c>
      <c r="G1503" s="5">
        <v>3.85538506507873</v>
      </c>
      <c r="H1503" s="5">
        <v>6.70603704452515</v>
      </c>
      <c r="I1503" t="s">
        <v>57</v>
      </c>
    </row>
    <row r="1504" spans="1:9">
      <c r="A1504" s="4" t="s">
        <v>3063</v>
      </c>
      <c r="B1504" s="4" t="s">
        <v>3064</v>
      </c>
      <c r="C1504" s="4" t="s">
        <v>47</v>
      </c>
      <c r="D1504" s="2">
        <f>51538735104/(10^6)</f>
        <v>51538.735104</v>
      </c>
      <c r="E1504" s="5">
        <v>12.6443576812744</v>
      </c>
      <c r="F1504" s="5">
        <v>8.76201820373535</v>
      </c>
      <c r="G1504" s="5">
        <v>3.57618498802185</v>
      </c>
      <c r="H1504" s="5">
        <v>8.17393398284912</v>
      </c>
      <c r="I1504" t="s">
        <v>57</v>
      </c>
    </row>
    <row r="1505" spans="1:9">
      <c r="A1505" s="4" t="s">
        <v>3065</v>
      </c>
      <c r="B1505" s="4" t="s">
        <v>3066</v>
      </c>
      <c r="C1505" s="4" t="s">
        <v>41</v>
      </c>
      <c r="D1505" s="2">
        <f>49456103424/(10^6)</f>
        <v>49456.103424</v>
      </c>
      <c r="E1505" s="5">
        <v>21.1527347564697</v>
      </c>
      <c r="F1505" s="5">
        <v>4.4700665473938</v>
      </c>
      <c r="G1505" s="5">
        <v>6.24176836013794</v>
      </c>
      <c r="H1505" s="5">
        <v>18.0664043426514</v>
      </c>
      <c r="I1505" t="s">
        <v>57</v>
      </c>
    </row>
    <row r="1506" spans="1:9">
      <c r="A1506" s="4" t="s">
        <v>3067</v>
      </c>
      <c r="B1506" s="4" t="s">
        <v>3068</v>
      </c>
      <c r="C1506" s="4" t="s">
        <v>51</v>
      </c>
      <c r="D1506" s="2">
        <f>48357847040/(10^6)</f>
        <v>48357.84704</v>
      </c>
      <c r="E1506" s="5">
        <v>18.9180927276611</v>
      </c>
      <c r="F1506" s="5">
        <v>1.30593848228455</v>
      </c>
      <c r="G1506" s="5">
        <v>2.45527791976929</v>
      </c>
      <c r="H1506" s="5">
        <v>5.72156572341919</v>
      </c>
      <c r="I1506" t="s">
        <v>57</v>
      </c>
    </row>
    <row r="1507" spans="1:9">
      <c r="A1507" s="4" t="s">
        <v>3069</v>
      </c>
      <c r="B1507" s="4" t="s">
        <v>3070</v>
      </c>
      <c r="C1507" s="4" t="s">
        <v>51</v>
      </c>
      <c r="D1507" s="2">
        <f>48345292800/(10^6)</f>
        <v>48345.2928</v>
      </c>
      <c r="E1507" s="5">
        <v>31.4133644104004</v>
      </c>
      <c r="F1507" s="5">
        <v>6.89760160446167</v>
      </c>
      <c r="G1507" s="5">
        <v>4.65917587280273</v>
      </c>
      <c r="H1507" s="5">
        <v>20.7117252349854</v>
      </c>
      <c r="I1507" t="s">
        <v>57</v>
      </c>
    </row>
    <row r="1508" spans="1:9">
      <c r="A1508" s="4" t="s">
        <v>3071</v>
      </c>
      <c r="B1508" s="4" t="s">
        <v>3072</v>
      </c>
      <c r="C1508" s="4" t="s">
        <v>47</v>
      </c>
      <c r="D1508" s="2">
        <f>47461134336/(10^6)</f>
        <v>47461.134336</v>
      </c>
      <c r="E1508" s="5">
        <v>14.771842956543</v>
      </c>
      <c r="F1508" s="5">
        <v>4.03682994842529</v>
      </c>
      <c r="G1508" s="5">
        <v>0.61922949552536</v>
      </c>
      <c r="H1508" s="5">
        <v>8.10383224487305</v>
      </c>
      <c r="I1508" t="s">
        <v>57</v>
      </c>
    </row>
    <row r="1509" spans="1:9">
      <c r="A1509" s="4" t="s">
        <v>3073</v>
      </c>
      <c r="B1509" s="4" t="s">
        <v>3074</v>
      </c>
      <c r="C1509" s="4" t="s">
        <v>31</v>
      </c>
      <c r="D1509" s="2">
        <f>47024582656/(10^6)</f>
        <v>47024.582656</v>
      </c>
      <c r="E1509" s="5" t="s">
        <v>86</v>
      </c>
      <c r="F1509" s="5">
        <v>3.30028605461121</v>
      </c>
      <c r="G1509" s="5">
        <v>1.90700650215149</v>
      </c>
      <c r="H1509" s="5" t="s">
        <v>86</v>
      </c>
      <c r="I1509" t="s">
        <v>57</v>
      </c>
    </row>
    <row r="1510" spans="1:9">
      <c r="A1510" s="4" t="s">
        <v>3075</v>
      </c>
      <c r="B1510" s="4" t="s">
        <v>3076</v>
      </c>
      <c r="C1510" s="4" t="s">
        <v>31</v>
      </c>
      <c r="D1510" s="2">
        <f>45693243392/(10^6)</f>
        <v>45693.243392</v>
      </c>
      <c r="E1510" s="5">
        <v>18.9288272857666</v>
      </c>
      <c r="F1510" s="5">
        <v>15.1445274353027</v>
      </c>
      <c r="G1510" s="5">
        <v>3.28984403610229</v>
      </c>
      <c r="H1510" s="5">
        <v>13.25461769104</v>
      </c>
      <c r="I1510" t="s">
        <v>57</v>
      </c>
    </row>
    <row r="1511" spans="1:9">
      <c r="A1511" s="4" t="s">
        <v>3077</v>
      </c>
      <c r="B1511" s="4" t="s">
        <v>3078</v>
      </c>
      <c r="C1511" s="4" t="s">
        <v>37</v>
      </c>
      <c r="D1511" s="2">
        <f>45537902592/(10^6)</f>
        <v>45537.902592</v>
      </c>
      <c r="E1511" s="5">
        <v>26.3799686431885</v>
      </c>
      <c r="F1511" s="5">
        <v>5.2292070388794</v>
      </c>
      <c r="G1511" s="5">
        <v>3.0431342124939</v>
      </c>
      <c r="H1511" s="5">
        <v>17.5168228149414</v>
      </c>
      <c r="I1511" t="s">
        <v>57</v>
      </c>
    </row>
    <row r="1512" spans="1:9">
      <c r="A1512" s="4" t="s">
        <v>3079</v>
      </c>
      <c r="B1512" s="4" t="s">
        <v>3080</v>
      </c>
      <c r="C1512" s="4" t="s">
        <v>43</v>
      </c>
      <c r="D1512" s="2">
        <f>44748201984/(10^6)</f>
        <v>44748.201984</v>
      </c>
      <c r="E1512" s="5">
        <v>7.85757637023926</v>
      </c>
      <c r="F1512" s="5">
        <v>0.748309314250946</v>
      </c>
      <c r="G1512" s="5">
        <v>1.82606244087219</v>
      </c>
      <c r="H1512" s="5" t="s">
        <v>86</v>
      </c>
      <c r="I1512" t="s">
        <v>57</v>
      </c>
    </row>
    <row r="1513" spans="1:9">
      <c r="A1513" s="4" t="s">
        <v>3081</v>
      </c>
      <c r="B1513" s="4" t="s">
        <v>3082</v>
      </c>
      <c r="C1513" s="4" t="s">
        <v>43</v>
      </c>
      <c r="D1513" s="2">
        <f>44617433088/(10^6)</f>
        <v>44617.433088</v>
      </c>
      <c r="E1513" s="5">
        <v>23.1693439483643</v>
      </c>
      <c r="F1513" s="5">
        <v>2.60866403579712</v>
      </c>
      <c r="G1513" s="5">
        <v>8.76867771148682</v>
      </c>
      <c r="H1513" s="5">
        <v>15.3189382553101</v>
      </c>
      <c r="I1513" t="s">
        <v>57</v>
      </c>
    </row>
    <row r="1514" spans="1:9">
      <c r="A1514" s="4" t="s">
        <v>3083</v>
      </c>
      <c r="B1514" s="4" t="s">
        <v>3084</v>
      </c>
      <c r="C1514" s="4" t="s">
        <v>33</v>
      </c>
      <c r="D1514" s="2">
        <f>43814858752/(10^6)</f>
        <v>43814.858752</v>
      </c>
      <c r="E1514" s="5">
        <v>29.5699787139893</v>
      </c>
      <c r="F1514" s="5">
        <v>3.41964673995972</v>
      </c>
      <c r="G1514" s="5">
        <v>6.72603750228882</v>
      </c>
      <c r="H1514" s="5">
        <v>18.3223876953125</v>
      </c>
      <c r="I1514" t="s">
        <v>57</v>
      </c>
    </row>
    <row r="1515" spans="1:9">
      <c r="A1515" s="4" t="s">
        <v>3085</v>
      </c>
      <c r="B1515" s="4" t="s">
        <v>3086</v>
      </c>
      <c r="C1515" s="4" t="s">
        <v>31</v>
      </c>
      <c r="D1515" s="2">
        <f>43558641664/(10^6)</f>
        <v>43558.641664</v>
      </c>
      <c r="E1515" s="5">
        <v>14.0633764266968</v>
      </c>
      <c r="F1515" s="5">
        <v>3.67477083206177</v>
      </c>
      <c r="G1515" s="5">
        <v>3.75722455978394</v>
      </c>
      <c r="H1515" s="5">
        <v>9.12904644012451</v>
      </c>
      <c r="I1515" t="s">
        <v>57</v>
      </c>
    </row>
    <row r="1516" spans="1:9">
      <c r="A1516" s="4" t="s">
        <v>3087</v>
      </c>
      <c r="B1516" s="4" t="s">
        <v>3088</v>
      </c>
      <c r="C1516" s="4" t="s">
        <v>51</v>
      </c>
      <c r="D1516" s="2">
        <f>43506626560/(10^6)</f>
        <v>43506.62656</v>
      </c>
      <c r="E1516" s="5">
        <v>43.3335266113281</v>
      </c>
      <c r="F1516" s="5">
        <v>1.56235992908478</v>
      </c>
      <c r="G1516" s="5">
        <v>5.9331488609314</v>
      </c>
      <c r="H1516" s="5">
        <v>30.0052242279053</v>
      </c>
      <c r="I1516" t="s">
        <v>57</v>
      </c>
    </row>
    <row r="1517" spans="1:9">
      <c r="A1517" s="4" t="s">
        <v>3089</v>
      </c>
      <c r="B1517" s="4" t="s">
        <v>3090</v>
      </c>
      <c r="C1517" s="4" t="s">
        <v>43</v>
      </c>
      <c r="D1517" s="2">
        <f>43229712384/(10^6)</f>
        <v>43229.712384</v>
      </c>
      <c r="E1517" s="5">
        <v>12.5410451889038</v>
      </c>
      <c r="F1517" s="5">
        <v>2.2870192527771</v>
      </c>
      <c r="G1517" s="5">
        <v>3.7404944896698</v>
      </c>
      <c r="H1517" s="5">
        <v>3.87851095199585</v>
      </c>
      <c r="I1517" t="s">
        <v>57</v>
      </c>
    </row>
    <row r="1518" spans="1:9">
      <c r="A1518" s="4" t="s">
        <v>3091</v>
      </c>
      <c r="B1518" s="4" t="s">
        <v>3092</v>
      </c>
      <c r="C1518" s="4" t="s">
        <v>43</v>
      </c>
      <c r="D1518" s="2">
        <f>43058073600/(10^6)</f>
        <v>43058.0736</v>
      </c>
      <c r="E1518" s="5">
        <v>18.5571022033691</v>
      </c>
      <c r="F1518" s="5">
        <v>5.52227067947388</v>
      </c>
      <c r="G1518" s="5">
        <v>2.59399151802063</v>
      </c>
      <c r="H1518" s="5">
        <v>15.3051605224609</v>
      </c>
      <c r="I1518" t="s">
        <v>57</v>
      </c>
    </row>
    <row r="1519" spans="1:9">
      <c r="A1519" s="4" t="s">
        <v>3093</v>
      </c>
      <c r="B1519" s="4" t="s">
        <v>3094</v>
      </c>
      <c r="C1519" s="4" t="s">
        <v>43</v>
      </c>
      <c r="D1519" s="2">
        <f>43042963456/(10^6)</f>
        <v>43042.963456</v>
      </c>
      <c r="E1519" s="5">
        <v>13.124153137207</v>
      </c>
      <c r="F1519" s="5">
        <v>3.26204609870911</v>
      </c>
      <c r="G1519" s="5">
        <v>1.10096967220306</v>
      </c>
      <c r="H1519" s="5" t="s">
        <v>86</v>
      </c>
      <c r="I1519" t="s">
        <v>57</v>
      </c>
    </row>
    <row r="1520" spans="1:9">
      <c r="A1520" s="4" t="s">
        <v>3095</v>
      </c>
      <c r="B1520" s="4" t="s">
        <v>3096</v>
      </c>
      <c r="C1520" s="4" t="s">
        <v>43</v>
      </c>
      <c r="D1520" s="2">
        <f>42928414720/(10^6)</f>
        <v>42928.41472</v>
      </c>
      <c r="E1520" s="5">
        <v>8.76553249359131</v>
      </c>
      <c r="F1520" s="5">
        <v>0.879197120666504</v>
      </c>
      <c r="G1520" s="5">
        <v>2.06777024269104</v>
      </c>
      <c r="H1520" s="5" t="s">
        <v>86</v>
      </c>
      <c r="I1520" t="s">
        <v>57</v>
      </c>
    </row>
    <row r="1521" spans="1:9">
      <c r="A1521" s="4" t="s">
        <v>3097</v>
      </c>
      <c r="B1521" s="4" t="s">
        <v>3098</v>
      </c>
      <c r="C1521" s="4" t="s">
        <v>41</v>
      </c>
      <c r="D1521" s="2">
        <f>42829504512/(10^6)</f>
        <v>42829.504512</v>
      </c>
      <c r="E1521" s="5">
        <v>26.8431777954102</v>
      </c>
      <c r="F1521" s="5">
        <v>3.0769317150116</v>
      </c>
      <c r="G1521" s="5">
        <v>3.96781468391419</v>
      </c>
      <c r="H1521" s="5">
        <v>20.3003082275391</v>
      </c>
      <c r="I1521" t="s">
        <v>57</v>
      </c>
    </row>
    <row r="1522" spans="1:9">
      <c r="A1522" s="4" t="s">
        <v>3099</v>
      </c>
      <c r="B1522" s="4" t="s">
        <v>3100</v>
      </c>
      <c r="C1522" s="4" t="s">
        <v>35</v>
      </c>
      <c r="D1522" s="2">
        <f>42644975616/(10^6)</f>
        <v>42644.975616</v>
      </c>
      <c r="E1522" s="5">
        <v>19.1542205810547</v>
      </c>
      <c r="F1522" s="5" t="s">
        <v>86</v>
      </c>
      <c r="G1522" s="5">
        <v>2.32368516921997</v>
      </c>
      <c r="H1522" s="5">
        <v>12.4348831176758</v>
      </c>
      <c r="I1522" t="s">
        <v>57</v>
      </c>
    </row>
    <row r="1523" spans="1:9">
      <c r="A1523" s="4" t="s">
        <v>3101</v>
      </c>
      <c r="B1523" s="4" t="s">
        <v>3102</v>
      </c>
      <c r="C1523" s="4" t="s">
        <v>37</v>
      </c>
      <c r="D1523" s="2">
        <f>42628460544/(10^6)</f>
        <v>42628.460544</v>
      </c>
      <c r="E1523" s="5">
        <v>22.7492809295654</v>
      </c>
      <c r="F1523" s="5">
        <v>3.68885970115662</v>
      </c>
      <c r="G1523" s="5">
        <v>4.76154088973999</v>
      </c>
      <c r="H1523" s="5">
        <v>12.9952602386475</v>
      </c>
      <c r="I1523" t="s">
        <v>57</v>
      </c>
    </row>
    <row r="1524" spans="1:9">
      <c r="A1524" s="4" t="s">
        <v>3103</v>
      </c>
      <c r="B1524" s="4" t="s">
        <v>3104</v>
      </c>
      <c r="C1524" s="4" t="s">
        <v>31</v>
      </c>
      <c r="D1524" s="2">
        <f>42373197824/(10^6)</f>
        <v>42373.197824</v>
      </c>
      <c r="E1524" s="5">
        <v>12.8418874740601</v>
      </c>
      <c r="F1524" s="5">
        <v>3.55300998687744</v>
      </c>
      <c r="G1524" s="5">
        <v>1.09564077854156</v>
      </c>
      <c r="H1524" s="5">
        <v>6.13197755813599</v>
      </c>
      <c r="I1524" t="s">
        <v>57</v>
      </c>
    </row>
    <row r="1525" spans="1:9">
      <c r="A1525" s="4" t="s">
        <v>3105</v>
      </c>
      <c r="B1525" s="4" t="s">
        <v>3106</v>
      </c>
      <c r="C1525" s="4" t="s">
        <v>51</v>
      </c>
      <c r="D1525" s="2">
        <f>42324545536/(10^6)</f>
        <v>42324.545536</v>
      </c>
      <c r="E1525" s="5">
        <v>1863.63635253906</v>
      </c>
      <c r="F1525" s="5">
        <v>50.703125</v>
      </c>
      <c r="G1525" s="5">
        <v>51.6296157836914</v>
      </c>
      <c r="H1525" s="5">
        <v>1136.73059082031</v>
      </c>
      <c r="I1525" t="s">
        <v>57</v>
      </c>
    </row>
    <row r="1526" spans="1:9">
      <c r="A1526" s="4" t="s">
        <v>3107</v>
      </c>
      <c r="B1526" s="4" t="s">
        <v>3108</v>
      </c>
      <c r="C1526" s="4" t="s">
        <v>37</v>
      </c>
      <c r="D1526" s="2">
        <f>42198609920/(10^6)</f>
        <v>42198.60992</v>
      </c>
      <c r="E1526" s="5">
        <v>22.8628711700439</v>
      </c>
      <c r="F1526" s="5">
        <v>10.2721834182739</v>
      </c>
      <c r="G1526" s="5">
        <v>2.35732364654541</v>
      </c>
      <c r="H1526" s="5">
        <v>15.664134979248</v>
      </c>
      <c r="I1526" t="s">
        <v>57</v>
      </c>
    </row>
    <row r="1527" spans="1:9">
      <c r="A1527" s="4" t="s">
        <v>3109</v>
      </c>
      <c r="B1527" s="4" t="s">
        <v>3110</v>
      </c>
      <c r="C1527" s="4" t="s">
        <v>41</v>
      </c>
      <c r="D1527" s="2">
        <f>41437638656/(10^6)</f>
        <v>41437.638656</v>
      </c>
      <c r="E1527" s="5">
        <v>37.51513671875</v>
      </c>
      <c r="F1527" s="5">
        <v>9.98798656463623</v>
      </c>
      <c r="G1527" s="5">
        <v>9.49132823944092</v>
      </c>
      <c r="H1527" s="5">
        <v>32.1198883056641</v>
      </c>
      <c r="I1527" t="s">
        <v>57</v>
      </c>
    </row>
    <row r="1528" spans="1:9">
      <c r="A1528" s="4" t="s">
        <v>3111</v>
      </c>
      <c r="B1528" s="4" t="s">
        <v>3112</v>
      </c>
      <c r="C1528" s="4" t="s">
        <v>51</v>
      </c>
      <c r="D1528" s="2">
        <f>41369645056/(10^6)</f>
        <v>41369.645056</v>
      </c>
      <c r="E1528" s="5">
        <v>14.456353187561</v>
      </c>
      <c r="F1528" s="5">
        <v>4.78070974349976</v>
      </c>
      <c r="G1528" s="5">
        <v>2.7782518863678</v>
      </c>
      <c r="H1528" s="5">
        <v>11.0925102233887</v>
      </c>
      <c r="I1528" t="s">
        <v>57</v>
      </c>
    </row>
    <row r="1529" spans="1:9">
      <c r="A1529" s="4" t="s">
        <v>3113</v>
      </c>
      <c r="B1529" s="4" t="s">
        <v>3114</v>
      </c>
      <c r="C1529" s="4" t="s">
        <v>39</v>
      </c>
      <c r="D1529" s="2">
        <f>41269051392/(10^6)</f>
        <v>41269.051392</v>
      </c>
      <c r="E1529" s="5">
        <v>20.8568458557129</v>
      </c>
      <c r="F1529" s="5">
        <v>2.09471535682678</v>
      </c>
      <c r="G1529" s="5">
        <v>2.64583420753479</v>
      </c>
      <c r="H1529" s="5">
        <v>13.0452852249146</v>
      </c>
      <c r="I1529" t="s">
        <v>57</v>
      </c>
    </row>
    <row r="1530" spans="1:9">
      <c r="A1530" s="4" t="s">
        <v>3115</v>
      </c>
      <c r="B1530" s="4" t="s">
        <v>3116</v>
      </c>
      <c r="C1530" s="4" t="s">
        <v>43</v>
      </c>
      <c r="D1530" s="2">
        <f>41221271552/(10^6)</f>
        <v>41221.271552</v>
      </c>
      <c r="E1530" s="5">
        <v>27.9803428649902</v>
      </c>
      <c r="F1530" s="5">
        <v>67.5274963378906</v>
      </c>
      <c r="G1530" s="5">
        <v>8.6289529800415</v>
      </c>
      <c r="H1530" s="5">
        <v>19.3092002868652</v>
      </c>
      <c r="I1530" t="s">
        <v>57</v>
      </c>
    </row>
    <row r="1531" spans="1:9">
      <c r="A1531" s="4" t="s">
        <v>3117</v>
      </c>
      <c r="B1531" s="4" t="s">
        <v>3118</v>
      </c>
      <c r="C1531" s="4" t="s">
        <v>31</v>
      </c>
      <c r="D1531" s="2">
        <f>40474742784/(10^6)</f>
        <v>40474.742784</v>
      </c>
      <c r="E1531" s="5">
        <v>21.8421592712402</v>
      </c>
      <c r="F1531" s="5">
        <v>5.72131824493408</v>
      </c>
      <c r="G1531" s="5">
        <v>2.61806201934814</v>
      </c>
      <c r="H1531" s="5">
        <v>11.5273666381836</v>
      </c>
      <c r="I1531" t="s">
        <v>57</v>
      </c>
    </row>
    <row r="1532" spans="1:9">
      <c r="A1532" s="4" t="s">
        <v>3119</v>
      </c>
      <c r="B1532" s="4" t="s">
        <v>3120</v>
      </c>
      <c r="C1532" s="4" t="s">
        <v>41</v>
      </c>
      <c r="D1532" s="2">
        <f>40469975040/(10^6)</f>
        <v>40469.97504</v>
      </c>
      <c r="E1532" s="5">
        <v>25.6573505401611</v>
      </c>
      <c r="F1532" s="5">
        <v>5.12383604049683</v>
      </c>
      <c r="G1532" s="5">
        <v>3.5808093547821</v>
      </c>
      <c r="H1532" s="5">
        <v>14.9899110794067</v>
      </c>
      <c r="I1532" t="s">
        <v>57</v>
      </c>
    </row>
    <row r="1533" spans="1:9">
      <c r="A1533" s="4" t="s">
        <v>3121</v>
      </c>
      <c r="B1533" s="4" t="s">
        <v>3122</v>
      </c>
      <c r="C1533" s="4" t="s">
        <v>31</v>
      </c>
      <c r="D1533" s="2">
        <f>40125796352/(10^6)</f>
        <v>40125.796352</v>
      </c>
      <c r="E1533" s="5">
        <v>20.0265560150146</v>
      </c>
      <c r="F1533" s="5">
        <v>1.78739643096924</v>
      </c>
      <c r="G1533" s="5">
        <v>2.55875539779663</v>
      </c>
      <c r="H1533" s="5">
        <v>23.8111991882324</v>
      </c>
      <c r="I1533" t="s">
        <v>57</v>
      </c>
    </row>
    <row r="1534" spans="1:9">
      <c r="A1534" s="4" t="s">
        <v>3123</v>
      </c>
      <c r="B1534" s="4" t="s">
        <v>3124</v>
      </c>
      <c r="C1534" s="4" t="s">
        <v>41</v>
      </c>
      <c r="D1534" s="2">
        <f>39550349312/(10^6)</f>
        <v>39550.349312</v>
      </c>
      <c r="E1534" s="5">
        <v>42.4098358154297</v>
      </c>
      <c r="F1534" s="5">
        <v>8.57367134094238</v>
      </c>
      <c r="G1534" s="5">
        <v>11.1598052978516</v>
      </c>
      <c r="H1534" s="5">
        <v>30.5360240936279</v>
      </c>
      <c r="I1534" t="s">
        <v>57</v>
      </c>
    </row>
    <row r="1535" spans="1:9">
      <c r="A1535" s="4" t="s">
        <v>3125</v>
      </c>
      <c r="B1535" s="4" t="s">
        <v>3126</v>
      </c>
      <c r="C1535" s="4" t="s">
        <v>31</v>
      </c>
      <c r="D1535" s="2">
        <f>39544188928/(10^6)</f>
        <v>39544.188928</v>
      </c>
      <c r="E1535" s="5">
        <v>8.93701171875</v>
      </c>
      <c r="F1535" s="5">
        <v>3.23010420799255</v>
      </c>
      <c r="G1535" s="5">
        <v>1.36254465579987</v>
      </c>
      <c r="H1535" s="5">
        <v>7.29141855239868</v>
      </c>
      <c r="I1535" t="s">
        <v>57</v>
      </c>
    </row>
    <row r="1536" spans="1:9">
      <c r="A1536" s="4" t="s">
        <v>3127</v>
      </c>
      <c r="B1536" s="4" t="s">
        <v>3128</v>
      </c>
      <c r="C1536" s="4" t="s">
        <v>41</v>
      </c>
      <c r="D1536" s="2">
        <f>39250034688/(10^6)</f>
        <v>39250.034688</v>
      </c>
      <c r="E1536" s="5">
        <v>17.6683578491211</v>
      </c>
      <c r="F1536" s="5">
        <v>3.2603223323822</v>
      </c>
      <c r="G1536" s="5">
        <v>0.613660275936127</v>
      </c>
      <c r="H1536" s="5">
        <v>7.88520002365112</v>
      </c>
      <c r="I1536" t="s">
        <v>57</v>
      </c>
    </row>
    <row r="1537" spans="1:9">
      <c r="A1537" s="4" t="s">
        <v>3129</v>
      </c>
      <c r="B1537" s="4" t="s">
        <v>3130</v>
      </c>
      <c r="C1537" s="4" t="s">
        <v>35</v>
      </c>
      <c r="D1537" s="2">
        <f>38977912832/(10^6)</f>
        <v>38977.912832</v>
      </c>
      <c r="E1537" s="5">
        <v>9.39008617401123</v>
      </c>
      <c r="F1537" s="5">
        <v>1.65149188041687</v>
      </c>
      <c r="G1537" s="5">
        <v>0.290480583906174</v>
      </c>
      <c r="H1537" s="5">
        <v>11.0604372024536</v>
      </c>
      <c r="I1537" t="s">
        <v>57</v>
      </c>
    </row>
    <row r="1538" spans="1:9">
      <c r="A1538" s="4" t="s">
        <v>3131</v>
      </c>
      <c r="B1538" s="4" t="s">
        <v>3132</v>
      </c>
      <c r="C1538" s="4" t="s">
        <v>31</v>
      </c>
      <c r="D1538" s="2">
        <f>37671825408/(10^6)</f>
        <v>37671.825408</v>
      </c>
      <c r="E1538" s="5">
        <v>10.8572626113892</v>
      </c>
      <c r="F1538" s="5">
        <v>2.77451705932617</v>
      </c>
      <c r="G1538" s="5">
        <v>0.953025877475739</v>
      </c>
      <c r="H1538" s="5">
        <v>8.72270965576172</v>
      </c>
      <c r="I1538" t="s">
        <v>57</v>
      </c>
    </row>
    <row r="1539" spans="1:9">
      <c r="A1539" s="4" t="s">
        <v>3133</v>
      </c>
      <c r="B1539" s="4" t="s">
        <v>3134</v>
      </c>
      <c r="C1539" s="4" t="s">
        <v>37</v>
      </c>
      <c r="D1539" s="2">
        <f>37440950272/(10^6)</f>
        <v>37440.950272</v>
      </c>
      <c r="E1539" s="5">
        <v>35.5582733154297</v>
      </c>
      <c r="F1539" s="5">
        <v>1.74840331077576</v>
      </c>
      <c r="G1539" s="5">
        <v>3.49585580825806</v>
      </c>
      <c r="H1539" s="5">
        <v>13.0572490692139</v>
      </c>
      <c r="I1539" t="s">
        <v>57</v>
      </c>
    </row>
    <row r="1540" spans="1:9">
      <c r="A1540" s="4" t="s">
        <v>3135</v>
      </c>
      <c r="B1540" s="4" t="s">
        <v>3136</v>
      </c>
      <c r="C1540" s="4" t="s">
        <v>31</v>
      </c>
      <c r="D1540" s="2">
        <f>36858511360/(10^6)</f>
        <v>36858.51136</v>
      </c>
      <c r="E1540" s="5">
        <v>14.1831693649292</v>
      </c>
      <c r="F1540" s="5">
        <v>2.43501424789429</v>
      </c>
      <c r="G1540" s="5">
        <v>3.34945106506348</v>
      </c>
      <c r="H1540" s="5">
        <v>9.3499641418457</v>
      </c>
      <c r="I1540" t="s">
        <v>57</v>
      </c>
    </row>
    <row r="1541" spans="1:9">
      <c r="A1541" s="4" t="s">
        <v>3137</v>
      </c>
      <c r="B1541" s="4" t="s">
        <v>3138</v>
      </c>
      <c r="C1541" s="4" t="s">
        <v>47</v>
      </c>
      <c r="D1541" s="2">
        <f>36813664256/(10^6)</f>
        <v>36813.664256</v>
      </c>
      <c r="E1541" s="5">
        <v>21.6698341369629</v>
      </c>
      <c r="F1541" s="5">
        <v>5.4924111366272</v>
      </c>
      <c r="G1541" s="5">
        <v>1.35033941268921</v>
      </c>
      <c r="H1541" s="5">
        <v>11.8392314910889</v>
      </c>
      <c r="I1541" t="s">
        <v>57</v>
      </c>
    </row>
    <row r="1542" spans="1:9">
      <c r="A1542" s="4" t="s">
        <v>3139</v>
      </c>
      <c r="B1542" s="4" t="s">
        <v>3140</v>
      </c>
      <c r="C1542" s="4" t="s">
        <v>39</v>
      </c>
      <c r="D1542" s="2">
        <f>35417505792/(10^6)</f>
        <v>35417.505792</v>
      </c>
      <c r="E1542" s="5">
        <v>26.5053253173828</v>
      </c>
      <c r="F1542" s="5">
        <v>2.00158214569092</v>
      </c>
      <c r="G1542" s="5">
        <v>3.11044597625732</v>
      </c>
      <c r="H1542" s="5">
        <v>15.2417688369751</v>
      </c>
      <c r="I1542" t="s">
        <v>57</v>
      </c>
    </row>
    <row r="1543" spans="1:9">
      <c r="A1543" s="4" t="s">
        <v>3141</v>
      </c>
      <c r="B1543" s="4" t="s">
        <v>3142</v>
      </c>
      <c r="C1543" s="4" t="s">
        <v>51</v>
      </c>
      <c r="D1543" s="2">
        <f>35109203968/(10^6)</f>
        <v>35109.203968</v>
      </c>
      <c r="E1543" s="5">
        <v>17.1550388336182</v>
      </c>
      <c r="F1543" s="5">
        <v>7.84684085845947</v>
      </c>
      <c r="G1543" s="5">
        <v>3.71203136444092</v>
      </c>
      <c r="H1543" s="5">
        <v>12.9319410324097</v>
      </c>
      <c r="I1543" t="s">
        <v>57</v>
      </c>
    </row>
    <row r="1544" spans="1:9">
      <c r="A1544" s="4" t="s">
        <v>3143</v>
      </c>
      <c r="B1544" s="4" t="s">
        <v>3144</v>
      </c>
      <c r="C1544" s="4" t="s">
        <v>39</v>
      </c>
      <c r="D1544" s="2">
        <f>34574508032/(10^6)</f>
        <v>34574.508032</v>
      </c>
      <c r="E1544" s="5">
        <v>11.4497585296631</v>
      </c>
      <c r="F1544" s="5">
        <v>1.07191848754883</v>
      </c>
      <c r="G1544" s="5">
        <v>1.00245630741119</v>
      </c>
      <c r="H1544" s="5">
        <v>7.22670602798462</v>
      </c>
      <c r="I1544" t="s">
        <v>57</v>
      </c>
    </row>
    <row r="1545" spans="1:9">
      <c r="A1545" s="4" t="s">
        <v>3145</v>
      </c>
      <c r="B1545" s="4" t="s">
        <v>3146</v>
      </c>
      <c r="C1545" s="4" t="s">
        <v>35</v>
      </c>
      <c r="D1545" s="2">
        <f>34302324736/(10^6)</f>
        <v>34302.324736</v>
      </c>
      <c r="E1545" s="5">
        <v>22.5250186920166</v>
      </c>
      <c r="F1545" s="5">
        <v>1.47478425502777</v>
      </c>
      <c r="G1545" s="5">
        <v>3.08408832550049</v>
      </c>
      <c r="H1545" s="5">
        <v>15.6433668136597</v>
      </c>
      <c r="I1545" t="s">
        <v>57</v>
      </c>
    </row>
    <row r="1546" spans="1:9">
      <c r="A1546" s="4" t="s">
        <v>3147</v>
      </c>
      <c r="B1546" s="4" t="s">
        <v>3148</v>
      </c>
      <c r="C1546" s="4" t="s">
        <v>33</v>
      </c>
      <c r="D1546" s="2">
        <f>34083778560/(10^6)</f>
        <v>34083.77856</v>
      </c>
      <c r="E1546" s="5">
        <v>48.6254081726074</v>
      </c>
      <c r="F1546" s="5">
        <v>1.3232456445694</v>
      </c>
      <c r="G1546" s="5">
        <v>1.04544925689697</v>
      </c>
      <c r="H1546" s="5">
        <v>7.48689031600952</v>
      </c>
      <c r="I1546" t="s">
        <v>57</v>
      </c>
    </row>
    <row r="1547" spans="1:9">
      <c r="A1547" s="4" t="s">
        <v>3149</v>
      </c>
      <c r="B1547" s="4" t="s">
        <v>3150</v>
      </c>
      <c r="C1547" s="4" t="s">
        <v>51</v>
      </c>
      <c r="D1547" s="2">
        <f>32650074112/(10^6)</f>
        <v>32650.074112</v>
      </c>
      <c r="E1547" s="5">
        <v>18.8286533355713</v>
      </c>
      <c r="F1547" s="5">
        <v>2.79310727119446</v>
      </c>
      <c r="G1547" s="5">
        <v>5.68746709823608</v>
      </c>
      <c r="H1547" s="5">
        <v>16.0568752288818</v>
      </c>
      <c r="I1547" t="s">
        <v>57</v>
      </c>
    </row>
    <row r="1548" spans="1:9">
      <c r="A1548" s="4" t="s">
        <v>3151</v>
      </c>
      <c r="B1548" s="4" t="s">
        <v>3152</v>
      </c>
      <c r="C1548" s="4" t="s">
        <v>31</v>
      </c>
      <c r="D1548" s="2">
        <f>32447275008/(10^6)</f>
        <v>32447.275008</v>
      </c>
      <c r="E1548" s="5">
        <v>30.8493900299072</v>
      </c>
      <c r="F1548" s="5">
        <v>3.3536741733551</v>
      </c>
      <c r="G1548" s="5">
        <v>5.92030477523804</v>
      </c>
      <c r="H1548" s="5">
        <v>18.8303165435791</v>
      </c>
      <c r="I1548" t="s">
        <v>57</v>
      </c>
    </row>
    <row r="1549" spans="1:9">
      <c r="A1549" s="4" t="s">
        <v>3153</v>
      </c>
      <c r="B1549" s="4" t="s">
        <v>3154</v>
      </c>
      <c r="C1549" s="4" t="s">
        <v>41</v>
      </c>
      <c r="D1549" s="2">
        <f>32333271040/(10^6)</f>
        <v>32333.27104</v>
      </c>
      <c r="E1549" s="5">
        <v>14.0006694793701</v>
      </c>
      <c r="F1549" s="5">
        <v>1.82209742069244</v>
      </c>
      <c r="G1549" s="5">
        <v>0.305248230695724</v>
      </c>
      <c r="H1549" s="5">
        <v>12.9464092254639</v>
      </c>
      <c r="I1549" t="s">
        <v>57</v>
      </c>
    </row>
    <row r="1550" spans="1:9">
      <c r="A1550" s="4" t="s">
        <v>3155</v>
      </c>
      <c r="B1550" s="4" t="s">
        <v>3156</v>
      </c>
      <c r="C1550" s="4" t="s">
        <v>47</v>
      </c>
      <c r="D1550" s="2">
        <f>32151134208/(10^6)</f>
        <v>32151.134208</v>
      </c>
      <c r="E1550" s="5">
        <v>12.993670463562</v>
      </c>
      <c r="F1550" s="5">
        <v>6.20096349716187</v>
      </c>
      <c r="G1550" s="5">
        <v>2.36112499237061</v>
      </c>
      <c r="H1550" s="5">
        <v>8.59263515472412</v>
      </c>
      <c r="I1550" t="s">
        <v>57</v>
      </c>
    </row>
    <row r="1551" spans="1:9">
      <c r="A1551" s="4" t="s">
        <v>3157</v>
      </c>
      <c r="B1551" s="4" t="s">
        <v>3158</v>
      </c>
      <c r="C1551" s="4" t="s">
        <v>27</v>
      </c>
      <c r="D1551" s="2">
        <f>31623122944/(10^6)</f>
        <v>31623.122944</v>
      </c>
      <c r="E1551" s="5">
        <v>8.10751056671143</v>
      </c>
      <c r="F1551" s="5">
        <v>0.9071324467659</v>
      </c>
      <c r="G1551" s="5">
        <v>1.00428998470306</v>
      </c>
      <c r="H1551" s="5">
        <v>2.61762595176697</v>
      </c>
      <c r="I1551" t="s">
        <v>57</v>
      </c>
    </row>
    <row r="1552" spans="1:9">
      <c r="A1552" s="4" t="s">
        <v>3159</v>
      </c>
      <c r="B1552" s="4" t="s">
        <v>3160</v>
      </c>
      <c r="C1552" s="4" t="s">
        <v>51</v>
      </c>
      <c r="D1552" s="2">
        <f>31600719872/(10^6)</f>
        <v>31600.719872</v>
      </c>
      <c r="E1552" s="5" t="s">
        <v>86</v>
      </c>
      <c r="F1552" s="5">
        <v>12.7086563110352</v>
      </c>
      <c r="G1552" s="5">
        <v>8.53558921813965</v>
      </c>
      <c r="H1552" s="5" t="s">
        <v>86</v>
      </c>
      <c r="I1552" t="s">
        <v>57</v>
      </c>
    </row>
    <row r="1553" spans="1:9">
      <c r="A1553" s="4" t="s">
        <v>3161</v>
      </c>
      <c r="B1553" s="4" t="s">
        <v>3162</v>
      </c>
      <c r="C1553" s="4" t="s">
        <v>31</v>
      </c>
      <c r="D1553" s="2">
        <f>31501498368/(10^6)</f>
        <v>31501.498368</v>
      </c>
      <c r="E1553" s="5">
        <v>10.0047578811646</v>
      </c>
      <c r="F1553" s="5">
        <v>1.67285323143005</v>
      </c>
      <c r="G1553" s="5">
        <v>0.450879007577896</v>
      </c>
      <c r="H1553" s="5">
        <v>7.1492018699646</v>
      </c>
      <c r="I1553" t="s">
        <v>57</v>
      </c>
    </row>
    <row r="1554" spans="1:9">
      <c r="A1554" s="4" t="s">
        <v>3163</v>
      </c>
      <c r="B1554" s="4" t="s">
        <v>3164</v>
      </c>
      <c r="C1554" s="4" t="s">
        <v>35</v>
      </c>
      <c r="D1554" s="2">
        <f>31410118656/(10^6)</f>
        <v>31410.118656</v>
      </c>
      <c r="E1554" s="5">
        <v>15.4669523239136</v>
      </c>
      <c r="F1554" s="5">
        <v>4.14417695999146</v>
      </c>
      <c r="G1554" s="5">
        <v>1.8739173412323</v>
      </c>
      <c r="H1554" s="5">
        <v>12.8555030822754</v>
      </c>
      <c r="I1554" t="s">
        <v>57</v>
      </c>
    </row>
    <row r="1555" spans="1:9">
      <c r="A1555" s="4" t="s">
        <v>3165</v>
      </c>
      <c r="B1555" s="4" t="s">
        <v>3166</v>
      </c>
      <c r="C1555" s="4" t="s">
        <v>27</v>
      </c>
      <c r="D1555" s="2">
        <f>31144622080/(10^6)</f>
        <v>31144.62208</v>
      </c>
      <c r="E1555" s="5">
        <v>14.5928230285645</v>
      </c>
      <c r="F1555" s="5">
        <v>0.922970533370972</v>
      </c>
      <c r="G1555" s="5">
        <v>2.35594296455383</v>
      </c>
      <c r="H1555" s="5">
        <v>8.75919818878174</v>
      </c>
      <c r="I1555" t="s">
        <v>57</v>
      </c>
    </row>
    <row r="1556" spans="1:9">
      <c r="A1556" s="4" t="s">
        <v>3167</v>
      </c>
      <c r="B1556" s="4" t="s">
        <v>3168</v>
      </c>
      <c r="C1556" s="4" t="s">
        <v>51</v>
      </c>
      <c r="D1556" s="2">
        <f>31077650432/(10^6)</f>
        <v>31077.650432</v>
      </c>
      <c r="E1556" s="5">
        <v>159.178314208984</v>
      </c>
      <c r="F1556" s="5" t="s">
        <v>86</v>
      </c>
      <c r="G1556" s="5">
        <v>9.50064277648926</v>
      </c>
      <c r="H1556" s="5">
        <v>57.0428123474121</v>
      </c>
      <c r="I1556" t="s">
        <v>57</v>
      </c>
    </row>
    <row r="1557" spans="1:9">
      <c r="A1557" s="4" t="s">
        <v>3169</v>
      </c>
      <c r="B1557" s="4" t="s">
        <v>3170</v>
      </c>
      <c r="C1557" s="4" t="s">
        <v>39</v>
      </c>
      <c r="D1557" s="2">
        <f>30834798592/(10^6)</f>
        <v>30834.798592</v>
      </c>
      <c r="E1557" s="5">
        <v>22.2613639831543</v>
      </c>
      <c r="F1557" s="5">
        <v>2.32851099967956</v>
      </c>
      <c r="G1557" s="5">
        <v>2.64394664764404</v>
      </c>
      <c r="H1557" s="5">
        <v>12.0044145584106</v>
      </c>
      <c r="I1557" t="s">
        <v>57</v>
      </c>
    </row>
    <row r="1558" spans="1:9">
      <c r="A1558" s="4" t="s">
        <v>3171</v>
      </c>
      <c r="B1558" s="4" t="s">
        <v>3172</v>
      </c>
      <c r="C1558" s="4" t="s">
        <v>31</v>
      </c>
      <c r="D1558" s="2">
        <f>30668509184/(10^6)</f>
        <v>30668.509184</v>
      </c>
      <c r="E1558" s="5">
        <v>12.9173488616943</v>
      </c>
      <c r="F1558" s="5">
        <v>1.91564381122589</v>
      </c>
      <c r="G1558" s="5">
        <v>1.45971250534058</v>
      </c>
      <c r="H1558" s="5">
        <v>9.94949054718018</v>
      </c>
      <c r="I1558" t="s">
        <v>57</v>
      </c>
    </row>
    <row r="1559" spans="1:9">
      <c r="A1559" s="4" t="s">
        <v>3173</v>
      </c>
      <c r="B1559" s="4" t="s">
        <v>3174</v>
      </c>
      <c r="C1559" s="4" t="s">
        <v>47</v>
      </c>
      <c r="D1559" s="2">
        <f>30552064000/(10^6)</f>
        <v>30552.064</v>
      </c>
      <c r="E1559" s="5">
        <v>4.4324951171875</v>
      </c>
      <c r="F1559" s="5">
        <v>0.716213583946228</v>
      </c>
      <c r="G1559" s="5">
        <v>0.221770375967026</v>
      </c>
      <c r="H1559" s="5">
        <v>1.59575319290161</v>
      </c>
      <c r="I1559" t="s">
        <v>57</v>
      </c>
    </row>
    <row r="1560" spans="1:9">
      <c r="A1560" s="4" t="s">
        <v>3175</v>
      </c>
      <c r="B1560" s="4" t="s">
        <v>3176</v>
      </c>
      <c r="C1560" s="4" t="s">
        <v>35</v>
      </c>
      <c r="D1560" s="2">
        <f>30275573760/(10^6)</f>
        <v>30275.57376</v>
      </c>
      <c r="E1560" s="5">
        <v>27.5754070281982</v>
      </c>
      <c r="F1560" s="5">
        <v>7.25542068481445</v>
      </c>
      <c r="G1560" s="5">
        <v>7.27930545806885</v>
      </c>
      <c r="H1560" s="5">
        <v>19.6785049438477</v>
      </c>
      <c r="I1560" t="s">
        <v>57</v>
      </c>
    </row>
    <row r="1561" spans="1:9">
      <c r="A1561" s="4" t="s">
        <v>3177</v>
      </c>
      <c r="B1561" s="4" t="s">
        <v>3178</v>
      </c>
      <c r="C1561" s="4" t="s">
        <v>47</v>
      </c>
      <c r="D1561" s="2">
        <f>29625739264/(10^6)</f>
        <v>29625.739264</v>
      </c>
      <c r="E1561" s="5">
        <v>17.9456539154053</v>
      </c>
      <c r="F1561" s="5">
        <v>8.81915664672852</v>
      </c>
      <c r="G1561" s="5">
        <v>1.84395825862885</v>
      </c>
      <c r="H1561" s="5">
        <v>10.6807489395142</v>
      </c>
      <c r="I1561" t="s">
        <v>57</v>
      </c>
    </row>
    <row r="1562" spans="1:9">
      <c r="A1562" s="4" t="s">
        <v>3179</v>
      </c>
      <c r="B1562" s="4" t="s">
        <v>3180</v>
      </c>
      <c r="C1562" s="4" t="s">
        <v>35</v>
      </c>
      <c r="D1562" s="2">
        <f>29606725632/(10^6)</f>
        <v>29606.725632</v>
      </c>
      <c r="E1562" s="5">
        <v>8.40310192108154</v>
      </c>
      <c r="F1562" s="5">
        <v>0.573330521583557</v>
      </c>
      <c r="G1562" s="5">
        <v>1.18449103832245</v>
      </c>
      <c r="H1562" s="5">
        <v>13.5106639862061</v>
      </c>
      <c r="I1562" t="s">
        <v>57</v>
      </c>
    </row>
    <row r="1563" spans="1:9">
      <c r="A1563" s="4" t="s">
        <v>3181</v>
      </c>
      <c r="B1563" s="4" t="s">
        <v>3182</v>
      </c>
      <c r="C1563" s="4" t="s">
        <v>41</v>
      </c>
      <c r="D1563" s="2">
        <f>29558480896/(10^6)</f>
        <v>29558.480896</v>
      </c>
      <c r="E1563" s="5">
        <v>8.32117748260498</v>
      </c>
      <c r="F1563" s="5" t="s">
        <v>86</v>
      </c>
      <c r="G1563" s="5">
        <v>0.5838383436203</v>
      </c>
      <c r="H1563" s="5">
        <v>6.55086517333984</v>
      </c>
      <c r="I1563" t="s">
        <v>57</v>
      </c>
    </row>
    <row r="1564" spans="1:9">
      <c r="A1564" s="4" t="s">
        <v>3183</v>
      </c>
      <c r="B1564" s="4" t="s">
        <v>3184</v>
      </c>
      <c r="C1564" s="4" t="s">
        <v>43</v>
      </c>
      <c r="D1564" s="2">
        <f>28799574016/(10^6)</f>
        <v>28799.574016</v>
      </c>
      <c r="E1564" s="5">
        <v>6.44289064407349</v>
      </c>
      <c r="F1564" s="5">
        <v>0.773295998573303</v>
      </c>
      <c r="G1564" s="5">
        <v>1.46623682975769</v>
      </c>
      <c r="H1564" s="5" t="s">
        <v>86</v>
      </c>
      <c r="I1564" t="s">
        <v>57</v>
      </c>
    </row>
    <row r="1565" spans="1:9">
      <c r="A1565" s="4" t="s">
        <v>3185</v>
      </c>
      <c r="B1565" s="4" t="s">
        <v>3186</v>
      </c>
      <c r="C1565" s="4" t="s">
        <v>51</v>
      </c>
      <c r="D1565" s="2">
        <f>28277260288/(10^6)</f>
        <v>28277.260288</v>
      </c>
      <c r="E1565" s="5">
        <v>23.3360633850098</v>
      </c>
      <c r="F1565" s="5" t="s">
        <v>86</v>
      </c>
      <c r="G1565" s="5">
        <v>0.304378300905228</v>
      </c>
      <c r="H1565" s="5">
        <v>8.36142921447754</v>
      </c>
      <c r="I1565" t="s">
        <v>57</v>
      </c>
    </row>
    <row r="1566" spans="1:9">
      <c r="A1566" s="4" t="s">
        <v>3187</v>
      </c>
      <c r="B1566" s="4" t="s">
        <v>3188</v>
      </c>
      <c r="C1566" s="4" t="s">
        <v>43</v>
      </c>
      <c r="D1566" s="2">
        <f>28271611904/(10^6)</f>
        <v>28271.611904</v>
      </c>
      <c r="E1566" s="5">
        <v>4.70218515396118</v>
      </c>
      <c r="F1566" s="5">
        <v>0.450381547212601</v>
      </c>
      <c r="G1566" s="5">
        <v>0.416336715221405</v>
      </c>
      <c r="H1566" s="5" t="s">
        <v>86</v>
      </c>
      <c r="I1566" t="s">
        <v>57</v>
      </c>
    </row>
    <row r="1567" spans="1:9">
      <c r="A1567" s="4" t="s">
        <v>3189</v>
      </c>
      <c r="B1567" s="4" t="s">
        <v>3190</v>
      </c>
      <c r="C1567" s="4" t="s">
        <v>39</v>
      </c>
      <c r="D1567" s="2">
        <f>28095754240/(10^6)</f>
        <v>28095.75424</v>
      </c>
      <c r="E1567" s="5">
        <v>24.8798885345459</v>
      </c>
      <c r="F1567" s="5">
        <v>2.77807188034058</v>
      </c>
      <c r="G1567" s="5">
        <v>3.73456311225891</v>
      </c>
      <c r="H1567" s="5">
        <v>16.6352119445801</v>
      </c>
      <c r="I1567" t="s">
        <v>57</v>
      </c>
    </row>
    <row r="1568" spans="1:9">
      <c r="A1568" s="4" t="s">
        <v>3191</v>
      </c>
      <c r="B1568" s="4" t="s">
        <v>3192</v>
      </c>
      <c r="C1568" s="4" t="s">
        <v>43</v>
      </c>
      <c r="D1568" s="2">
        <f>28034181120/(10^6)</f>
        <v>28034.18112</v>
      </c>
      <c r="E1568" s="5">
        <v>8.71503829956055</v>
      </c>
      <c r="F1568" s="5">
        <v>1.19141817092896</v>
      </c>
      <c r="G1568" s="5">
        <v>0.649683713912964</v>
      </c>
      <c r="H1568" s="5" t="s">
        <v>86</v>
      </c>
      <c r="I1568" t="s">
        <v>57</v>
      </c>
    </row>
    <row r="1569" spans="1:9">
      <c r="A1569" s="4" t="s">
        <v>3193</v>
      </c>
      <c r="B1569" s="4" t="s">
        <v>3194</v>
      </c>
      <c r="C1569" s="4" t="s">
        <v>31</v>
      </c>
      <c r="D1569" s="2">
        <f>27887716352/(10^6)</f>
        <v>27887.716352</v>
      </c>
      <c r="E1569" s="5">
        <v>12.5759449005127</v>
      </c>
      <c r="F1569" s="5">
        <v>3.31038236618042</v>
      </c>
      <c r="G1569" s="5">
        <v>1.52011740207672</v>
      </c>
      <c r="H1569" s="5">
        <v>8.77003860473633</v>
      </c>
      <c r="I1569" t="s">
        <v>57</v>
      </c>
    </row>
    <row r="1570" spans="1:9">
      <c r="A1570" s="4" t="s">
        <v>3195</v>
      </c>
      <c r="B1570" s="4" t="s">
        <v>3196</v>
      </c>
      <c r="C1570" s="4" t="s">
        <v>35</v>
      </c>
      <c r="D1570" s="2">
        <f>27768754176/(10^6)</f>
        <v>27768.754176</v>
      </c>
      <c r="E1570" s="5">
        <v>16.5420227050781</v>
      </c>
      <c r="F1570" s="5">
        <v>2.36099171638489</v>
      </c>
      <c r="G1570" s="5">
        <v>3.3659200668335</v>
      </c>
      <c r="H1570" s="5">
        <v>15.6951589584351</v>
      </c>
      <c r="I1570" t="s">
        <v>57</v>
      </c>
    </row>
    <row r="1571" spans="1:9">
      <c r="A1571" s="4" t="s">
        <v>3197</v>
      </c>
      <c r="B1571" s="4" t="s">
        <v>3198</v>
      </c>
      <c r="C1571" s="4" t="s">
        <v>35</v>
      </c>
      <c r="D1571" s="2">
        <f>27768754176/(10^6)</f>
        <v>27768.754176</v>
      </c>
      <c r="E1571" s="5">
        <v>16.5420227050781</v>
      </c>
      <c r="F1571" s="5">
        <v>2.36099171638489</v>
      </c>
      <c r="G1571" s="5">
        <v>3.3659200668335</v>
      </c>
      <c r="H1571" s="5">
        <v>15.6951589584351</v>
      </c>
      <c r="I1571" t="s">
        <v>57</v>
      </c>
    </row>
    <row r="1572" spans="1:9">
      <c r="A1572" s="4" t="s">
        <v>3199</v>
      </c>
      <c r="B1572" s="4" t="s">
        <v>3200</v>
      </c>
      <c r="C1572" s="4" t="s">
        <v>33</v>
      </c>
      <c r="D1572" s="2">
        <f>27626237952/(10^6)</f>
        <v>27626.237952</v>
      </c>
      <c r="E1572" s="5">
        <v>9.89548397064209</v>
      </c>
      <c r="F1572" s="5">
        <v>3.83483099937439</v>
      </c>
      <c r="G1572" s="5">
        <v>5.22972345352173</v>
      </c>
      <c r="H1572" s="5">
        <v>16.1543312072754</v>
      </c>
      <c r="I1572" t="s">
        <v>57</v>
      </c>
    </row>
    <row r="1573" spans="1:9">
      <c r="A1573" s="4" t="s">
        <v>3201</v>
      </c>
      <c r="B1573" s="4" t="s">
        <v>3202</v>
      </c>
      <c r="C1573" s="4" t="s">
        <v>35</v>
      </c>
      <c r="D1573" s="2">
        <f>27443638272/(10^6)</f>
        <v>27443.638272</v>
      </c>
      <c r="E1573" s="5">
        <v>22.6003017425537</v>
      </c>
      <c r="F1573" s="5">
        <v>15.7100372314453</v>
      </c>
      <c r="G1573" s="5">
        <v>3.43203353881836</v>
      </c>
      <c r="H1573" s="5">
        <v>16.2874450683594</v>
      </c>
      <c r="I1573" t="s">
        <v>57</v>
      </c>
    </row>
    <row r="1574" spans="1:9">
      <c r="A1574" s="4" t="s">
        <v>3203</v>
      </c>
      <c r="B1574" s="4" t="s">
        <v>3204</v>
      </c>
      <c r="C1574" s="4" t="s">
        <v>39</v>
      </c>
      <c r="D1574" s="2">
        <f>26712967168/(10^6)</f>
        <v>26712.967168</v>
      </c>
      <c r="E1574" s="5">
        <v>23.4815311431885</v>
      </c>
      <c r="F1574" s="5">
        <v>2.11458039283752</v>
      </c>
      <c r="G1574" s="5">
        <v>3.05078339576721</v>
      </c>
      <c r="H1574" s="5">
        <v>15.618034362793</v>
      </c>
      <c r="I1574" t="s">
        <v>57</v>
      </c>
    </row>
    <row r="1575" spans="1:9">
      <c r="A1575" s="4" t="s">
        <v>3205</v>
      </c>
      <c r="B1575" s="4" t="s">
        <v>3206</v>
      </c>
      <c r="C1575" s="4" t="s">
        <v>39</v>
      </c>
      <c r="D1575" s="2">
        <f>26001108992/(10^6)</f>
        <v>26001.108992</v>
      </c>
      <c r="E1575" s="5">
        <v>17.935022354126</v>
      </c>
      <c r="F1575" s="5">
        <v>1.43939077854156</v>
      </c>
      <c r="G1575" s="5">
        <v>2.03612446784973</v>
      </c>
      <c r="H1575" s="5">
        <v>10.6895637512207</v>
      </c>
      <c r="I1575" t="s">
        <v>57</v>
      </c>
    </row>
    <row r="1576" spans="1:9">
      <c r="A1576" s="4" t="s">
        <v>3207</v>
      </c>
      <c r="B1576" s="4" t="s">
        <v>3208</v>
      </c>
      <c r="C1576" s="4" t="s">
        <v>35</v>
      </c>
      <c r="D1576" s="2">
        <f>25654257664/(10^6)</f>
        <v>25654.257664</v>
      </c>
      <c r="E1576" s="5">
        <v>13.5606470108032</v>
      </c>
      <c r="F1576" s="5">
        <v>10.1566133499146</v>
      </c>
      <c r="G1576" s="5">
        <v>0.428124308586121</v>
      </c>
      <c r="H1576" s="5">
        <v>10.5081062316895</v>
      </c>
      <c r="I1576" t="s">
        <v>57</v>
      </c>
    </row>
    <row r="1577" spans="1:9">
      <c r="A1577" s="4" t="s">
        <v>3209</v>
      </c>
      <c r="B1577" s="4" t="s">
        <v>3210</v>
      </c>
      <c r="C1577" s="4" t="s">
        <v>51</v>
      </c>
      <c r="D1577" s="2">
        <f>25599408128/(10^6)</f>
        <v>25599.408128</v>
      </c>
      <c r="E1577" s="5">
        <v>12.3839893341064</v>
      </c>
      <c r="F1577" s="5">
        <v>2.3198766708374</v>
      </c>
      <c r="G1577" s="5">
        <v>1.55315315723419</v>
      </c>
      <c r="H1577" s="5">
        <v>7.39975452423096</v>
      </c>
      <c r="I1577" t="s">
        <v>57</v>
      </c>
    </row>
    <row r="1578" spans="1:9">
      <c r="A1578" s="4" t="s">
        <v>3211</v>
      </c>
      <c r="B1578" s="4" t="s">
        <v>3212</v>
      </c>
      <c r="C1578" s="4" t="s">
        <v>43</v>
      </c>
      <c r="D1578" s="2">
        <f>25576906752/(10^6)</f>
        <v>25576.906752</v>
      </c>
      <c r="E1578" s="5">
        <v>7.94720220565796</v>
      </c>
      <c r="F1578" s="5">
        <v>0.888444781303406</v>
      </c>
      <c r="G1578" s="5">
        <v>1.17819333076477</v>
      </c>
      <c r="H1578" s="5" t="s">
        <v>86</v>
      </c>
      <c r="I1578" t="s">
        <v>57</v>
      </c>
    </row>
    <row r="1579" spans="1:9">
      <c r="A1579" s="4" t="s">
        <v>3213</v>
      </c>
      <c r="B1579" s="4" t="s">
        <v>3214</v>
      </c>
      <c r="C1579" s="4" t="s">
        <v>47</v>
      </c>
      <c r="D1579" s="2">
        <f>25564315648/(10^6)</f>
        <v>25564.315648</v>
      </c>
      <c r="E1579" s="5">
        <v>19.9368743896484</v>
      </c>
      <c r="F1579" s="5">
        <v>36.3405418395996</v>
      </c>
      <c r="G1579" s="5">
        <v>1.25043106079102</v>
      </c>
      <c r="H1579" s="5">
        <v>15.6161289215088</v>
      </c>
      <c r="I1579" t="s">
        <v>57</v>
      </c>
    </row>
    <row r="1580" spans="1:9">
      <c r="A1580" s="4" t="s">
        <v>3215</v>
      </c>
      <c r="B1580" s="4" t="s">
        <v>3216</v>
      </c>
      <c r="C1580" s="4" t="s">
        <v>43</v>
      </c>
      <c r="D1580" s="2">
        <f>25490339840/(10^6)</f>
        <v>25490.33984</v>
      </c>
      <c r="E1580" s="5">
        <v>10.3926200866699</v>
      </c>
      <c r="F1580" s="5">
        <v>0.984358906745911</v>
      </c>
      <c r="G1580" s="5">
        <v>0.822826147079468</v>
      </c>
      <c r="H1580" s="5" t="s">
        <v>86</v>
      </c>
      <c r="I1580" t="s">
        <v>57</v>
      </c>
    </row>
    <row r="1581" spans="1:9">
      <c r="A1581" s="4" t="s">
        <v>3217</v>
      </c>
      <c r="B1581" s="4" t="s">
        <v>3218</v>
      </c>
      <c r="C1581" s="4" t="s">
        <v>35</v>
      </c>
      <c r="D1581" s="2">
        <f>25379100672/(10^6)</f>
        <v>25379.100672</v>
      </c>
      <c r="E1581" s="5">
        <v>30.446928024292</v>
      </c>
      <c r="F1581" s="5">
        <v>12.9950551986694</v>
      </c>
      <c r="G1581" s="5">
        <v>7.65896368026733</v>
      </c>
      <c r="H1581" s="5">
        <v>22.3948612213135</v>
      </c>
      <c r="I1581" t="s">
        <v>57</v>
      </c>
    </row>
    <row r="1582" spans="1:9">
      <c r="A1582" s="4" t="s">
        <v>3219</v>
      </c>
      <c r="B1582" s="4" t="s">
        <v>3220</v>
      </c>
      <c r="C1582" s="4" t="s">
        <v>35</v>
      </c>
      <c r="D1582" s="2">
        <f>25379100672/(10^6)</f>
        <v>25379.100672</v>
      </c>
      <c r="E1582" s="5">
        <v>30.446928024292</v>
      </c>
      <c r="F1582" s="5">
        <v>12.9950551986694</v>
      </c>
      <c r="G1582" s="5">
        <v>7.65896368026733</v>
      </c>
      <c r="H1582" s="5">
        <v>22.3948612213135</v>
      </c>
      <c r="I1582" t="s">
        <v>57</v>
      </c>
    </row>
    <row r="1583" spans="1:9">
      <c r="A1583" s="4" t="s">
        <v>3221</v>
      </c>
      <c r="B1583" s="4" t="s">
        <v>3222</v>
      </c>
      <c r="C1583" s="4" t="s">
        <v>43</v>
      </c>
      <c r="D1583" s="2">
        <f>25295400960/(10^6)</f>
        <v>25295.40096</v>
      </c>
      <c r="E1583" s="5">
        <v>4.76416444778442</v>
      </c>
      <c r="F1583" s="5">
        <v>0.474959582090378</v>
      </c>
      <c r="G1583" s="5">
        <v>0.765756547451019</v>
      </c>
      <c r="H1583" s="5">
        <v>4.64075040817261</v>
      </c>
      <c r="I1583" t="s">
        <v>57</v>
      </c>
    </row>
    <row r="1584" spans="1:9">
      <c r="A1584" s="4" t="s">
        <v>3223</v>
      </c>
      <c r="B1584" s="4" t="s">
        <v>3224</v>
      </c>
      <c r="C1584" s="4" t="s">
        <v>37</v>
      </c>
      <c r="D1584" s="2">
        <f>25013512192/(10^6)</f>
        <v>25013.512192</v>
      </c>
      <c r="E1584" s="5">
        <v>7.80483293533325</v>
      </c>
      <c r="F1584" s="5">
        <v>0.60959929227829</v>
      </c>
      <c r="G1584" s="5">
        <v>0.70771062374115</v>
      </c>
      <c r="H1584" s="5">
        <v>9.21198749542236</v>
      </c>
      <c r="I1584" t="s">
        <v>57</v>
      </c>
    </row>
    <row r="1585" spans="1:9">
      <c r="A1585" s="4" t="s">
        <v>3225</v>
      </c>
      <c r="B1585" s="4" t="s">
        <v>3226</v>
      </c>
      <c r="C1585" s="4" t="s">
        <v>35</v>
      </c>
      <c r="D1585" s="2">
        <f>24178413568/(10^6)</f>
        <v>24178.413568</v>
      </c>
      <c r="E1585" s="5">
        <v>25.8711223602295</v>
      </c>
      <c r="F1585" s="5">
        <v>3.96636652946472</v>
      </c>
      <c r="G1585" s="5">
        <v>2.52493643760681</v>
      </c>
      <c r="H1585" s="5">
        <v>17.6945037841797</v>
      </c>
      <c r="I1585" t="s">
        <v>57</v>
      </c>
    </row>
    <row r="1586" spans="1:9">
      <c r="A1586" s="4" t="s">
        <v>3227</v>
      </c>
      <c r="B1586" s="4" t="s">
        <v>3228</v>
      </c>
      <c r="C1586" s="4" t="s">
        <v>51</v>
      </c>
      <c r="D1586" s="2">
        <f>24166209536/(10^6)</f>
        <v>24166.209536</v>
      </c>
      <c r="E1586" s="5">
        <v>9.11695861816406</v>
      </c>
      <c r="F1586" s="5" t="s">
        <v>86</v>
      </c>
      <c r="G1586" s="5">
        <v>0.4277703166008</v>
      </c>
      <c r="H1586" s="5">
        <v>5.58110618591309</v>
      </c>
      <c r="I1586" t="s">
        <v>57</v>
      </c>
    </row>
    <row r="1587" spans="1:9">
      <c r="A1587" s="4" t="s">
        <v>3229</v>
      </c>
      <c r="B1587" s="4" t="s">
        <v>3230</v>
      </c>
      <c r="C1587" s="4" t="s">
        <v>31</v>
      </c>
      <c r="D1587" s="2">
        <f>24121159680/(10^6)</f>
        <v>24121.15968</v>
      </c>
      <c r="E1587" s="5">
        <v>22.6734180450439</v>
      </c>
      <c r="F1587" s="5">
        <v>2.96879601478577</v>
      </c>
      <c r="G1587" s="5">
        <v>2.35643100738525</v>
      </c>
      <c r="H1587" s="5">
        <v>11.1918067932129</v>
      </c>
      <c r="I1587" t="s">
        <v>57</v>
      </c>
    </row>
    <row r="1588" spans="1:9">
      <c r="A1588" s="4" t="s">
        <v>3231</v>
      </c>
      <c r="B1588" s="4" t="s">
        <v>3232</v>
      </c>
      <c r="C1588" s="4" t="s">
        <v>41</v>
      </c>
      <c r="D1588" s="2">
        <f>24085596160/(10^6)</f>
        <v>24085.59616</v>
      </c>
      <c r="E1588" s="5">
        <v>207.267272949219</v>
      </c>
      <c r="F1588" s="5">
        <v>27.2911109924316</v>
      </c>
      <c r="G1588" s="5">
        <v>16.2401237487793</v>
      </c>
      <c r="H1588" s="5">
        <v>116.624000549316</v>
      </c>
      <c r="I1588" t="s">
        <v>57</v>
      </c>
    </row>
    <row r="1589" spans="1:9">
      <c r="A1589" s="4" t="s">
        <v>3233</v>
      </c>
      <c r="B1589" s="4" t="s">
        <v>3234</v>
      </c>
      <c r="C1589" s="4" t="s">
        <v>47</v>
      </c>
      <c r="D1589" s="2">
        <f>24025718784/(10^6)</f>
        <v>24025.718784</v>
      </c>
      <c r="E1589" s="5">
        <v>11.7292613983154</v>
      </c>
      <c r="F1589" s="5">
        <v>8.37047958374023</v>
      </c>
      <c r="G1589" s="5">
        <v>2.36737179756165</v>
      </c>
      <c r="H1589" s="5">
        <v>9.21104431152344</v>
      </c>
      <c r="I1589" t="s">
        <v>57</v>
      </c>
    </row>
    <row r="1590" spans="1:9">
      <c r="A1590" s="4" t="s">
        <v>3235</v>
      </c>
      <c r="B1590" s="4" t="s">
        <v>3236</v>
      </c>
      <c r="C1590" s="4" t="s">
        <v>43</v>
      </c>
      <c r="D1590" s="2">
        <f>23507550208/(10^6)</f>
        <v>23507.550208</v>
      </c>
      <c r="E1590" s="5">
        <v>9.11240100860596</v>
      </c>
      <c r="F1590" s="5">
        <v>6.09193134307861</v>
      </c>
      <c r="G1590" s="5">
        <v>2.34658360481262</v>
      </c>
      <c r="H1590" s="5">
        <v>16.3831577301025</v>
      </c>
      <c r="I1590" t="s">
        <v>57</v>
      </c>
    </row>
    <row r="1591" spans="1:9">
      <c r="A1591" s="4" t="s">
        <v>3237</v>
      </c>
      <c r="B1591" s="4" t="s">
        <v>3238</v>
      </c>
      <c r="C1591" s="4" t="s">
        <v>43</v>
      </c>
      <c r="D1591" s="2">
        <f>23441967104/(10^6)</f>
        <v>23441.967104</v>
      </c>
      <c r="E1591" s="5">
        <v>44.8761749267578</v>
      </c>
      <c r="F1591" s="5" t="s">
        <v>86</v>
      </c>
      <c r="G1591" s="5">
        <v>14.9832973480225</v>
      </c>
      <c r="H1591" s="5">
        <v>28.9312419891357</v>
      </c>
      <c r="I1591" t="s">
        <v>57</v>
      </c>
    </row>
    <row r="1592" spans="1:9">
      <c r="A1592" s="4" t="s">
        <v>3239</v>
      </c>
      <c r="B1592" s="4" t="s">
        <v>3240</v>
      </c>
      <c r="C1592" s="4" t="s">
        <v>35</v>
      </c>
      <c r="D1592" s="2">
        <f>23321108480/(10^6)</f>
        <v>23321.10848</v>
      </c>
      <c r="E1592" s="5">
        <v>12.9941902160645</v>
      </c>
      <c r="F1592" s="5">
        <v>2.67752695083618</v>
      </c>
      <c r="G1592" s="5">
        <v>0.190363600850105</v>
      </c>
      <c r="H1592" s="5">
        <v>7.91140937805176</v>
      </c>
      <c r="I1592" t="s">
        <v>57</v>
      </c>
    </row>
    <row r="1593" spans="1:9">
      <c r="A1593" s="4" t="s">
        <v>3241</v>
      </c>
      <c r="B1593" s="4" t="s">
        <v>3242</v>
      </c>
      <c r="C1593" s="4" t="s">
        <v>47</v>
      </c>
      <c r="D1593" s="2">
        <f>23272667136/(10^6)</f>
        <v>23272.667136</v>
      </c>
      <c r="E1593" s="5">
        <v>17.5198421478271</v>
      </c>
      <c r="F1593" s="5">
        <v>59.6495628356934</v>
      </c>
      <c r="G1593" s="5">
        <v>2.37654089927673</v>
      </c>
      <c r="H1593" s="5">
        <v>11.6006803512573</v>
      </c>
      <c r="I1593" t="s">
        <v>57</v>
      </c>
    </row>
    <row r="1594" spans="1:9">
      <c r="A1594" s="4" t="s">
        <v>3243</v>
      </c>
      <c r="B1594" s="4" t="s">
        <v>3244</v>
      </c>
      <c r="C1594" s="4" t="s">
        <v>43</v>
      </c>
      <c r="D1594" s="2">
        <f>23233519616/(10^6)</f>
        <v>23233.519616</v>
      </c>
      <c r="E1594" s="5">
        <v>11.2995166778564</v>
      </c>
      <c r="F1594" s="5">
        <v>3.25989699363708</v>
      </c>
      <c r="G1594" s="5">
        <v>4.12328863143921</v>
      </c>
      <c r="H1594" s="5">
        <v>8.81333637237549</v>
      </c>
      <c r="I1594" t="s">
        <v>57</v>
      </c>
    </row>
    <row r="1595" spans="1:9">
      <c r="A1595" s="4" t="s">
        <v>3245</v>
      </c>
      <c r="B1595" s="4" t="s">
        <v>3246</v>
      </c>
      <c r="C1595" s="4" t="s">
        <v>51</v>
      </c>
      <c r="D1595" s="2">
        <f>23215419392/(10^6)</f>
        <v>23215.419392</v>
      </c>
      <c r="E1595" s="5">
        <v>904.282348632812</v>
      </c>
      <c r="F1595" s="5">
        <v>13.4604682922363</v>
      </c>
      <c r="G1595" s="5">
        <v>4.81378507614136</v>
      </c>
      <c r="H1595" s="5">
        <v>177.346710205078</v>
      </c>
      <c r="I1595" t="s">
        <v>57</v>
      </c>
    </row>
    <row r="1596" spans="1:9">
      <c r="A1596" s="4" t="s">
        <v>3247</v>
      </c>
      <c r="B1596" s="4" t="s">
        <v>3248</v>
      </c>
      <c r="C1596" s="4" t="s">
        <v>51</v>
      </c>
      <c r="D1596" s="2">
        <f>23040118784/(10^6)</f>
        <v>23040.118784</v>
      </c>
      <c r="E1596" s="5">
        <v>19.9774398803711</v>
      </c>
      <c r="F1596" s="5" t="s">
        <v>86</v>
      </c>
      <c r="G1596" s="5">
        <v>2.8584098815918</v>
      </c>
      <c r="H1596" s="5">
        <v>13.2148857116699</v>
      </c>
      <c r="I1596" t="s">
        <v>57</v>
      </c>
    </row>
    <row r="1597" spans="1:9">
      <c r="A1597" s="4" t="s">
        <v>3249</v>
      </c>
      <c r="B1597" s="4" t="s">
        <v>3250</v>
      </c>
      <c r="C1597" s="4" t="s">
        <v>27</v>
      </c>
      <c r="D1597" s="2">
        <f>22991806464/(10^6)</f>
        <v>22991.806464</v>
      </c>
      <c r="E1597" s="5">
        <v>6.26090621948242</v>
      </c>
      <c r="F1597" s="5">
        <v>0.926259338855743</v>
      </c>
      <c r="G1597" s="5">
        <v>0.219936639070511</v>
      </c>
      <c r="H1597" s="5">
        <v>8.50204277038574</v>
      </c>
      <c r="I1597" t="s">
        <v>57</v>
      </c>
    </row>
    <row r="1598" spans="1:9">
      <c r="A1598" s="4" t="s">
        <v>3251</v>
      </c>
      <c r="B1598" s="4" t="s">
        <v>3252</v>
      </c>
      <c r="C1598" s="4" t="s">
        <v>47</v>
      </c>
      <c r="D1598" s="2">
        <f>22810886144/(10^6)</f>
        <v>22810.886144</v>
      </c>
      <c r="E1598" s="5">
        <v>15.2480173110962</v>
      </c>
      <c r="F1598" s="5">
        <v>4.99164295196533</v>
      </c>
      <c r="G1598" s="5">
        <v>1.86834716796875</v>
      </c>
      <c r="H1598" s="5">
        <v>10.8346042633057</v>
      </c>
      <c r="I1598" t="s">
        <v>57</v>
      </c>
    </row>
    <row r="1599" spans="1:9">
      <c r="A1599" s="4" t="s">
        <v>3253</v>
      </c>
      <c r="B1599" s="4" t="s">
        <v>3254</v>
      </c>
      <c r="C1599" s="4" t="s">
        <v>39</v>
      </c>
      <c r="D1599" s="2">
        <f>22468059136/(10^6)</f>
        <v>22468.059136</v>
      </c>
      <c r="E1599" s="5">
        <v>13.2756538391113</v>
      </c>
      <c r="F1599" s="5">
        <v>1.48571276664734</v>
      </c>
      <c r="G1599" s="5">
        <v>2.22488284111023</v>
      </c>
      <c r="H1599" s="5">
        <v>11.3563461303711</v>
      </c>
      <c r="I1599" t="s">
        <v>57</v>
      </c>
    </row>
    <row r="1600" spans="1:9">
      <c r="A1600" s="4" t="s">
        <v>3255</v>
      </c>
      <c r="B1600" s="4" t="s">
        <v>3256</v>
      </c>
      <c r="C1600" s="4" t="s">
        <v>31</v>
      </c>
      <c r="D1600" s="2">
        <f>22466973696/(10^6)</f>
        <v>22466.973696</v>
      </c>
      <c r="E1600" s="5">
        <v>37.070930480957</v>
      </c>
      <c r="F1600" s="5">
        <v>9.94283866882324</v>
      </c>
      <c r="G1600" s="5">
        <v>8.64176750183105</v>
      </c>
      <c r="H1600" s="5">
        <v>23.885856628418</v>
      </c>
      <c r="I1600" t="s">
        <v>57</v>
      </c>
    </row>
    <row r="1601" spans="1:9">
      <c r="A1601" s="4" t="s">
        <v>3257</v>
      </c>
      <c r="B1601" s="4" t="s">
        <v>3258</v>
      </c>
      <c r="C1601" s="4" t="s">
        <v>51</v>
      </c>
      <c r="D1601" s="2">
        <f>22299277312/(10^6)</f>
        <v>22299.277312</v>
      </c>
      <c r="E1601" s="5">
        <v>16.2882308959961</v>
      </c>
      <c r="F1601" s="5">
        <v>8.3566198348999</v>
      </c>
      <c r="G1601" s="5">
        <v>4.26381397247315</v>
      </c>
      <c r="H1601" s="5">
        <v>13.4758758544922</v>
      </c>
      <c r="I1601" t="s">
        <v>57</v>
      </c>
    </row>
    <row r="1602" spans="1:9">
      <c r="A1602" s="4" t="s">
        <v>3259</v>
      </c>
      <c r="B1602" s="4" t="s">
        <v>3260</v>
      </c>
      <c r="C1602" s="4" t="s">
        <v>43</v>
      </c>
      <c r="D1602" s="2">
        <f>22280994816/(10^6)</f>
        <v>22280.994816</v>
      </c>
      <c r="E1602" s="5">
        <v>6.40545845031738</v>
      </c>
      <c r="F1602" s="5">
        <v>0.340524345636368</v>
      </c>
      <c r="G1602" s="5">
        <v>0.449590563774109</v>
      </c>
      <c r="H1602" s="5" t="s">
        <v>86</v>
      </c>
      <c r="I1602" t="s">
        <v>57</v>
      </c>
    </row>
    <row r="1603" spans="1:9">
      <c r="A1603" s="4" t="s">
        <v>3261</v>
      </c>
      <c r="B1603" s="4" t="s">
        <v>3262</v>
      </c>
      <c r="C1603" s="4" t="s">
        <v>51</v>
      </c>
      <c r="D1603" s="2">
        <f>22139973632/(10^6)</f>
        <v>22139.973632</v>
      </c>
      <c r="E1603" s="5">
        <v>19.4623279571533</v>
      </c>
      <c r="F1603" s="5">
        <v>4.88378953933716</v>
      </c>
      <c r="G1603" s="5">
        <v>2.68583202362061</v>
      </c>
      <c r="H1603" s="5">
        <v>12.3741178512573</v>
      </c>
      <c r="I1603" t="s">
        <v>57</v>
      </c>
    </row>
    <row r="1604" spans="1:9">
      <c r="A1604" s="4" t="s">
        <v>3263</v>
      </c>
      <c r="B1604" s="4" t="s">
        <v>3264</v>
      </c>
      <c r="C1604" s="4" t="s">
        <v>41</v>
      </c>
      <c r="D1604" s="2">
        <f>21957378048/(10^6)</f>
        <v>21957.378048</v>
      </c>
      <c r="E1604" s="5">
        <v>26.0635967254639</v>
      </c>
      <c r="F1604" s="5">
        <v>4.53426170349121</v>
      </c>
      <c r="G1604" s="5">
        <v>4.22333145141602</v>
      </c>
      <c r="H1604" s="5">
        <v>19.8181171417236</v>
      </c>
      <c r="I1604" t="s">
        <v>57</v>
      </c>
    </row>
    <row r="1605" spans="1:9">
      <c r="A1605" s="4" t="s">
        <v>3265</v>
      </c>
      <c r="B1605" s="4" t="s">
        <v>3266</v>
      </c>
      <c r="C1605" s="4" t="s">
        <v>39</v>
      </c>
      <c r="D1605" s="2">
        <f>21856315392/(10^6)</f>
        <v>21856.315392</v>
      </c>
      <c r="E1605" s="5">
        <v>32.0185317993164</v>
      </c>
      <c r="F1605" s="5">
        <v>3.56751704216003</v>
      </c>
      <c r="G1605" s="5">
        <v>6.05522680282593</v>
      </c>
      <c r="H1605" s="5">
        <v>17.8803176879883</v>
      </c>
      <c r="I1605" t="s">
        <v>57</v>
      </c>
    </row>
    <row r="1606" spans="1:9">
      <c r="A1606" s="4" t="s">
        <v>3267</v>
      </c>
      <c r="B1606" s="4" t="s">
        <v>3268</v>
      </c>
      <c r="C1606" s="4" t="s">
        <v>33</v>
      </c>
      <c r="D1606" s="2">
        <f>21760745472/(10^6)</f>
        <v>21760.745472</v>
      </c>
      <c r="E1606" s="5">
        <v>22.8289356231689</v>
      </c>
      <c r="F1606" s="5" t="s">
        <v>86</v>
      </c>
      <c r="G1606" s="5">
        <v>2.84500765800476</v>
      </c>
      <c r="H1606" s="5">
        <v>13.6864719390869</v>
      </c>
      <c r="I1606" t="s">
        <v>57</v>
      </c>
    </row>
    <row r="1607" spans="1:9">
      <c r="A1607" s="4" t="s">
        <v>3269</v>
      </c>
      <c r="B1607" s="4" t="s">
        <v>3270</v>
      </c>
      <c r="C1607" s="4" t="s">
        <v>35</v>
      </c>
      <c r="D1607" s="2">
        <f>21665998848/(10^6)</f>
        <v>21665.998848</v>
      </c>
      <c r="E1607" s="5">
        <v>27.188383102417</v>
      </c>
      <c r="F1607" s="5">
        <v>39.0144462585449</v>
      </c>
      <c r="G1607" s="5">
        <v>3.5750036239624</v>
      </c>
      <c r="H1607" s="5">
        <v>18.5199089050293</v>
      </c>
      <c r="I1607" t="s">
        <v>57</v>
      </c>
    </row>
    <row r="1608" spans="1:9">
      <c r="A1608" s="4" t="s">
        <v>3271</v>
      </c>
      <c r="B1608" s="4" t="s">
        <v>3272</v>
      </c>
      <c r="C1608" s="4" t="s">
        <v>41</v>
      </c>
      <c r="D1608" s="2">
        <f>21626791936/(10^6)</f>
        <v>21626.791936</v>
      </c>
      <c r="E1608" s="5">
        <v>76.2041931152344</v>
      </c>
      <c r="F1608" s="5">
        <v>12.984432220459</v>
      </c>
      <c r="G1608" s="5">
        <v>19.4908332824707</v>
      </c>
      <c r="H1608" s="5">
        <v>64.5518264770508</v>
      </c>
      <c r="I1608" t="s">
        <v>57</v>
      </c>
    </row>
    <row r="1609" spans="1:9">
      <c r="A1609" s="4" t="s">
        <v>3273</v>
      </c>
      <c r="B1609" s="4" t="s">
        <v>3274</v>
      </c>
      <c r="C1609" s="4" t="s">
        <v>51</v>
      </c>
      <c r="D1609" s="2">
        <f>21564114944/(10^6)</f>
        <v>21564.114944</v>
      </c>
      <c r="E1609" s="5">
        <v>19.6315383911133</v>
      </c>
      <c r="F1609" s="5">
        <v>7.82048606872559</v>
      </c>
      <c r="G1609" s="5">
        <v>5.2558536529541</v>
      </c>
      <c r="H1609" s="5">
        <v>12.8240842819214</v>
      </c>
      <c r="I1609" t="s">
        <v>57</v>
      </c>
    </row>
    <row r="1610" spans="1:9">
      <c r="A1610" s="4" t="s">
        <v>3275</v>
      </c>
      <c r="B1610" s="4" t="s">
        <v>3276</v>
      </c>
      <c r="C1610" s="4" t="s">
        <v>35</v>
      </c>
      <c r="D1610" s="2">
        <f>21387583488/(10^6)</f>
        <v>21387.583488</v>
      </c>
      <c r="E1610" s="5">
        <v>10.196234703064</v>
      </c>
      <c r="F1610" s="5">
        <v>1.48313689231873</v>
      </c>
      <c r="G1610" s="5">
        <v>0.494628041982651</v>
      </c>
      <c r="H1610" s="5">
        <v>8.25715255737305</v>
      </c>
      <c r="I1610" t="s">
        <v>57</v>
      </c>
    </row>
    <row r="1611" spans="1:9">
      <c r="A1611" s="4" t="s">
        <v>3277</v>
      </c>
      <c r="B1611" s="4" t="s">
        <v>3278</v>
      </c>
      <c r="C1611" s="4" t="s">
        <v>31</v>
      </c>
      <c r="D1611" s="2">
        <f>21290223616/(10^6)</f>
        <v>21290.223616</v>
      </c>
      <c r="E1611" s="5">
        <v>67.7587966918945</v>
      </c>
      <c r="F1611" s="5">
        <v>6.25551557540894</v>
      </c>
      <c r="G1611" s="5">
        <v>15.0721340179443</v>
      </c>
      <c r="H1611" s="5">
        <v>43.1561851501465</v>
      </c>
      <c r="I1611" t="s">
        <v>57</v>
      </c>
    </row>
    <row r="1612" spans="1:9">
      <c r="A1612" s="4" t="s">
        <v>3279</v>
      </c>
      <c r="B1612" s="4" t="s">
        <v>3280</v>
      </c>
      <c r="C1612" s="4" t="s">
        <v>37</v>
      </c>
      <c r="D1612" s="2">
        <f>21210935296/(10^6)</f>
        <v>21210.935296</v>
      </c>
      <c r="E1612" s="5">
        <v>7.21724224090576</v>
      </c>
      <c r="F1612" s="5">
        <v>1.56393218040466</v>
      </c>
      <c r="G1612" s="5">
        <v>0.49321261048317</v>
      </c>
      <c r="H1612" s="5">
        <v>14.5678405761719</v>
      </c>
      <c r="I1612" t="s">
        <v>57</v>
      </c>
    </row>
    <row r="1613" spans="1:9">
      <c r="A1613" s="4" t="s">
        <v>3281</v>
      </c>
      <c r="B1613" s="4" t="s">
        <v>3282</v>
      </c>
      <c r="C1613" s="4" t="s">
        <v>43</v>
      </c>
      <c r="D1613" s="2">
        <f>21056880640/(10^6)</f>
        <v>21056.88064</v>
      </c>
      <c r="E1613" s="5">
        <v>4.40520524978638</v>
      </c>
      <c r="F1613" s="5">
        <v>0.335167109966278</v>
      </c>
      <c r="G1613" s="5">
        <v>0.331087976694107</v>
      </c>
      <c r="H1613" s="5" t="s">
        <v>86</v>
      </c>
      <c r="I1613" t="s">
        <v>57</v>
      </c>
    </row>
    <row r="1614" spans="1:9">
      <c r="A1614" s="4" t="s">
        <v>3283</v>
      </c>
      <c r="B1614" s="4" t="s">
        <v>3284</v>
      </c>
      <c r="C1614" s="4" t="s">
        <v>37</v>
      </c>
      <c r="D1614" s="2">
        <f>20974135296/(10^6)</f>
        <v>20974.135296</v>
      </c>
      <c r="E1614" s="5">
        <v>28.6143360137939</v>
      </c>
      <c r="F1614" s="5">
        <v>7.08714818954468</v>
      </c>
      <c r="G1614" s="5">
        <v>1.85811948776245</v>
      </c>
      <c r="H1614" s="5">
        <v>16.3095188140869</v>
      </c>
      <c r="I1614" t="s">
        <v>57</v>
      </c>
    </row>
    <row r="1615" spans="1:9">
      <c r="A1615" s="4" t="s">
        <v>3285</v>
      </c>
      <c r="B1615" s="4" t="s">
        <v>3286</v>
      </c>
      <c r="C1615" s="4" t="s">
        <v>27</v>
      </c>
      <c r="D1615" s="2">
        <f>20953978880/(10^6)</f>
        <v>20953.97888</v>
      </c>
      <c r="E1615" s="5">
        <v>7.65826272964478</v>
      </c>
      <c r="F1615" s="5">
        <v>0.968032002449036</v>
      </c>
      <c r="G1615" s="5">
        <v>1.21834301948547</v>
      </c>
      <c r="H1615" s="5">
        <v>3.13386726379394</v>
      </c>
      <c r="I1615" t="s">
        <v>57</v>
      </c>
    </row>
    <row r="1616" spans="1:9">
      <c r="A1616" s="4" t="s">
        <v>3287</v>
      </c>
      <c r="B1616" s="4" t="s">
        <v>3288</v>
      </c>
      <c r="C1616" s="4" t="s">
        <v>39</v>
      </c>
      <c r="D1616" s="2">
        <f>20871557120/(10^6)</f>
        <v>20871.55712</v>
      </c>
      <c r="E1616" s="5">
        <v>15.7765188217163</v>
      </c>
      <c r="F1616" s="5">
        <v>2.99199652671814</v>
      </c>
      <c r="G1616" s="5">
        <v>1.87138986587524</v>
      </c>
      <c r="H1616" s="5">
        <v>11.0187501907349</v>
      </c>
      <c r="I1616" t="s">
        <v>57</v>
      </c>
    </row>
    <row r="1617" spans="1:9">
      <c r="A1617" s="4" t="s">
        <v>3289</v>
      </c>
      <c r="B1617" s="4" t="s">
        <v>3290</v>
      </c>
      <c r="C1617" s="4" t="s">
        <v>43</v>
      </c>
      <c r="D1617" s="2">
        <f>20837378048/(10^6)</f>
        <v>20837.378048</v>
      </c>
      <c r="E1617" s="5">
        <v>6.88347148895264</v>
      </c>
      <c r="F1617" s="5">
        <v>1.33209407329559</v>
      </c>
      <c r="G1617" s="5">
        <v>1.46591866016388</v>
      </c>
      <c r="H1617" s="5" t="s">
        <v>86</v>
      </c>
      <c r="I1617" t="s">
        <v>57</v>
      </c>
    </row>
    <row r="1618" spans="1:9">
      <c r="A1618" s="4" t="s">
        <v>3291</v>
      </c>
      <c r="B1618" s="4" t="s">
        <v>3292</v>
      </c>
      <c r="C1618" s="4" t="s">
        <v>51</v>
      </c>
      <c r="D1618" s="2">
        <f>20815370240/(10^6)</f>
        <v>20815.37024</v>
      </c>
      <c r="E1618" s="5" t="s">
        <v>86</v>
      </c>
      <c r="F1618" s="5">
        <v>27.8611392974854</v>
      </c>
      <c r="G1618" s="5">
        <v>22.025972366333</v>
      </c>
      <c r="H1618" s="5">
        <v>2137.3779296875</v>
      </c>
      <c r="I1618" t="s">
        <v>57</v>
      </c>
    </row>
    <row r="1619" spans="1:9">
      <c r="A1619" s="4" t="s">
        <v>3293</v>
      </c>
      <c r="B1619" s="4" t="s">
        <v>3294</v>
      </c>
      <c r="C1619" s="4" t="s">
        <v>41</v>
      </c>
      <c r="D1619" s="2">
        <f>20658362368/(10^6)</f>
        <v>20658.362368</v>
      </c>
      <c r="E1619" s="5">
        <v>56.2466354370117</v>
      </c>
      <c r="F1619" s="5">
        <v>3.43212103843689</v>
      </c>
      <c r="G1619" s="5">
        <v>1.88436460494995</v>
      </c>
      <c r="H1619" s="5">
        <v>14.8311986923218</v>
      </c>
      <c r="I1619" t="s">
        <v>57</v>
      </c>
    </row>
    <row r="1620" spans="1:9">
      <c r="A1620" s="4" t="s">
        <v>3295</v>
      </c>
      <c r="B1620" s="4" t="s">
        <v>3296</v>
      </c>
      <c r="C1620" s="4" t="s">
        <v>47</v>
      </c>
      <c r="D1620" s="2">
        <f>20615354368/(10^6)</f>
        <v>20615.354368</v>
      </c>
      <c r="E1620" s="5">
        <v>19.263650894165</v>
      </c>
      <c r="F1620" s="5" t="s">
        <v>86</v>
      </c>
      <c r="G1620" s="5">
        <v>3.7437641620636</v>
      </c>
      <c r="H1620" s="5">
        <v>14.9805335998535</v>
      </c>
      <c r="I1620" t="s">
        <v>57</v>
      </c>
    </row>
    <row r="1621" spans="1:9">
      <c r="A1621" s="4" t="s">
        <v>3297</v>
      </c>
      <c r="B1621" s="4" t="s">
        <v>3298</v>
      </c>
      <c r="C1621" s="4" t="s">
        <v>31</v>
      </c>
      <c r="D1621" s="2">
        <f>20606865408/(10^6)</f>
        <v>20606.865408</v>
      </c>
      <c r="E1621" s="5">
        <v>8.66196823120117</v>
      </c>
      <c r="F1621" s="5">
        <v>2.12251973152161</v>
      </c>
      <c r="G1621" s="5">
        <v>0.806097447872162</v>
      </c>
      <c r="H1621" s="5">
        <v>3.79382801055908</v>
      </c>
      <c r="I1621" t="s">
        <v>57</v>
      </c>
    </row>
    <row r="1622" spans="1:9">
      <c r="A1622" s="4" t="s">
        <v>3299</v>
      </c>
      <c r="B1622" s="4" t="s">
        <v>3300</v>
      </c>
      <c r="C1622" s="4" t="s">
        <v>47</v>
      </c>
      <c r="D1622" s="2">
        <f>20577988608/(10^6)</f>
        <v>20577.988608</v>
      </c>
      <c r="E1622" s="5">
        <v>4.46893310546875</v>
      </c>
      <c r="F1622" s="5">
        <v>0.620099127292633</v>
      </c>
      <c r="G1622" s="5">
        <v>0.132228747010231</v>
      </c>
      <c r="H1622" s="5">
        <v>1.06072616577148</v>
      </c>
      <c r="I1622" t="s">
        <v>57</v>
      </c>
    </row>
    <row r="1623" spans="1:9">
      <c r="A1623" s="4" t="s">
        <v>3301</v>
      </c>
      <c r="B1623" s="4" t="s">
        <v>3302</v>
      </c>
      <c r="C1623" s="4" t="s">
        <v>41</v>
      </c>
      <c r="D1623" s="2">
        <f>20528375808/(10^6)</f>
        <v>20528.375808</v>
      </c>
      <c r="E1623" s="5">
        <v>40.261791229248</v>
      </c>
      <c r="F1623" s="5">
        <v>9.08982467651367</v>
      </c>
      <c r="G1623" s="5">
        <v>7.32489776611328</v>
      </c>
      <c r="H1623" s="5">
        <v>26.466552734375</v>
      </c>
      <c r="I1623" t="s">
        <v>57</v>
      </c>
    </row>
    <row r="1624" spans="1:9">
      <c r="A1624" s="4" t="s">
        <v>3303</v>
      </c>
      <c r="B1624" s="4" t="s">
        <v>3304</v>
      </c>
      <c r="C1624" s="4" t="s">
        <v>35</v>
      </c>
      <c r="D1624" s="2">
        <f>20368392192/(10^6)</f>
        <v>20368.392192</v>
      </c>
      <c r="E1624" s="5">
        <v>17.2718505859375</v>
      </c>
      <c r="F1624" s="5">
        <v>7.39409065246582</v>
      </c>
      <c r="G1624" s="5">
        <v>1.49355185031891</v>
      </c>
      <c r="H1624" s="5">
        <v>14.3743267059326</v>
      </c>
      <c r="I1624" t="s">
        <v>57</v>
      </c>
    </row>
    <row r="1625" spans="1:9">
      <c r="A1625" s="4" t="s">
        <v>3305</v>
      </c>
      <c r="B1625" s="4" t="s">
        <v>3306</v>
      </c>
      <c r="C1625" s="4" t="s">
        <v>41</v>
      </c>
      <c r="D1625" s="2">
        <f>20301039616/(10^6)</f>
        <v>20301.039616</v>
      </c>
      <c r="E1625" s="5">
        <v>10.188606262207</v>
      </c>
      <c r="F1625" s="5">
        <v>3.60364437103271</v>
      </c>
      <c r="G1625" s="5">
        <v>0.103343300521374</v>
      </c>
      <c r="H1625" s="5">
        <v>13.8551082611084</v>
      </c>
      <c r="I1625" t="s">
        <v>57</v>
      </c>
    </row>
    <row r="1626" spans="1:9">
      <c r="A1626" s="4" t="s">
        <v>3307</v>
      </c>
      <c r="B1626" s="4" t="s">
        <v>3308</v>
      </c>
      <c r="C1626" s="4" t="s">
        <v>51</v>
      </c>
      <c r="D1626" s="2">
        <f>20246208512/(10^6)</f>
        <v>20246.208512</v>
      </c>
      <c r="E1626" s="5">
        <v>36.3823738098145</v>
      </c>
      <c r="F1626" s="5" t="s">
        <v>86</v>
      </c>
      <c r="G1626" s="5">
        <v>16.7333354949951</v>
      </c>
      <c r="H1626" s="5">
        <v>24.4292793273926</v>
      </c>
      <c r="I1626" t="s">
        <v>57</v>
      </c>
    </row>
    <row r="1627" spans="1:9">
      <c r="A1627" s="4" t="s">
        <v>3309</v>
      </c>
      <c r="B1627" s="4" t="s">
        <v>3310</v>
      </c>
      <c r="C1627" s="4" t="s">
        <v>33</v>
      </c>
      <c r="D1627" s="2">
        <f>20146782208/(10^6)</f>
        <v>20146.782208</v>
      </c>
      <c r="E1627" s="5">
        <v>110.403663635254</v>
      </c>
      <c r="F1627" s="5">
        <v>1.84170162677765</v>
      </c>
      <c r="G1627" s="5">
        <v>1319.60900878906</v>
      </c>
      <c r="H1627" s="5" t="s">
        <v>86</v>
      </c>
      <c r="I1627" t="s">
        <v>57</v>
      </c>
    </row>
    <row r="1628" spans="1:9">
      <c r="A1628" s="4" t="s">
        <v>3311</v>
      </c>
      <c r="B1628" s="4" t="s">
        <v>3312</v>
      </c>
      <c r="C1628" s="4" t="s">
        <v>33</v>
      </c>
      <c r="D1628" s="2">
        <f>20146782208/(10^6)</f>
        <v>20146.782208</v>
      </c>
      <c r="E1628" s="5">
        <v>110.403663635254</v>
      </c>
      <c r="F1628" s="5">
        <v>1.84170162677765</v>
      </c>
      <c r="G1628" s="5">
        <v>1319.60900878906</v>
      </c>
      <c r="H1628" s="5" t="s">
        <v>86</v>
      </c>
      <c r="I1628" t="s">
        <v>57</v>
      </c>
    </row>
    <row r="1629" spans="1:9">
      <c r="A1629" s="4" t="s">
        <v>3313</v>
      </c>
      <c r="B1629" s="4" t="s">
        <v>3314</v>
      </c>
      <c r="C1629" s="4" t="s">
        <v>33</v>
      </c>
      <c r="D1629" s="2">
        <f>20146782208/(10^6)</f>
        <v>20146.782208</v>
      </c>
      <c r="E1629" s="5">
        <v>110.403663635254</v>
      </c>
      <c r="F1629" s="5">
        <v>1.84170162677765</v>
      </c>
      <c r="G1629" s="5">
        <v>1319.60900878906</v>
      </c>
      <c r="H1629" s="5" t="s">
        <v>86</v>
      </c>
      <c r="I1629" t="s">
        <v>57</v>
      </c>
    </row>
    <row r="1630" spans="1:9">
      <c r="A1630" s="4" t="s">
        <v>3315</v>
      </c>
      <c r="B1630" s="4" t="s">
        <v>3316</v>
      </c>
      <c r="C1630" s="4" t="s">
        <v>39</v>
      </c>
      <c r="D1630" s="2">
        <f>20074323968/(10^6)</f>
        <v>20074.323968</v>
      </c>
      <c r="E1630" s="5">
        <v>11.4417066574097</v>
      </c>
      <c r="F1630" s="5">
        <v>1.50638926029205</v>
      </c>
      <c r="G1630" s="5">
        <v>1.52425742149353</v>
      </c>
      <c r="H1630" s="5">
        <v>11.1665754318237</v>
      </c>
      <c r="I1630" t="s">
        <v>57</v>
      </c>
    </row>
    <row r="1631" spans="1:9">
      <c r="A1631" s="4" t="s">
        <v>3317</v>
      </c>
      <c r="B1631" s="4" t="s">
        <v>3318</v>
      </c>
      <c r="C1631" s="4" t="s">
        <v>37</v>
      </c>
      <c r="D1631" s="2">
        <f>20052391936/(10^6)</f>
        <v>20052.391936</v>
      </c>
      <c r="E1631" s="5">
        <v>13.0768184661865</v>
      </c>
      <c r="F1631" s="5">
        <v>3.7912266254425</v>
      </c>
      <c r="G1631" s="5">
        <v>1.3296434879303</v>
      </c>
      <c r="H1631" s="5">
        <v>9.27028560638428</v>
      </c>
      <c r="I1631" t="s">
        <v>57</v>
      </c>
    </row>
    <row r="1632" spans="1:9">
      <c r="A1632" s="4" t="s">
        <v>3319</v>
      </c>
      <c r="B1632" s="4" t="s">
        <v>3320</v>
      </c>
      <c r="C1632" s="4" t="s">
        <v>47</v>
      </c>
      <c r="D1632" s="2">
        <f>19887630336/(10^6)</f>
        <v>19887.630336</v>
      </c>
      <c r="E1632" s="5">
        <v>13.3836402893066</v>
      </c>
      <c r="F1632" s="5" t="s">
        <v>86</v>
      </c>
      <c r="G1632" s="5">
        <v>1.70655512809753</v>
      </c>
      <c r="H1632" s="5">
        <v>10.1026067733765</v>
      </c>
      <c r="I1632" t="s">
        <v>57</v>
      </c>
    </row>
    <row r="1633" spans="1:9">
      <c r="A1633" s="4" t="s">
        <v>3321</v>
      </c>
      <c r="B1633" s="4" t="s">
        <v>3322</v>
      </c>
      <c r="C1633" s="4" t="s">
        <v>31</v>
      </c>
      <c r="D1633" s="2">
        <f>19819384832/(10^6)</f>
        <v>19819.384832</v>
      </c>
      <c r="E1633" s="5">
        <v>12.1743459701538</v>
      </c>
      <c r="F1633" s="5">
        <v>1.02530705928802</v>
      </c>
      <c r="G1633" s="5">
        <v>0.893614172935486</v>
      </c>
      <c r="H1633" s="5">
        <v>11.6256561279297</v>
      </c>
      <c r="I1633" t="s">
        <v>57</v>
      </c>
    </row>
    <row r="1634" spans="1:9">
      <c r="A1634" s="4" t="s">
        <v>3323</v>
      </c>
      <c r="B1634" s="4" t="s">
        <v>3324</v>
      </c>
      <c r="C1634" s="4" t="s">
        <v>31</v>
      </c>
      <c r="D1634" s="2">
        <f>19784505344/(10^6)</f>
        <v>19784.505344</v>
      </c>
      <c r="E1634" s="5">
        <v>8.92289352416992</v>
      </c>
      <c r="F1634" s="5">
        <v>2.63600611686706</v>
      </c>
      <c r="G1634" s="5">
        <v>0.868851125240326</v>
      </c>
      <c r="H1634" s="5">
        <v>6.18449878692627</v>
      </c>
      <c r="I1634" t="s">
        <v>57</v>
      </c>
    </row>
    <row r="1635" spans="1:9">
      <c r="A1635" s="4" t="s">
        <v>3325</v>
      </c>
      <c r="B1635" s="4" t="s">
        <v>3326</v>
      </c>
      <c r="C1635" s="4" t="s">
        <v>33</v>
      </c>
      <c r="D1635" s="2">
        <f>19784040448/(10^6)</f>
        <v>19784.040448</v>
      </c>
      <c r="E1635" s="5">
        <v>51.9294395446777</v>
      </c>
      <c r="F1635" s="5">
        <v>2.26513004302979</v>
      </c>
      <c r="G1635" s="5">
        <v>5.6367449760437</v>
      </c>
      <c r="H1635" s="5">
        <v>16.7214508056641</v>
      </c>
      <c r="I1635" t="s">
        <v>57</v>
      </c>
    </row>
    <row r="1636" spans="1:9">
      <c r="A1636" s="4" t="s">
        <v>3327</v>
      </c>
      <c r="B1636" s="4" t="s">
        <v>3328</v>
      </c>
      <c r="C1636" s="4" t="s">
        <v>41</v>
      </c>
      <c r="D1636" s="2">
        <f>19775143936/(10^6)</f>
        <v>19775.143936</v>
      </c>
      <c r="E1636" s="5">
        <v>47.4897537231445</v>
      </c>
      <c r="F1636" s="5">
        <v>111.610801696777</v>
      </c>
      <c r="G1636" s="5">
        <v>8.29166126251221</v>
      </c>
      <c r="H1636" s="5">
        <v>31.2275333404541</v>
      </c>
      <c r="I1636" t="s">
        <v>57</v>
      </c>
    </row>
    <row r="1637" spans="1:9">
      <c r="A1637" s="4" t="s">
        <v>3329</v>
      </c>
      <c r="B1637" s="4" t="s">
        <v>3330</v>
      </c>
      <c r="C1637" s="4" t="s">
        <v>41</v>
      </c>
      <c r="D1637" s="2">
        <f>19595962368/(10^6)</f>
        <v>19595.962368</v>
      </c>
      <c r="E1637" s="5">
        <v>16.9487953186035</v>
      </c>
      <c r="F1637" s="5">
        <v>1.57874405384064</v>
      </c>
      <c r="G1637" s="5">
        <v>2.43926739692688</v>
      </c>
      <c r="H1637" s="5">
        <v>12.3823490142822</v>
      </c>
      <c r="I1637" t="s">
        <v>57</v>
      </c>
    </row>
    <row r="1638" spans="1:9">
      <c r="A1638" s="4" t="s">
        <v>3331</v>
      </c>
      <c r="B1638" s="4" t="s">
        <v>3332</v>
      </c>
      <c r="C1638" s="4" t="s">
        <v>39</v>
      </c>
      <c r="D1638" s="2">
        <f>19517822976/(10^6)</f>
        <v>19517.822976</v>
      </c>
      <c r="E1638" s="5">
        <v>10.3785514831543</v>
      </c>
      <c r="F1638" s="5">
        <v>1.50127482414246</v>
      </c>
      <c r="G1638" s="5">
        <v>2.3829607963562</v>
      </c>
      <c r="H1638" s="5">
        <v>10.0772504806519</v>
      </c>
      <c r="I1638" t="s">
        <v>57</v>
      </c>
    </row>
    <row r="1639" spans="1:9">
      <c r="A1639" s="4" t="s">
        <v>3333</v>
      </c>
      <c r="B1639" s="4" t="s">
        <v>3334</v>
      </c>
      <c r="C1639" s="4" t="s">
        <v>31</v>
      </c>
      <c r="D1639" s="2">
        <f>19489165312/(10^6)</f>
        <v>19489.165312</v>
      </c>
      <c r="E1639" s="5">
        <v>27.7480773925781</v>
      </c>
      <c r="F1639" s="5" t="s">
        <v>86</v>
      </c>
      <c r="G1639" s="5">
        <v>3.50242257118225</v>
      </c>
      <c r="H1639" s="5">
        <v>14.0363864898682</v>
      </c>
      <c r="I1639" t="s">
        <v>57</v>
      </c>
    </row>
    <row r="1640" spans="1:9">
      <c r="A1640" s="4" t="s">
        <v>3335</v>
      </c>
      <c r="B1640" s="4" t="s">
        <v>3336</v>
      </c>
      <c r="C1640" s="4" t="s">
        <v>51</v>
      </c>
      <c r="D1640" s="2">
        <f>19458744320/(10^6)</f>
        <v>19458.74432</v>
      </c>
      <c r="E1640" s="5" t="s">
        <v>86</v>
      </c>
      <c r="F1640" s="5">
        <v>9.8455982208252</v>
      </c>
      <c r="G1640" s="5">
        <v>8.06409072875977</v>
      </c>
      <c r="H1640" s="5" t="s">
        <v>86</v>
      </c>
      <c r="I1640" t="s">
        <v>57</v>
      </c>
    </row>
    <row r="1641" spans="1:9">
      <c r="A1641" s="4" t="s">
        <v>3337</v>
      </c>
      <c r="B1641" s="4" t="s">
        <v>3338</v>
      </c>
      <c r="C1641" s="4" t="s">
        <v>39</v>
      </c>
      <c r="D1641" s="2">
        <f>19441399808/(10^6)</f>
        <v>19441.399808</v>
      </c>
      <c r="E1641" s="5">
        <v>8.53730010986328</v>
      </c>
      <c r="F1641" s="5">
        <v>1.89610314369202</v>
      </c>
      <c r="G1641" s="5">
        <v>1.74656438827515</v>
      </c>
      <c r="H1641" s="5">
        <v>10.8141937255859</v>
      </c>
      <c r="I1641" t="s">
        <v>57</v>
      </c>
    </row>
    <row r="1642" spans="1:9">
      <c r="A1642" s="4" t="s">
        <v>3339</v>
      </c>
      <c r="B1642" s="4" t="s">
        <v>3340</v>
      </c>
      <c r="C1642" s="4" t="s">
        <v>47</v>
      </c>
      <c r="D1642" s="2">
        <f>19185510400/(10^6)</f>
        <v>19185.5104</v>
      </c>
      <c r="E1642" s="5">
        <v>21.6787948608398</v>
      </c>
      <c r="F1642" s="5" t="s">
        <v>86</v>
      </c>
      <c r="G1642" s="5">
        <v>2.10043096542358</v>
      </c>
      <c r="H1642" s="5">
        <v>13.0719661712646</v>
      </c>
      <c r="I1642" t="s">
        <v>57</v>
      </c>
    </row>
    <row r="1643" spans="1:9">
      <c r="A1643" s="4" t="s">
        <v>3341</v>
      </c>
      <c r="B1643" s="4" t="s">
        <v>3342</v>
      </c>
      <c r="C1643" s="4" t="s">
        <v>51</v>
      </c>
      <c r="D1643" s="2">
        <f>19160625152/(10^6)</f>
        <v>19160.625152</v>
      </c>
      <c r="E1643" s="5">
        <v>41.339111328125</v>
      </c>
      <c r="F1643" s="5">
        <v>5.53674793243408</v>
      </c>
      <c r="G1643" s="5">
        <v>12.4090099334717</v>
      </c>
      <c r="H1643" s="5">
        <v>31.5965061187744</v>
      </c>
      <c r="I1643" t="s">
        <v>57</v>
      </c>
    </row>
    <row r="1644" spans="1:9">
      <c r="A1644" s="4" t="s">
        <v>3343</v>
      </c>
      <c r="B1644" s="4" t="s">
        <v>3344</v>
      </c>
      <c r="C1644" s="4" t="s">
        <v>27</v>
      </c>
      <c r="D1644" s="2">
        <f>19101116416/(10^6)</f>
        <v>19101.116416</v>
      </c>
      <c r="E1644" s="5">
        <v>9.35444164276123</v>
      </c>
      <c r="F1644" s="5">
        <v>0.802087545394897</v>
      </c>
      <c r="G1644" s="5">
        <v>0.578749597072601</v>
      </c>
      <c r="H1644" s="5" t="s">
        <v>86</v>
      </c>
      <c r="I1644" t="s">
        <v>57</v>
      </c>
    </row>
    <row r="1645" spans="1:9">
      <c r="A1645" s="4" t="s">
        <v>3345</v>
      </c>
      <c r="B1645" s="4" t="s">
        <v>3346</v>
      </c>
      <c r="C1645" s="4" t="s">
        <v>31</v>
      </c>
      <c r="D1645" s="2">
        <f>18914777088/(10^6)</f>
        <v>18914.777088</v>
      </c>
      <c r="E1645" s="5">
        <v>4.12303256988525</v>
      </c>
      <c r="F1645" s="5">
        <v>1.2367433309555</v>
      </c>
      <c r="G1645" s="5">
        <v>0.408747583627701</v>
      </c>
      <c r="H1645" s="5">
        <v>3.61862993240356</v>
      </c>
      <c r="I1645" t="s">
        <v>57</v>
      </c>
    </row>
    <row r="1646" spans="1:9">
      <c r="A1646" s="4" t="s">
        <v>3347</v>
      </c>
      <c r="B1646" s="4" t="s">
        <v>3348</v>
      </c>
      <c r="C1646" s="4" t="s">
        <v>31</v>
      </c>
      <c r="D1646" s="2">
        <f>18888105984/(10^6)</f>
        <v>18888.105984</v>
      </c>
      <c r="E1646" s="5">
        <v>20.5400657653809</v>
      </c>
      <c r="F1646" s="5">
        <v>5.68181419372559</v>
      </c>
      <c r="G1646" s="5">
        <v>2.6059045791626</v>
      </c>
      <c r="H1646" s="5">
        <v>12.8291721343994</v>
      </c>
      <c r="I1646" t="s">
        <v>57</v>
      </c>
    </row>
    <row r="1647" spans="1:9">
      <c r="A1647" s="4" t="s">
        <v>3349</v>
      </c>
      <c r="B1647" s="4" t="s">
        <v>3350</v>
      </c>
      <c r="C1647" s="4" t="s">
        <v>41</v>
      </c>
      <c r="D1647" s="2">
        <f>18822811648/(10^6)</f>
        <v>18822.811648</v>
      </c>
      <c r="E1647" s="5" t="s">
        <v>86</v>
      </c>
      <c r="F1647" s="5">
        <v>10.0164642333984</v>
      </c>
      <c r="G1647" s="5">
        <v>19.7766056060791</v>
      </c>
      <c r="H1647" s="5" t="s">
        <v>86</v>
      </c>
      <c r="I1647" t="s">
        <v>57</v>
      </c>
    </row>
    <row r="1648" spans="1:9">
      <c r="A1648" s="4" t="s">
        <v>3351</v>
      </c>
      <c r="B1648" s="4" t="s">
        <v>3352</v>
      </c>
      <c r="C1648" s="4" t="s">
        <v>31</v>
      </c>
      <c r="D1648" s="2">
        <f>18819211264/(10^6)</f>
        <v>18819.211264</v>
      </c>
      <c r="E1648" s="5">
        <v>8.6616735458374</v>
      </c>
      <c r="F1648" s="5">
        <v>1.92062246799469</v>
      </c>
      <c r="G1648" s="5">
        <v>0.871603608131409</v>
      </c>
      <c r="H1648" s="5">
        <v>4.30878400802612</v>
      </c>
      <c r="I1648" t="s">
        <v>57</v>
      </c>
    </row>
    <row r="1649" spans="1:9">
      <c r="A1649" s="4" t="s">
        <v>3353</v>
      </c>
      <c r="B1649" s="4" t="s">
        <v>3354</v>
      </c>
      <c r="C1649" s="4" t="s">
        <v>39</v>
      </c>
      <c r="D1649" s="2">
        <f>18736007168/(10^6)</f>
        <v>18736.007168</v>
      </c>
      <c r="E1649" s="5">
        <v>15.4978771209717</v>
      </c>
      <c r="F1649" s="5">
        <v>1.60607421398163</v>
      </c>
      <c r="G1649" s="5">
        <v>1.42141962051392</v>
      </c>
      <c r="H1649" s="5">
        <v>11.8583545684814</v>
      </c>
      <c r="I1649" t="s">
        <v>57</v>
      </c>
    </row>
    <row r="1650" spans="1:9">
      <c r="A1650" s="4" t="s">
        <v>3355</v>
      </c>
      <c r="B1650" s="4" t="s">
        <v>3356</v>
      </c>
      <c r="C1650" s="4" t="s">
        <v>41</v>
      </c>
      <c r="D1650" s="2">
        <f>18719379456/(10^6)</f>
        <v>18719.379456</v>
      </c>
      <c r="E1650" s="5">
        <v>26.9455604553223</v>
      </c>
      <c r="F1650" s="5">
        <v>4.32160425186157</v>
      </c>
      <c r="G1650" s="5">
        <v>3.35566258430481</v>
      </c>
      <c r="H1650" s="5">
        <v>14.5968856811523</v>
      </c>
      <c r="I1650" t="s">
        <v>57</v>
      </c>
    </row>
    <row r="1651" spans="1:9">
      <c r="A1651" s="4" t="s">
        <v>3357</v>
      </c>
      <c r="B1651" s="4" t="s">
        <v>3358</v>
      </c>
      <c r="C1651" s="4" t="s">
        <v>51</v>
      </c>
      <c r="D1651" s="2">
        <f>18717487104/(10^6)</f>
        <v>18717.487104</v>
      </c>
      <c r="E1651" s="5">
        <v>21.9310722351074</v>
      </c>
      <c r="F1651" s="5">
        <v>7.08679294586182</v>
      </c>
      <c r="G1651" s="5">
        <v>5.87322568893433</v>
      </c>
      <c r="H1651" s="5">
        <v>17.3761558532715</v>
      </c>
      <c r="I1651" t="s">
        <v>57</v>
      </c>
    </row>
    <row r="1652" spans="1:9">
      <c r="A1652" s="4" t="s">
        <v>3359</v>
      </c>
      <c r="B1652" s="4" t="s">
        <v>3360</v>
      </c>
      <c r="C1652" s="4" t="s">
        <v>51</v>
      </c>
      <c r="D1652" s="2">
        <f>18685251584/(10^6)</f>
        <v>18685.251584</v>
      </c>
      <c r="E1652" s="5">
        <v>35.5072975158691</v>
      </c>
      <c r="F1652" s="5">
        <v>4.50298929214478</v>
      </c>
      <c r="G1652" s="5">
        <v>5.53266954421997</v>
      </c>
      <c r="H1652" s="5">
        <v>25.154806137085</v>
      </c>
      <c r="I1652" t="s">
        <v>57</v>
      </c>
    </row>
    <row r="1653" spans="1:9">
      <c r="A1653" s="4" t="s">
        <v>3361</v>
      </c>
      <c r="B1653" s="4" t="s">
        <v>3362</v>
      </c>
      <c r="C1653" s="4" t="s">
        <v>35</v>
      </c>
      <c r="D1653" s="2">
        <f>18666461184/(10^6)</f>
        <v>18666.461184</v>
      </c>
      <c r="E1653" s="5">
        <v>10.4960689544678</v>
      </c>
      <c r="F1653" s="5">
        <v>0.971444129943848</v>
      </c>
      <c r="G1653" s="5">
        <v>0.292076200246811</v>
      </c>
      <c r="H1653" s="5">
        <v>10.6019325256348</v>
      </c>
      <c r="I1653" t="s">
        <v>57</v>
      </c>
    </row>
    <row r="1654" spans="1:9">
      <c r="A1654" s="4" t="s">
        <v>3363</v>
      </c>
      <c r="B1654" s="4" t="s">
        <v>3364</v>
      </c>
      <c r="C1654" s="4" t="s">
        <v>43</v>
      </c>
      <c r="D1654" s="2">
        <f>18657726464/(10^6)</f>
        <v>18657.726464</v>
      </c>
      <c r="E1654" s="5">
        <v>9.84750747680664</v>
      </c>
      <c r="F1654" s="5">
        <v>2.13443565368652</v>
      </c>
      <c r="G1654" s="5">
        <v>3.27831673622131</v>
      </c>
      <c r="H1654" s="5">
        <v>7.21999549865723</v>
      </c>
      <c r="I1654" t="s">
        <v>57</v>
      </c>
    </row>
    <row r="1655" spans="1:9">
      <c r="A1655" s="4" t="s">
        <v>3365</v>
      </c>
      <c r="B1655" s="4" t="s">
        <v>3366</v>
      </c>
      <c r="C1655" s="4" t="s">
        <v>41</v>
      </c>
      <c r="D1655" s="2">
        <f>18599886848/(10^6)</f>
        <v>18599.886848</v>
      </c>
      <c r="E1655" s="5">
        <v>9.02461051940918</v>
      </c>
      <c r="F1655" s="5">
        <v>1.64937388896942</v>
      </c>
      <c r="G1655" s="5">
        <v>3.75471568107605</v>
      </c>
      <c r="H1655" s="5">
        <v>7.35259199142456</v>
      </c>
      <c r="I1655" t="s">
        <v>57</v>
      </c>
    </row>
    <row r="1656" spans="1:9">
      <c r="A1656" s="4" t="s">
        <v>3367</v>
      </c>
      <c r="B1656" s="4" t="s">
        <v>3368</v>
      </c>
      <c r="C1656" s="4" t="s">
        <v>27</v>
      </c>
      <c r="D1656" s="2">
        <f>18400905216/(10^6)</f>
        <v>18400.905216</v>
      </c>
      <c r="E1656" s="5">
        <v>7.60439729690552</v>
      </c>
      <c r="F1656" s="5">
        <v>0.845503151416779</v>
      </c>
      <c r="G1656" s="5">
        <v>0.181032940745354</v>
      </c>
      <c r="H1656" s="5">
        <v>4.23275470733643</v>
      </c>
      <c r="I1656" t="s">
        <v>57</v>
      </c>
    </row>
    <row r="1657" spans="1:9">
      <c r="A1657" s="4" t="s">
        <v>3369</v>
      </c>
      <c r="B1657" s="4" t="s">
        <v>3370</v>
      </c>
      <c r="C1657" s="4" t="s">
        <v>39</v>
      </c>
      <c r="D1657" s="2">
        <f>18265251840/(10^6)</f>
        <v>18265.25184</v>
      </c>
      <c r="E1657" s="5">
        <v>22.1611938476562</v>
      </c>
      <c r="F1657" s="5">
        <v>2.26800918579102</v>
      </c>
      <c r="G1657" s="5">
        <v>3.08502006530762</v>
      </c>
      <c r="H1657" s="5">
        <v>12.0205497741699</v>
      </c>
      <c r="I1657" t="s">
        <v>57</v>
      </c>
    </row>
    <row r="1658" spans="1:9">
      <c r="A1658" s="4" t="s">
        <v>3371</v>
      </c>
      <c r="B1658" s="4" t="s">
        <v>3372</v>
      </c>
      <c r="C1658" s="4" t="s">
        <v>47</v>
      </c>
      <c r="D1658" s="2">
        <f>18246275072/(10^6)</f>
        <v>18246.275072</v>
      </c>
      <c r="E1658" s="5">
        <v>16.1375122070312</v>
      </c>
      <c r="F1658" s="5">
        <v>2.91612577438354</v>
      </c>
      <c r="G1658" s="5">
        <v>0.774185240268707</v>
      </c>
      <c r="H1658" s="5">
        <v>8.09138488769531</v>
      </c>
      <c r="I1658" t="s">
        <v>57</v>
      </c>
    </row>
    <row r="1659" spans="1:9">
      <c r="A1659" s="4" t="s">
        <v>3373</v>
      </c>
      <c r="B1659" s="4" t="s">
        <v>3374</v>
      </c>
      <c r="C1659" s="4" t="s">
        <v>31</v>
      </c>
      <c r="D1659" s="2">
        <f>17829259264/(10^6)</f>
        <v>17829.259264</v>
      </c>
      <c r="E1659" s="5">
        <v>22.5953674316406</v>
      </c>
      <c r="F1659" s="5">
        <v>6.68553447723389</v>
      </c>
      <c r="G1659" s="5">
        <v>3.33592820167542</v>
      </c>
      <c r="H1659" s="5">
        <v>13.7812213897705</v>
      </c>
      <c r="I1659" t="s">
        <v>57</v>
      </c>
    </row>
    <row r="1660" spans="1:9">
      <c r="A1660" s="4" t="s">
        <v>3375</v>
      </c>
      <c r="B1660" s="4" t="s">
        <v>3376</v>
      </c>
      <c r="C1660" s="4" t="s">
        <v>33</v>
      </c>
      <c r="D1660" s="2">
        <f>17666437120/(10^6)</f>
        <v>17666.43712</v>
      </c>
      <c r="E1660" s="5">
        <v>34.5193367004395</v>
      </c>
      <c r="F1660" s="5">
        <v>54.8548011779785</v>
      </c>
      <c r="G1660" s="5">
        <v>8.54455947875977</v>
      </c>
      <c r="H1660" s="5">
        <v>26.6765003204346</v>
      </c>
      <c r="I1660" t="s">
        <v>57</v>
      </c>
    </row>
    <row r="1661" spans="1:9">
      <c r="A1661" s="4" t="s">
        <v>3377</v>
      </c>
      <c r="B1661" s="4" t="s">
        <v>3378</v>
      </c>
      <c r="C1661" s="4" t="s">
        <v>47</v>
      </c>
      <c r="D1661" s="2">
        <f>17633490944/(10^6)</f>
        <v>17633.490944</v>
      </c>
      <c r="E1661" s="5">
        <v>43.2117042541504</v>
      </c>
      <c r="F1661" s="5">
        <v>10.4723625183105</v>
      </c>
      <c r="G1661" s="5">
        <v>3.15343236923218</v>
      </c>
      <c r="H1661" s="5">
        <v>20.3799438476562</v>
      </c>
      <c r="I1661" t="s">
        <v>57</v>
      </c>
    </row>
    <row r="1662" spans="1:9">
      <c r="A1662" s="4" t="s">
        <v>3379</v>
      </c>
      <c r="B1662" s="4" t="s">
        <v>3380</v>
      </c>
      <c r="C1662" s="4" t="s">
        <v>31</v>
      </c>
      <c r="D1662" s="2">
        <f>17597175808/(10^6)</f>
        <v>17597.175808</v>
      </c>
      <c r="E1662" s="5">
        <v>17.814905166626</v>
      </c>
      <c r="F1662" s="5">
        <v>24.5462379455566</v>
      </c>
      <c r="G1662" s="5">
        <v>2.63665413856506</v>
      </c>
      <c r="H1662" s="5">
        <v>12.5104141235352</v>
      </c>
      <c r="I1662" t="s">
        <v>57</v>
      </c>
    </row>
    <row r="1663" spans="1:9">
      <c r="A1663" s="4" t="s">
        <v>3381</v>
      </c>
      <c r="B1663" s="4" t="s">
        <v>3382</v>
      </c>
      <c r="C1663" s="4" t="s">
        <v>35</v>
      </c>
      <c r="D1663" s="2">
        <f>17586022400/(10^6)</f>
        <v>17586.0224</v>
      </c>
      <c r="E1663" s="5">
        <v>24.5373191833496</v>
      </c>
      <c r="F1663" s="5">
        <v>5.10462236404419</v>
      </c>
      <c r="G1663" s="5">
        <v>3.28027844429016</v>
      </c>
      <c r="H1663" s="5">
        <v>19.4960346221924</v>
      </c>
      <c r="I1663" t="s">
        <v>57</v>
      </c>
    </row>
    <row r="1664" spans="1:9">
      <c r="A1664" s="4" t="s">
        <v>3383</v>
      </c>
      <c r="B1664" s="4" t="s">
        <v>3384</v>
      </c>
      <c r="C1664" s="4" t="s">
        <v>35</v>
      </c>
      <c r="D1664" s="2">
        <f>17586022400/(10^6)</f>
        <v>17586.0224</v>
      </c>
      <c r="E1664" s="5">
        <v>24.5373191833496</v>
      </c>
      <c r="F1664" s="5">
        <v>5.10462236404419</v>
      </c>
      <c r="G1664" s="5">
        <v>3.28027844429016</v>
      </c>
      <c r="H1664" s="5">
        <v>19.4960346221924</v>
      </c>
      <c r="I1664" t="s">
        <v>57</v>
      </c>
    </row>
    <row r="1665" spans="1:9">
      <c r="A1665" s="4" t="s">
        <v>3385</v>
      </c>
      <c r="B1665" s="4" t="s">
        <v>3386</v>
      </c>
      <c r="C1665" s="4" t="s">
        <v>51</v>
      </c>
      <c r="D1665" s="2">
        <f>17490294784/(10^6)</f>
        <v>17490.294784</v>
      </c>
      <c r="E1665" s="5">
        <v>40.8267059326172</v>
      </c>
      <c r="F1665" s="5">
        <v>8.2882776260376</v>
      </c>
      <c r="G1665" s="5">
        <v>7.28271198272705</v>
      </c>
      <c r="H1665" s="5">
        <v>26.5541400909424</v>
      </c>
      <c r="I1665" t="s">
        <v>57</v>
      </c>
    </row>
    <row r="1666" spans="1:9">
      <c r="A1666" s="4" t="s">
        <v>3387</v>
      </c>
      <c r="B1666" s="4" t="s">
        <v>3388</v>
      </c>
      <c r="C1666" s="4" t="s">
        <v>37</v>
      </c>
      <c r="D1666" s="2">
        <f>17390866432/(10^6)</f>
        <v>17390.866432</v>
      </c>
      <c r="E1666" s="5">
        <v>20.9592475891113</v>
      </c>
      <c r="F1666" s="5">
        <v>0.714734077453613</v>
      </c>
      <c r="G1666" s="5">
        <v>1.25513255596161</v>
      </c>
      <c r="H1666" s="5" t="s">
        <v>86</v>
      </c>
      <c r="I1666" t="s">
        <v>57</v>
      </c>
    </row>
    <row r="1667" spans="1:9">
      <c r="A1667" s="4" t="s">
        <v>3389</v>
      </c>
      <c r="B1667" s="4" t="s">
        <v>3390</v>
      </c>
      <c r="C1667" s="4" t="s">
        <v>33</v>
      </c>
      <c r="D1667" s="2">
        <f>17297928192/(10^6)</f>
        <v>17297.928192</v>
      </c>
      <c r="E1667" s="5" t="s">
        <v>86</v>
      </c>
      <c r="F1667" s="5">
        <v>7.63055562973022</v>
      </c>
      <c r="G1667" s="5">
        <v>9.8071346282959</v>
      </c>
      <c r="H1667" s="5" t="s">
        <v>86</v>
      </c>
      <c r="I1667" t="s">
        <v>57</v>
      </c>
    </row>
    <row r="1668" spans="1:9">
      <c r="A1668" s="4" t="s">
        <v>3391</v>
      </c>
      <c r="B1668" s="4" t="s">
        <v>3392</v>
      </c>
      <c r="C1668" s="4" t="s">
        <v>43</v>
      </c>
      <c r="D1668" s="2">
        <f>17242302464/(10^6)</f>
        <v>17242.302464</v>
      </c>
      <c r="E1668" s="5">
        <v>8.40585231781006</v>
      </c>
      <c r="F1668" s="5">
        <v>0.84089595079422</v>
      </c>
      <c r="G1668" s="5">
        <v>1.37030136585236</v>
      </c>
      <c r="H1668" s="5" t="s">
        <v>86</v>
      </c>
      <c r="I1668" t="s">
        <v>57</v>
      </c>
    </row>
    <row r="1669" spans="1:9">
      <c r="A1669" s="4" t="s">
        <v>3393</v>
      </c>
      <c r="B1669" s="4" t="s">
        <v>3394</v>
      </c>
      <c r="C1669" s="4" t="s">
        <v>43</v>
      </c>
      <c r="D1669" s="2">
        <f>17206773760/(10^6)</f>
        <v>17206.77376</v>
      </c>
      <c r="E1669" s="5">
        <v>19.8181819915771</v>
      </c>
      <c r="F1669" s="5">
        <v>2.18938970565796</v>
      </c>
      <c r="G1669" s="5">
        <v>1.22001838684082</v>
      </c>
      <c r="H1669" s="5">
        <v>11.2725076675415</v>
      </c>
      <c r="I1669" t="s">
        <v>57</v>
      </c>
    </row>
    <row r="1670" spans="1:9">
      <c r="A1670" s="4" t="s">
        <v>3395</v>
      </c>
      <c r="B1670" s="4" t="s">
        <v>3396</v>
      </c>
      <c r="C1670" s="4" t="s">
        <v>51</v>
      </c>
      <c r="D1670" s="2">
        <f>17135037440/(10^6)</f>
        <v>17135.03744</v>
      </c>
      <c r="E1670" s="5">
        <v>29.1875495910645</v>
      </c>
      <c r="F1670" s="5">
        <v>21.7447032928467</v>
      </c>
      <c r="G1670" s="5">
        <v>6.08627700805664</v>
      </c>
      <c r="H1670" s="5">
        <v>22.5012226104736</v>
      </c>
      <c r="I1670" t="s">
        <v>57</v>
      </c>
    </row>
    <row r="1671" spans="1:9">
      <c r="A1671" s="4" t="s">
        <v>3397</v>
      </c>
      <c r="B1671" s="4" t="s">
        <v>3398</v>
      </c>
      <c r="C1671" s="4" t="s">
        <v>27</v>
      </c>
      <c r="D1671" s="2">
        <f>16874548224/(10^6)</f>
        <v>16874.548224</v>
      </c>
      <c r="E1671" s="5">
        <v>11.0343141555786</v>
      </c>
      <c r="F1671" s="5">
        <v>1.26492488384247</v>
      </c>
      <c r="G1671" s="5">
        <v>2.05577397346497</v>
      </c>
      <c r="H1671" s="5">
        <v>11.4670696258545</v>
      </c>
      <c r="I1671" t="s">
        <v>57</v>
      </c>
    </row>
    <row r="1672" spans="1:9">
      <c r="A1672" s="4" t="s">
        <v>3399</v>
      </c>
      <c r="B1672" s="4" t="s">
        <v>3400</v>
      </c>
      <c r="C1672" s="4" t="s">
        <v>41</v>
      </c>
      <c r="D1672" s="2">
        <f>16837827584/(10^6)</f>
        <v>16837.827584</v>
      </c>
      <c r="E1672" s="5">
        <v>12.1413869857788</v>
      </c>
      <c r="F1672" s="5">
        <v>5.69565868377686</v>
      </c>
      <c r="G1672" s="5">
        <v>0.093690142035484</v>
      </c>
      <c r="H1672" s="5">
        <v>13.1701669692993</v>
      </c>
      <c r="I1672" t="s">
        <v>57</v>
      </c>
    </row>
    <row r="1673" spans="1:9">
      <c r="A1673" s="4" t="s">
        <v>3401</v>
      </c>
      <c r="B1673" s="4" t="s">
        <v>3402</v>
      </c>
      <c r="C1673" s="4" t="s">
        <v>51</v>
      </c>
      <c r="D1673" s="2">
        <f>16782231552/(10^6)</f>
        <v>16782.231552</v>
      </c>
      <c r="E1673" s="5">
        <v>53.6088104248047</v>
      </c>
      <c r="F1673" s="5">
        <v>12.6355829238892</v>
      </c>
      <c r="G1673" s="5">
        <v>7.71789026260376</v>
      </c>
      <c r="H1673" s="5">
        <v>35.057544708252</v>
      </c>
      <c r="I1673" t="s">
        <v>57</v>
      </c>
    </row>
    <row r="1674" spans="1:9">
      <c r="A1674" s="4" t="s">
        <v>3403</v>
      </c>
      <c r="B1674" s="4" t="s">
        <v>3404</v>
      </c>
      <c r="C1674" s="4" t="s">
        <v>51</v>
      </c>
      <c r="D1674" s="2">
        <f>16759472128/(10^6)</f>
        <v>16759.472128</v>
      </c>
      <c r="E1674" s="5">
        <v>20.9805889129639</v>
      </c>
      <c r="F1674" s="5">
        <v>4.51081800460815</v>
      </c>
      <c r="G1674" s="5">
        <v>6.39911603927612</v>
      </c>
      <c r="H1674" s="5">
        <v>13.5134153366089</v>
      </c>
      <c r="I1674" t="s">
        <v>57</v>
      </c>
    </row>
    <row r="1675" spans="1:9">
      <c r="A1675" s="4" t="s">
        <v>3405</v>
      </c>
      <c r="B1675" s="4" t="s">
        <v>3406</v>
      </c>
      <c r="C1675" s="4" t="s">
        <v>31</v>
      </c>
      <c r="D1675" s="2">
        <f>16703017984/(10^6)</f>
        <v>16703.017984</v>
      </c>
      <c r="E1675" s="5">
        <v>18.1204452514648</v>
      </c>
      <c r="F1675" s="5">
        <v>2.25834584236145</v>
      </c>
      <c r="G1675" s="5">
        <v>2.27790665626526</v>
      </c>
      <c r="H1675" s="5">
        <v>14.6019458770752</v>
      </c>
      <c r="I1675" t="s">
        <v>57</v>
      </c>
    </row>
    <row r="1676" spans="1:9">
      <c r="A1676" s="4" t="s">
        <v>3407</v>
      </c>
      <c r="B1676" s="4" t="s">
        <v>3408</v>
      </c>
      <c r="C1676" s="4" t="s">
        <v>39</v>
      </c>
      <c r="D1676" s="2">
        <f>16549432320/(10^6)</f>
        <v>16549.43232</v>
      </c>
      <c r="E1676" s="5">
        <v>23.4083023071289</v>
      </c>
      <c r="F1676" s="5">
        <v>3.2944393157959</v>
      </c>
      <c r="G1676" s="5">
        <v>2.40677213668823</v>
      </c>
      <c r="H1676" s="5">
        <v>13.2571067810059</v>
      </c>
      <c r="I1676" t="s">
        <v>57</v>
      </c>
    </row>
    <row r="1677" spans="1:9">
      <c r="A1677" s="4" t="s">
        <v>3409</v>
      </c>
      <c r="B1677" s="4" t="s">
        <v>3410</v>
      </c>
      <c r="C1677" s="4" t="s">
        <v>37</v>
      </c>
      <c r="D1677" s="2">
        <f>16477611008/(10^6)</f>
        <v>16477.611008</v>
      </c>
      <c r="E1677" s="5">
        <v>5.14834213256836</v>
      </c>
      <c r="F1677" s="5">
        <v>2.04795598983765</v>
      </c>
      <c r="G1677" s="5">
        <v>0.501929700374603</v>
      </c>
      <c r="H1677" s="5">
        <v>5.02409601211548</v>
      </c>
      <c r="I1677" t="s">
        <v>57</v>
      </c>
    </row>
    <row r="1678" spans="1:9">
      <c r="A1678" s="4" t="s">
        <v>3411</v>
      </c>
      <c r="B1678" s="4" t="s">
        <v>3412</v>
      </c>
      <c r="C1678" s="4" t="s">
        <v>31</v>
      </c>
      <c r="D1678" s="2">
        <f>16429496320/(10^6)</f>
        <v>16429.49632</v>
      </c>
      <c r="E1678" s="5">
        <v>27.8254852294922</v>
      </c>
      <c r="F1678" s="5">
        <v>7.73023748397827</v>
      </c>
      <c r="G1678" s="5">
        <v>7.27473497390747</v>
      </c>
      <c r="H1678" s="5">
        <v>18.1204147338867</v>
      </c>
      <c r="I1678" t="s">
        <v>57</v>
      </c>
    </row>
    <row r="1679" spans="1:9">
      <c r="A1679" s="4" t="s">
        <v>3413</v>
      </c>
      <c r="B1679" s="4" t="s">
        <v>3414</v>
      </c>
      <c r="C1679" s="4" t="s">
        <v>51</v>
      </c>
      <c r="D1679" s="2">
        <f>16336495616/(10^6)</f>
        <v>16336.495616</v>
      </c>
      <c r="E1679" s="5">
        <v>38.4612770080566</v>
      </c>
      <c r="F1679" s="5">
        <v>2.90857028961182</v>
      </c>
      <c r="G1679" s="5">
        <v>3.07737565040588</v>
      </c>
      <c r="H1679" s="5">
        <v>13.1559610366821</v>
      </c>
      <c r="I1679" t="s">
        <v>57</v>
      </c>
    </row>
    <row r="1680" spans="1:9">
      <c r="A1680" s="4" t="s">
        <v>3415</v>
      </c>
      <c r="B1680" s="4" t="s">
        <v>3416</v>
      </c>
      <c r="C1680" s="4" t="s">
        <v>31</v>
      </c>
      <c r="D1680" s="2">
        <f>16270102528/(10^6)</f>
        <v>16270.102528</v>
      </c>
      <c r="E1680" s="5">
        <v>18.9360008239746</v>
      </c>
      <c r="F1680" s="5">
        <v>3.17998194694519</v>
      </c>
      <c r="G1680" s="5">
        <v>3.13521528244019</v>
      </c>
      <c r="H1680" s="5">
        <v>12.9260587692261</v>
      </c>
      <c r="I1680" t="s">
        <v>57</v>
      </c>
    </row>
    <row r="1681" spans="1:9">
      <c r="A1681" s="4" t="s">
        <v>3417</v>
      </c>
      <c r="B1681" s="4" t="s">
        <v>3418</v>
      </c>
      <c r="C1681" s="4" t="s">
        <v>51</v>
      </c>
      <c r="D1681" s="2">
        <f>16206027776/(10^6)</f>
        <v>16206.027776</v>
      </c>
      <c r="E1681" s="5" t="s">
        <v>86</v>
      </c>
      <c r="F1681" s="5">
        <v>10.0747509002686</v>
      </c>
      <c r="G1681" s="5">
        <v>5.01554727554321</v>
      </c>
      <c r="H1681" s="5">
        <v>199.221710205078</v>
      </c>
      <c r="I1681" t="s">
        <v>57</v>
      </c>
    </row>
    <row r="1682" spans="1:9">
      <c r="A1682" s="4" t="s">
        <v>3419</v>
      </c>
      <c r="B1682" s="4" t="s">
        <v>3420</v>
      </c>
      <c r="C1682" s="4" t="s">
        <v>47</v>
      </c>
      <c r="D1682" s="2">
        <f>16052992000/(10^6)</f>
        <v>16052.992</v>
      </c>
      <c r="E1682" s="5">
        <v>10.4269428253174</v>
      </c>
      <c r="F1682" s="5">
        <v>4.60568571090698</v>
      </c>
      <c r="G1682" s="5">
        <v>0.377517342567444</v>
      </c>
      <c r="H1682" s="5">
        <v>4.9910717010498</v>
      </c>
      <c r="I1682" t="s">
        <v>57</v>
      </c>
    </row>
    <row r="1683" spans="1:9">
      <c r="A1683" s="4" t="s">
        <v>3421</v>
      </c>
      <c r="B1683" s="4" t="s">
        <v>3422</v>
      </c>
      <c r="C1683" s="4" t="s">
        <v>51</v>
      </c>
      <c r="D1683" s="2">
        <f>15913566208/(10^6)</f>
        <v>15913.566208</v>
      </c>
      <c r="E1683" s="5" t="s">
        <v>86</v>
      </c>
      <c r="F1683" s="5">
        <v>22.3927326202393</v>
      </c>
      <c r="G1683" s="5">
        <v>13.5777645111084</v>
      </c>
      <c r="H1683" s="5" t="s">
        <v>86</v>
      </c>
      <c r="I1683" t="s">
        <v>57</v>
      </c>
    </row>
    <row r="1684" spans="1:9">
      <c r="A1684" s="4" t="s">
        <v>3423</v>
      </c>
      <c r="B1684" s="4" t="s">
        <v>3424</v>
      </c>
      <c r="C1684" s="4" t="s">
        <v>51</v>
      </c>
      <c r="D1684" s="2">
        <f>15816740864/(10^6)</f>
        <v>15816.740864</v>
      </c>
      <c r="E1684" s="5">
        <v>12.3557996749878</v>
      </c>
      <c r="F1684" s="5">
        <v>1.48994815349579</v>
      </c>
      <c r="G1684" s="5">
        <v>1.39907133579254</v>
      </c>
      <c r="H1684" s="5">
        <v>8.21939182281494</v>
      </c>
      <c r="I1684" t="s">
        <v>57</v>
      </c>
    </row>
    <row r="1685" spans="1:9">
      <c r="A1685" s="4" t="s">
        <v>3425</v>
      </c>
      <c r="B1685" s="4" t="s">
        <v>3426</v>
      </c>
      <c r="C1685" s="4" t="s">
        <v>41</v>
      </c>
      <c r="D1685" s="2">
        <f>15797886976/(10^6)</f>
        <v>15797.886976</v>
      </c>
      <c r="E1685" s="5">
        <v>29.1184539794922</v>
      </c>
      <c r="F1685" s="5">
        <v>37.7709884643555</v>
      </c>
      <c r="G1685" s="5">
        <v>5.37541627883911</v>
      </c>
      <c r="H1685" s="5">
        <v>20.3237953186035</v>
      </c>
      <c r="I1685" t="s">
        <v>57</v>
      </c>
    </row>
    <row r="1686" spans="1:9">
      <c r="A1686" s="4" t="s">
        <v>3427</v>
      </c>
      <c r="B1686" s="4" t="s">
        <v>3428</v>
      </c>
      <c r="C1686" s="4" t="s">
        <v>31</v>
      </c>
      <c r="D1686" s="2">
        <f>15567876096/(10^6)</f>
        <v>15567.876096</v>
      </c>
      <c r="E1686" s="5">
        <v>10.3591403961182</v>
      </c>
      <c r="F1686" s="5">
        <v>2.45931220054627</v>
      </c>
      <c r="G1686" s="5">
        <v>1.09768831729889</v>
      </c>
      <c r="H1686" s="5">
        <v>10.239221572876</v>
      </c>
      <c r="I1686" t="s">
        <v>57</v>
      </c>
    </row>
    <row r="1687" spans="1:9">
      <c r="A1687" s="4" t="s">
        <v>3429</v>
      </c>
      <c r="B1687" s="4" t="s">
        <v>3430</v>
      </c>
      <c r="C1687" s="4" t="s">
        <v>43</v>
      </c>
      <c r="D1687" s="2">
        <f>15481561088/(10^6)</f>
        <v>15481.561088</v>
      </c>
      <c r="E1687" s="5">
        <v>11.1885633468628</v>
      </c>
      <c r="F1687" s="5">
        <v>1.3988356590271</v>
      </c>
      <c r="G1687" s="5">
        <v>2.3016631603241</v>
      </c>
      <c r="H1687" s="5" t="s">
        <v>86</v>
      </c>
      <c r="I1687" t="s">
        <v>57</v>
      </c>
    </row>
    <row r="1688" spans="1:9">
      <c r="A1688" s="4" t="s">
        <v>3431</v>
      </c>
      <c r="B1688" s="4" t="s">
        <v>3432</v>
      </c>
      <c r="C1688" s="4" t="s">
        <v>47</v>
      </c>
      <c r="D1688" s="2">
        <f>15444624384/(10^6)</f>
        <v>15444.624384</v>
      </c>
      <c r="E1688" s="5">
        <v>27.6977920532227</v>
      </c>
      <c r="F1688" s="5">
        <v>4.64826726913452</v>
      </c>
      <c r="G1688" s="5">
        <v>3.47890424728394</v>
      </c>
      <c r="H1688" s="5">
        <v>12.9173774719238</v>
      </c>
      <c r="I1688" t="s">
        <v>57</v>
      </c>
    </row>
    <row r="1689" spans="1:9">
      <c r="A1689" s="4" t="s">
        <v>3433</v>
      </c>
      <c r="B1689" s="4" t="s">
        <v>3434</v>
      </c>
      <c r="C1689" s="4" t="s">
        <v>31</v>
      </c>
      <c r="D1689" s="2">
        <f>15341328384/(10^6)</f>
        <v>15341.328384</v>
      </c>
      <c r="E1689" s="5">
        <v>24.9674777984619</v>
      </c>
      <c r="F1689" s="5">
        <v>4.97923421859741</v>
      </c>
      <c r="G1689" s="5">
        <v>3.76047420501709</v>
      </c>
      <c r="H1689" s="5">
        <v>13.8436546325684</v>
      </c>
      <c r="I1689" t="s">
        <v>57</v>
      </c>
    </row>
    <row r="1690" spans="1:9">
      <c r="A1690" s="4" t="s">
        <v>3435</v>
      </c>
      <c r="B1690" s="4" t="s">
        <v>3436</v>
      </c>
      <c r="C1690" s="4" t="s">
        <v>43</v>
      </c>
      <c r="D1690" s="2">
        <f>15309787136/(10^6)</f>
        <v>15309.787136</v>
      </c>
      <c r="E1690" s="5">
        <v>18.9023132324219</v>
      </c>
      <c r="F1690" s="5">
        <v>2.71634364128113</v>
      </c>
      <c r="G1690" s="5">
        <v>6.03662157058716</v>
      </c>
      <c r="H1690" s="5">
        <v>14.4151344299316</v>
      </c>
      <c r="I1690" t="s">
        <v>57</v>
      </c>
    </row>
    <row r="1691" spans="1:9">
      <c r="A1691" s="4" t="s">
        <v>3437</v>
      </c>
      <c r="B1691" s="4" t="s">
        <v>3438</v>
      </c>
      <c r="C1691" s="4" t="s">
        <v>35</v>
      </c>
      <c r="D1691" s="2">
        <f>15230761984/(10^6)</f>
        <v>15230.761984</v>
      </c>
      <c r="E1691" s="5">
        <v>24.8875503540039</v>
      </c>
      <c r="F1691" s="5">
        <v>5.70073366165161</v>
      </c>
      <c r="G1691" s="5">
        <v>3.50028038024902</v>
      </c>
      <c r="H1691" s="5">
        <v>16.6140632629395</v>
      </c>
      <c r="I1691" t="s">
        <v>57</v>
      </c>
    </row>
    <row r="1692" spans="1:9">
      <c r="A1692" s="4" t="s">
        <v>3439</v>
      </c>
      <c r="B1692" s="4" t="s">
        <v>3440</v>
      </c>
      <c r="C1692" s="4" t="s">
        <v>43</v>
      </c>
      <c r="D1692" s="2">
        <f>15091762176/(10^6)</f>
        <v>15091.762176</v>
      </c>
      <c r="E1692" s="5">
        <v>21.9308624267578</v>
      </c>
      <c r="F1692" s="5">
        <v>2.9250271320343</v>
      </c>
      <c r="G1692" s="5">
        <v>2.07175493240356</v>
      </c>
      <c r="H1692" s="5">
        <v>13.8694982528687</v>
      </c>
      <c r="I1692" t="s">
        <v>57</v>
      </c>
    </row>
    <row r="1693" spans="1:9">
      <c r="A1693" s="4" t="s">
        <v>3441</v>
      </c>
      <c r="B1693" s="4" t="s">
        <v>3442</v>
      </c>
      <c r="C1693" s="4" t="s">
        <v>33</v>
      </c>
      <c r="D1693" s="2">
        <f>15050769408/(10^6)</f>
        <v>15050.769408</v>
      </c>
      <c r="E1693" s="5">
        <v>43.8292617797852</v>
      </c>
      <c r="F1693" s="5">
        <v>5.13532590866089</v>
      </c>
      <c r="G1693" s="5">
        <v>3.143559217453</v>
      </c>
      <c r="H1693" s="5">
        <v>20.0394687652588</v>
      </c>
      <c r="I1693" t="s">
        <v>57</v>
      </c>
    </row>
    <row r="1694" spans="1:9">
      <c r="A1694" s="4" t="s">
        <v>3443</v>
      </c>
      <c r="B1694" s="4" t="s">
        <v>3444</v>
      </c>
      <c r="C1694" s="4" t="s">
        <v>27</v>
      </c>
      <c r="D1694" s="2">
        <f>15047515136/(10^6)</f>
        <v>15047.515136</v>
      </c>
      <c r="E1694" s="5">
        <v>4.30359792709351</v>
      </c>
      <c r="F1694" s="5">
        <v>0.445905804634094</v>
      </c>
      <c r="G1694" s="5">
        <v>0.123083800077438</v>
      </c>
      <c r="H1694" s="5">
        <v>5.42125654220581</v>
      </c>
      <c r="I1694" t="s">
        <v>57</v>
      </c>
    </row>
    <row r="1695" spans="1:9">
      <c r="A1695" s="4" t="s">
        <v>3445</v>
      </c>
      <c r="B1695" s="4" t="s">
        <v>3446</v>
      </c>
      <c r="C1695" s="4" t="s">
        <v>51</v>
      </c>
      <c r="D1695" s="2">
        <f>14982831104/(10^6)</f>
        <v>14982.831104</v>
      </c>
      <c r="E1695" s="5" t="s">
        <v>86</v>
      </c>
      <c r="F1695" s="5">
        <v>27.3941135406494</v>
      </c>
      <c r="G1695" s="5">
        <v>14.9969882965088</v>
      </c>
      <c r="H1695" s="5" t="s">
        <v>86</v>
      </c>
      <c r="I1695" t="s">
        <v>57</v>
      </c>
    </row>
    <row r="1696" spans="1:9">
      <c r="A1696" s="4" t="s">
        <v>3447</v>
      </c>
      <c r="B1696" s="4" t="s">
        <v>3448</v>
      </c>
      <c r="C1696" s="4" t="s">
        <v>41</v>
      </c>
      <c r="D1696" s="2">
        <f>14948840448/(10^6)</f>
        <v>14948.840448</v>
      </c>
      <c r="E1696" s="5">
        <v>32.0733299255371</v>
      </c>
      <c r="F1696" s="5">
        <v>5.73721837997437</v>
      </c>
      <c r="G1696" s="5">
        <v>6.86631774902344</v>
      </c>
      <c r="H1696" s="5">
        <v>27.4984931945801</v>
      </c>
      <c r="I1696" t="s">
        <v>57</v>
      </c>
    </row>
    <row r="1697" spans="1:9">
      <c r="A1697" s="4" t="s">
        <v>3449</v>
      </c>
      <c r="B1697" s="4" t="s">
        <v>3450</v>
      </c>
      <c r="C1697" s="4" t="s">
        <v>31</v>
      </c>
      <c r="D1697" s="2">
        <f>14888101888/(10^6)</f>
        <v>14888.101888</v>
      </c>
      <c r="E1697" s="5">
        <v>11.1979808807373</v>
      </c>
      <c r="F1697" s="5">
        <v>1.94307839870453</v>
      </c>
      <c r="G1697" s="5">
        <v>0.992837846279144</v>
      </c>
      <c r="H1697" s="5">
        <v>9.73712253570557</v>
      </c>
      <c r="I1697" t="s">
        <v>57</v>
      </c>
    </row>
    <row r="1698" spans="1:9">
      <c r="A1698" s="4" t="s">
        <v>3451</v>
      </c>
      <c r="B1698" s="4" t="s">
        <v>3452</v>
      </c>
      <c r="C1698" s="4" t="s">
        <v>51</v>
      </c>
      <c r="D1698" s="2">
        <f>14861837312/(10^6)</f>
        <v>14861.837312</v>
      </c>
      <c r="E1698" s="5" t="s">
        <v>86</v>
      </c>
      <c r="F1698" s="5">
        <v>36.6240310668945</v>
      </c>
      <c r="G1698" s="5">
        <v>24.2329196929932</v>
      </c>
      <c r="H1698" s="5" t="s">
        <v>86</v>
      </c>
      <c r="I1698" t="s">
        <v>57</v>
      </c>
    </row>
    <row r="1699" spans="1:9">
      <c r="A1699" s="4" t="s">
        <v>3453</v>
      </c>
      <c r="B1699" s="4" t="s">
        <v>3454</v>
      </c>
      <c r="C1699" s="4" t="s">
        <v>51</v>
      </c>
      <c r="D1699" s="2">
        <f>14820285440/(10^6)</f>
        <v>14820.28544</v>
      </c>
      <c r="E1699" s="5" t="s">
        <v>86</v>
      </c>
      <c r="F1699" s="5">
        <v>1.70866668224335</v>
      </c>
      <c r="G1699" s="5">
        <v>5.4989070892334</v>
      </c>
      <c r="H1699" s="5">
        <v>45.6506690979004</v>
      </c>
      <c r="I1699" t="s">
        <v>57</v>
      </c>
    </row>
    <row r="1700" spans="1:9">
      <c r="A1700" s="4" t="s">
        <v>3455</v>
      </c>
      <c r="B1700" s="4" t="s">
        <v>3456</v>
      </c>
      <c r="C1700" s="4" t="s">
        <v>51</v>
      </c>
      <c r="D1700" s="2">
        <f>14767225856/(10^6)</f>
        <v>14767.225856</v>
      </c>
      <c r="E1700" s="5">
        <v>16.1782112121582</v>
      </c>
      <c r="F1700" s="5">
        <v>3.47968149185181</v>
      </c>
      <c r="G1700" s="5">
        <v>4.53486061096191</v>
      </c>
      <c r="H1700" s="5">
        <v>10.66969871521</v>
      </c>
      <c r="I1700" t="s">
        <v>57</v>
      </c>
    </row>
    <row r="1701" spans="1:9">
      <c r="A1701" s="4" t="s">
        <v>3457</v>
      </c>
      <c r="B1701" s="4" t="s">
        <v>3458</v>
      </c>
      <c r="C1701" s="4" t="s">
        <v>51</v>
      </c>
      <c r="D1701" s="2">
        <f>14669307904/(10^6)</f>
        <v>14669.307904</v>
      </c>
      <c r="E1701" s="5">
        <v>22.4210109710693</v>
      </c>
      <c r="F1701" s="5">
        <v>4.70130586624146</v>
      </c>
      <c r="G1701" s="5">
        <v>3.34622001647949</v>
      </c>
      <c r="H1701" s="5">
        <v>13.3784122467041</v>
      </c>
      <c r="I1701" t="s">
        <v>57</v>
      </c>
    </row>
    <row r="1702" spans="1:9">
      <c r="A1702" s="4" t="s">
        <v>3459</v>
      </c>
      <c r="B1702" s="4" t="s">
        <v>3460</v>
      </c>
      <c r="C1702" s="4" t="s">
        <v>51</v>
      </c>
      <c r="D1702" s="2">
        <f>14668114944/(10^6)</f>
        <v>14668.114944</v>
      </c>
      <c r="E1702" s="5">
        <v>30.2366027832031</v>
      </c>
      <c r="F1702" s="5">
        <v>4.01286649703979</v>
      </c>
      <c r="G1702" s="5">
        <v>5.09414625167847</v>
      </c>
      <c r="H1702" s="5">
        <v>13.0787792205811</v>
      </c>
      <c r="I1702" t="s">
        <v>57</v>
      </c>
    </row>
    <row r="1703" spans="1:9">
      <c r="A1703" s="4" t="s">
        <v>3461</v>
      </c>
      <c r="B1703" s="4" t="s">
        <v>3462</v>
      </c>
      <c r="C1703" s="4" t="s">
        <v>51</v>
      </c>
      <c r="D1703" s="2">
        <f>14629710848/(10^6)</f>
        <v>14629.710848</v>
      </c>
      <c r="E1703" s="5">
        <v>22.1468925476074</v>
      </c>
      <c r="F1703" s="5">
        <v>5.04802656173706</v>
      </c>
      <c r="G1703" s="5">
        <v>6.05549240112305</v>
      </c>
      <c r="H1703" s="5">
        <v>13.9397077560425</v>
      </c>
      <c r="I1703" t="s">
        <v>57</v>
      </c>
    </row>
    <row r="1704" spans="1:9">
      <c r="A1704" s="4" t="s">
        <v>3463</v>
      </c>
      <c r="B1704" s="4" t="s">
        <v>3464</v>
      </c>
      <c r="C1704" s="4" t="s">
        <v>41</v>
      </c>
      <c r="D1704" s="2">
        <f>14571479040/(10^6)</f>
        <v>14571.47904</v>
      </c>
      <c r="E1704" s="5">
        <v>28.0078601837158</v>
      </c>
      <c r="F1704" s="5">
        <v>3.60332298278809</v>
      </c>
      <c r="G1704" s="5">
        <v>5.05257272720337</v>
      </c>
      <c r="H1704" s="5">
        <v>19.7119960784912</v>
      </c>
      <c r="I1704" t="s">
        <v>57</v>
      </c>
    </row>
    <row r="1705" spans="1:9">
      <c r="A1705" s="4" t="s">
        <v>3465</v>
      </c>
      <c r="B1705" s="4" t="s">
        <v>3466</v>
      </c>
      <c r="C1705" s="4" t="s">
        <v>31</v>
      </c>
      <c r="D1705" s="2">
        <f>14493730816/(10^6)</f>
        <v>14493.730816</v>
      </c>
      <c r="E1705" s="5">
        <v>25.8720588684082</v>
      </c>
      <c r="F1705" s="5">
        <v>5.61911916732788</v>
      </c>
      <c r="G1705" s="5">
        <v>4.12075567245483</v>
      </c>
      <c r="H1705" s="5">
        <v>432.881286621094</v>
      </c>
      <c r="I1705" t="s">
        <v>57</v>
      </c>
    </row>
    <row r="1706" spans="1:9">
      <c r="A1706" s="4" t="s">
        <v>3467</v>
      </c>
      <c r="B1706" s="4" t="s">
        <v>3468</v>
      </c>
      <c r="C1706" s="4" t="s">
        <v>47</v>
      </c>
      <c r="D1706" s="2">
        <f>14413375488/(10^6)</f>
        <v>14413.375488</v>
      </c>
      <c r="E1706" s="5" t="s">
        <v>86</v>
      </c>
      <c r="F1706" s="5" t="s">
        <v>86</v>
      </c>
      <c r="G1706" s="5" t="s">
        <v>86</v>
      </c>
      <c r="H1706" s="5" t="s">
        <v>86</v>
      </c>
      <c r="I1706" t="s">
        <v>57</v>
      </c>
    </row>
    <row r="1707" spans="1:9">
      <c r="A1707" s="4" t="s">
        <v>3469</v>
      </c>
      <c r="B1707" s="4" t="s">
        <v>3470</v>
      </c>
      <c r="C1707" s="4" t="s">
        <v>41</v>
      </c>
      <c r="D1707" s="2">
        <f>14305885184/(10^6)</f>
        <v>14305.885184</v>
      </c>
      <c r="E1707" s="5" t="s">
        <v>86</v>
      </c>
      <c r="F1707" s="5">
        <v>4.57949495315552</v>
      </c>
      <c r="G1707" s="5">
        <v>8.35475635528564</v>
      </c>
      <c r="H1707" s="5">
        <v>813.78076171875</v>
      </c>
      <c r="I1707" t="s">
        <v>57</v>
      </c>
    </row>
    <row r="1708" spans="1:9">
      <c r="A1708" s="4" t="s">
        <v>3471</v>
      </c>
      <c r="B1708" s="4" t="s">
        <v>3472</v>
      </c>
      <c r="C1708" s="4" t="s">
        <v>33</v>
      </c>
      <c r="D1708" s="2">
        <f>14204410880/(10^6)</f>
        <v>14204.41088</v>
      </c>
      <c r="E1708" s="5">
        <v>53.376594543457</v>
      </c>
      <c r="F1708" s="5">
        <v>5.97196578979492</v>
      </c>
      <c r="G1708" s="5">
        <v>1.51626968383789</v>
      </c>
      <c r="H1708" s="5">
        <v>9.22041320800781</v>
      </c>
      <c r="I1708" t="s">
        <v>57</v>
      </c>
    </row>
    <row r="1709" spans="1:9">
      <c r="A1709" s="4" t="s">
        <v>3473</v>
      </c>
      <c r="B1709" s="4" t="s">
        <v>3474</v>
      </c>
      <c r="C1709" s="4" t="s">
        <v>43</v>
      </c>
      <c r="D1709" s="2">
        <f>14103821312/(10^6)</f>
        <v>14103.821312</v>
      </c>
      <c r="E1709" s="5">
        <v>15.8346147537231</v>
      </c>
      <c r="F1709" s="5">
        <v>1.5947687625885</v>
      </c>
      <c r="G1709" s="5">
        <v>3.32638263702393</v>
      </c>
      <c r="H1709" s="5" t="s">
        <v>86</v>
      </c>
      <c r="I1709" t="s">
        <v>57</v>
      </c>
    </row>
    <row r="1710" spans="1:9">
      <c r="A1710" s="4" t="s">
        <v>3475</v>
      </c>
      <c r="B1710" s="4" t="s">
        <v>3476</v>
      </c>
      <c r="C1710" s="4" t="s">
        <v>41</v>
      </c>
      <c r="D1710" s="2">
        <f>13942459392/(10^6)</f>
        <v>13942.459392</v>
      </c>
      <c r="E1710" s="5">
        <v>33.6934280395508</v>
      </c>
      <c r="F1710" s="5">
        <v>10.3150329589844</v>
      </c>
      <c r="G1710" s="5">
        <v>5.84035110473633</v>
      </c>
      <c r="H1710" s="5">
        <v>20.3846454620361</v>
      </c>
      <c r="I1710" t="s">
        <v>57</v>
      </c>
    </row>
    <row r="1711" spans="1:9">
      <c r="A1711" s="4" t="s">
        <v>3477</v>
      </c>
      <c r="B1711" s="4" t="s">
        <v>3478</v>
      </c>
      <c r="C1711" s="4" t="s">
        <v>43</v>
      </c>
      <c r="D1711" s="2">
        <f>13942405120/(10^6)</f>
        <v>13942.40512</v>
      </c>
      <c r="E1711" s="5">
        <v>7.69084215164185</v>
      </c>
      <c r="F1711" s="5">
        <v>0.968496382236481</v>
      </c>
      <c r="G1711" s="5">
        <v>2.07772302627564</v>
      </c>
      <c r="H1711" s="5" t="s">
        <v>86</v>
      </c>
      <c r="I1711" t="s">
        <v>57</v>
      </c>
    </row>
    <row r="1712" spans="1:9">
      <c r="A1712" s="4" t="s">
        <v>3479</v>
      </c>
      <c r="B1712" s="4" t="s">
        <v>3480</v>
      </c>
      <c r="C1712" s="4" t="s">
        <v>35</v>
      </c>
      <c r="D1712" s="2">
        <f>13591841792/(10^6)</f>
        <v>13591.841792</v>
      </c>
      <c r="E1712" s="5">
        <v>14.4793004989624</v>
      </c>
      <c r="F1712" s="5">
        <v>1.78555738925934</v>
      </c>
      <c r="G1712" s="5">
        <v>1.29019796848297</v>
      </c>
      <c r="H1712" s="5">
        <v>12.935302734375</v>
      </c>
      <c r="I1712" t="s">
        <v>57</v>
      </c>
    </row>
    <row r="1713" spans="1:9">
      <c r="A1713" s="4" t="s">
        <v>3481</v>
      </c>
      <c r="B1713" s="4" t="s">
        <v>3482</v>
      </c>
      <c r="C1713" s="4" t="s">
        <v>33</v>
      </c>
      <c r="D1713" s="2">
        <f>13536662528/(10^6)</f>
        <v>13536.662528</v>
      </c>
      <c r="E1713" s="5">
        <v>9.72518062591553</v>
      </c>
      <c r="F1713" s="5">
        <v>1.32986903190613</v>
      </c>
      <c r="G1713" s="5">
        <v>1.19291377067566</v>
      </c>
      <c r="H1713" s="5">
        <v>7.26766538619995</v>
      </c>
      <c r="I1713" t="s">
        <v>57</v>
      </c>
    </row>
    <row r="1714" spans="1:9">
      <c r="A1714" s="4" t="s">
        <v>3483</v>
      </c>
      <c r="B1714" s="4" t="s">
        <v>3484</v>
      </c>
      <c r="C1714" s="4" t="s">
        <v>33</v>
      </c>
      <c r="D1714" s="2">
        <f>13536662528/(10^6)</f>
        <v>13536.662528</v>
      </c>
      <c r="E1714" s="5">
        <v>9.72518062591553</v>
      </c>
      <c r="F1714" s="5">
        <v>1.32986903190613</v>
      </c>
      <c r="G1714" s="5">
        <v>1.19291377067566</v>
      </c>
      <c r="H1714" s="5">
        <v>7.26766538619995</v>
      </c>
      <c r="I1714" t="s">
        <v>57</v>
      </c>
    </row>
    <row r="1715" spans="1:9">
      <c r="A1715" s="4" t="s">
        <v>3485</v>
      </c>
      <c r="B1715" s="4" t="s">
        <v>3486</v>
      </c>
      <c r="C1715" s="4" t="s">
        <v>47</v>
      </c>
      <c r="D1715" s="2">
        <f>13511494656/(10^6)</f>
        <v>13511.494656</v>
      </c>
      <c r="E1715" s="5">
        <v>8.01889801025391</v>
      </c>
      <c r="F1715" s="5">
        <v>1.32078099250794</v>
      </c>
      <c r="G1715" s="5">
        <v>0.755970537662506</v>
      </c>
      <c r="H1715" s="5">
        <v>6.89822864532471</v>
      </c>
      <c r="I1715" t="s">
        <v>57</v>
      </c>
    </row>
    <row r="1716" spans="1:9">
      <c r="A1716" s="4" t="s">
        <v>3487</v>
      </c>
      <c r="B1716" s="4" t="s">
        <v>3488</v>
      </c>
      <c r="C1716" s="4" t="s">
        <v>51</v>
      </c>
      <c r="D1716" s="2">
        <f>13500253184/(10^6)</f>
        <v>13500.253184</v>
      </c>
      <c r="E1716" s="5" t="s">
        <v>86</v>
      </c>
      <c r="F1716" s="5">
        <v>3.12539005279541</v>
      </c>
      <c r="G1716" s="5">
        <v>11.1136207580566</v>
      </c>
      <c r="H1716" s="5" t="s">
        <v>86</v>
      </c>
      <c r="I1716" t="s">
        <v>57</v>
      </c>
    </row>
    <row r="1717" spans="1:9">
      <c r="A1717" s="4" t="s">
        <v>3489</v>
      </c>
      <c r="B1717" s="4" t="s">
        <v>3490</v>
      </c>
      <c r="C1717" s="4" t="s">
        <v>39</v>
      </c>
      <c r="D1717" s="2">
        <f>13420098560/(10^6)</f>
        <v>13420.09856</v>
      </c>
      <c r="E1717" s="5">
        <v>21.6187648773193</v>
      </c>
      <c r="F1717" s="5">
        <v>0.880757331848145</v>
      </c>
      <c r="G1717" s="5">
        <v>2.12074732780456</v>
      </c>
      <c r="H1717" s="5">
        <v>11.0864953994751</v>
      </c>
      <c r="I1717" t="s">
        <v>57</v>
      </c>
    </row>
    <row r="1718" spans="1:9">
      <c r="A1718" s="4" t="s">
        <v>3491</v>
      </c>
      <c r="B1718" s="4" t="s">
        <v>3492</v>
      </c>
      <c r="C1718" s="4" t="s">
        <v>51</v>
      </c>
      <c r="D1718" s="2">
        <f>13384832000/(10^6)</f>
        <v>13384.832</v>
      </c>
      <c r="E1718" s="5">
        <v>18.3349342346191</v>
      </c>
      <c r="F1718" s="5">
        <v>13.9604806900024</v>
      </c>
      <c r="G1718" s="5">
        <v>0.754340291023254</v>
      </c>
      <c r="H1718" s="5">
        <v>11.1842918395996</v>
      </c>
      <c r="I1718" t="s">
        <v>57</v>
      </c>
    </row>
    <row r="1719" spans="1:9">
      <c r="A1719" s="4" t="s">
        <v>3493</v>
      </c>
      <c r="B1719" s="4" t="s">
        <v>3494</v>
      </c>
      <c r="C1719" s="4" t="s">
        <v>35</v>
      </c>
      <c r="D1719" s="2">
        <f>13334094848/(10^6)</f>
        <v>13334.094848</v>
      </c>
      <c r="E1719" s="5">
        <v>17.8666152954102</v>
      </c>
      <c r="F1719" s="5">
        <v>5.35099458694458</v>
      </c>
      <c r="G1719" s="5">
        <v>1.60335648059845</v>
      </c>
      <c r="H1719" s="5">
        <v>13.6277933120728</v>
      </c>
      <c r="I1719" t="s">
        <v>57</v>
      </c>
    </row>
    <row r="1720" spans="1:9">
      <c r="A1720" s="4" t="s">
        <v>3495</v>
      </c>
      <c r="B1720" s="4" t="s">
        <v>3496</v>
      </c>
      <c r="C1720" s="4" t="s">
        <v>31</v>
      </c>
      <c r="D1720" s="2">
        <f>13265299456/(10^6)</f>
        <v>13265.299456</v>
      </c>
      <c r="E1720" s="5">
        <v>14.2907676696777</v>
      </c>
      <c r="F1720" s="5">
        <v>7.15303134918213</v>
      </c>
      <c r="G1720" s="5">
        <v>1.17592799663544</v>
      </c>
      <c r="H1720" s="5">
        <v>9.9261646270752</v>
      </c>
      <c r="I1720" t="s">
        <v>57</v>
      </c>
    </row>
    <row r="1721" spans="1:9">
      <c r="A1721" s="4" t="s">
        <v>3497</v>
      </c>
      <c r="B1721" s="4" t="s">
        <v>3498</v>
      </c>
      <c r="C1721" s="4" t="s">
        <v>51</v>
      </c>
      <c r="D1721" s="2">
        <f>13254197248/(10^6)</f>
        <v>13254.197248</v>
      </c>
      <c r="E1721" s="5">
        <v>22.0622386932373</v>
      </c>
      <c r="F1721" s="5">
        <v>3.86025214195252</v>
      </c>
      <c r="G1721" s="5">
        <v>1.20809602737427</v>
      </c>
      <c r="H1721" s="5">
        <v>12.4007711410522</v>
      </c>
      <c r="I1721" t="s">
        <v>57</v>
      </c>
    </row>
    <row r="1722" spans="1:9">
      <c r="A1722" s="4" t="s">
        <v>3499</v>
      </c>
      <c r="B1722" s="4" t="s">
        <v>3500</v>
      </c>
      <c r="C1722" s="4" t="s">
        <v>47</v>
      </c>
      <c r="D1722" s="2">
        <f>13219593216/(10^6)</f>
        <v>13219.593216</v>
      </c>
      <c r="E1722" s="5">
        <v>35.2947654724121</v>
      </c>
      <c r="F1722" s="5" t="s">
        <v>86</v>
      </c>
      <c r="G1722" s="5">
        <v>3.81690311431885</v>
      </c>
      <c r="H1722" s="5">
        <v>23.7183074951172</v>
      </c>
      <c r="I1722" t="s">
        <v>57</v>
      </c>
    </row>
    <row r="1723" spans="1:9">
      <c r="A1723" s="4" t="s">
        <v>3501</v>
      </c>
      <c r="B1723" s="4" t="s">
        <v>3502</v>
      </c>
      <c r="C1723" s="4" t="s">
        <v>37</v>
      </c>
      <c r="D1723" s="2">
        <f>13134881792/(10^6)</f>
        <v>13134.881792</v>
      </c>
      <c r="E1723" s="5">
        <v>21.7485904693604</v>
      </c>
      <c r="F1723" s="5">
        <v>2.33597660064697</v>
      </c>
      <c r="G1723" s="5">
        <v>2.66310620307922</v>
      </c>
      <c r="H1723" s="5">
        <v>12.2476024627686</v>
      </c>
      <c r="I1723" t="s">
        <v>57</v>
      </c>
    </row>
    <row r="1724" spans="1:9">
      <c r="A1724" s="4" t="s">
        <v>3503</v>
      </c>
      <c r="B1724" s="4" t="s">
        <v>3504</v>
      </c>
      <c r="C1724" s="4" t="s">
        <v>45</v>
      </c>
      <c r="D1724" s="2">
        <f>13123801088/(10^6)</f>
        <v>13123.801088</v>
      </c>
      <c r="E1724" s="5">
        <v>10.7005300521851</v>
      </c>
      <c r="F1724" s="5">
        <v>2.10539650917053</v>
      </c>
      <c r="G1724" s="5">
        <v>0.550794363021851</v>
      </c>
      <c r="H1724" s="5">
        <v>8.57727146148682</v>
      </c>
      <c r="I1724" t="s">
        <v>57</v>
      </c>
    </row>
    <row r="1725" spans="1:9">
      <c r="A1725" s="4" t="s">
        <v>3505</v>
      </c>
      <c r="B1725" s="4" t="s">
        <v>3506</v>
      </c>
      <c r="C1725" s="4" t="s">
        <v>41</v>
      </c>
      <c r="D1725" s="2">
        <f>13098212352/(10^6)</f>
        <v>13098.212352</v>
      </c>
      <c r="E1725" s="5">
        <v>33.3467712402344</v>
      </c>
      <c r="F1725" s="5">
        <v>4.39545583724976</v>
      </c>
      <c r="G1725" s="5">
        <v>5.02940845489502</v>
      </c>
      <c r="H1725" s="5">
        <v>22.0818176269531</v>
      </c>
      <c r="I1725" t="s">
        <v>57</v>
      </c>
    </row>
    <row r="1726" spans="1:9">
      <c r="A1726" s="4" t="s">
        <v>3507</v>
      </c>
      <c r="B1726" s="4" t="s">
        <v>3508</v>
      </c>
      <c r="C1726" s="4" t="s">
        <v>39</v>
      </c>
      <c r="D1726" s="2">
        <f>13037426688/(10^6)</f>
        <v>13037.426688</v>
      </c>
      <c r="E1726" s="5">
        <v>19.8041286468506</v>
      </c>
      <c r="F1726" s="5">
        <v>1.52083158493042</v>
      </c>
      <c r="G1726" s="5">
        <v>2.67062664031982</v>
      </c>
      <c r="H1726" s="5">
        <v>10.7516574859619</v>
      </c>
      <c r="I1726" t="s">
        <v>57</v>
      </c>
    </row>
    <row r="1727" spans="1:9">
      <c r="A1727" s="4" t="s">
        <v>3509</v>
      </c>
      <c r="B1727" s="4" t="s">
        <v>3510</v>
      </c>
      <c r="C1727" s="4" t="s">
        <v>43</v>
      </c>
      <c r="D1727" s="2">
        <f>12998752256/(10^6)</f>
        <v>12998.752256</v>
      </c>
      <c r="E1727" s="5">
        <v>63.4777793884277</v>
      </c>
      <c r="F1727" s="5">
        <v>16.8859233856201</v>
      </c>
      <c r="G1727" s="5">
        <v>24.8589515686035</v>
      </c>
      <c r="H1727" s="5">
        <v>43.6435585021973</v>
      </c>
      <c r="I1727" t="s">
        <v>57</v>
      </c>
    </row>
    <row r="1728" spans="1:9">
      <c r="A1728" s="4" t="s">
        <v>3511</v>
      </c>
      <c r="B1728" s="4" t="s">
        <v>3512</v>
      </c>
      <c r="C1728" s="4" t="s">
        <v>41</v>
      </c>
      <c r="D1728" s="2">
        <f>12949353472/(10^6)</f>
        <v>12949.353472</v>
      </c>
      <c r="E1728" s="5">
        <v>11.0408725738525</v>
      </c>
      <c r="F1728" s="5">
        <v>12.9719324111938</v>
      </c>
      <c r="G1728" s="5">
        <v>0.08774372190237</v>
      </c>
      <c r="H1728" s="5" t="s">
        <v>86</v>
      </c>
      <c r="I1728" t="s">
        <v>57</v>
      </c>
    </row>
    <row r="1729" spans="1:9">
      <c r="A1729" s="4" t="s">
        <v>3513</v>
      </c>
      <c r="B1729" s="4" t="s">
        <v>3514</v>
      </c>
      <c r="C1729" s="4" t="s">
        <v>33</v>
      </c>
      <c r="D1729" s="2">
        <f>12887017472/(10^6)</f>
        <v>12887.017472</v>
      </c>
      <c r="E1729" s="5">
        <v>6.02121686935425</v>
      </c>
      <c r="F1729" s="5">
        <v>1.01008498668671</v>
      </c>
      <c r="G1729" s="5">
        <v>0.902359247207642</v>
      </c>
      <c r="H1729" s="5">
        <v>6.66264390945435</v>
      </c>
      <c r="I1729" t="s">
        <v>57</v>
      </c>
    </row>
    <row r="1730" spans="1:9">
      <c r="A1730" s="4" t="s">
        <v>3515</v>
      </c>
      <c r="B1730" s="4" t="s">
        <v>3516</v>
      </c>
      <c r="C1730" s="4" t="s">
        <v>33</v>
      </c>
      <c r="D1730" s="2">
        <f>12887017472/(10^6)</f>
        <v>12887.017472</v>
      </c>
      <c r="E1730" s="5">
        <v>6.02121686935425</v>
      </c>
      <c r="F1730" s="5">
        <v>1.01008498668671</v>
      </c>
      <c r="G1730" s="5">
        <v>0.902359247207642</v>
      </c>
      <c r="H1730" s="5">
        <v>6.66264390945435</v>
      </c>
      <c r="I1730" t="s">
        <v>57</v>
      </c>
    </row>
    <row r="1731" spans="1:9">
      <c r="A1731" s="4" t="s">
        <v>3517</v>
      </c>
      <c r="B1731" s="4" t="s">
        <v>3518</v>
      </c>
      <c r="C1731" s="4" t="s">
        <v>33</v>
      </c>
      <c r="D1731" s="2">
        <f>12887017472/(10^6)</f>
        <v>12887.017472</v>
      </c>
      <c r="E1731" s="5">
        <v>6.02121686935425</v>
      </c>
      <c r="F1731" s="5">
        <v>1.01008498668671</v>
      </c>
      <c r="G1731" s="5">
        <v>0.902359247207642</v>
      </c>
      <c r="H1731" s="5">
        <v>6.66264390945435</v>
      </c>
      <c r="I1731" t="s">
        <v>57</v>
      </c>
    </row>
    <row r="1732" spans="1:9">
      <c r="A1732" s="4" t="s">
        <v>3519</v>
      </c>
      <c r="B1732" s="4" t="s">
        <v>3520</v>
      </c>
      <c r="C1732" s="4" t="s">
        <v>51</v>
      </c>
      <c r="D1732" s="2">
        <f>12812387328/(10^6)</f>
        <v>12812.387328</v>
      </c>
      <c r="E1732" s="5">
        <v>15.4484405517578</v>
      </c>
      <c r="F1732" s="5">
        <v>7.430588722229</v>
      </c>
      <c r="G1732" s="5">
        <v>5.92203092575073</v>
      </c>
      <c r="H1732" s="5">
        <v>15.8504877090454</v>
      </c>
      <c r="I1732" t="s">
        <v>57</v>
      </c>
    </row>
    <row r="1733" spans="1:9">
      <c r="A1733" s="4" t="s">
        <v>3521</v>
      </c>
      <c r="B1733" s="4" t="s">
        <v>3522</v>
      </c>
      <c r="C1733" s="4" t="s">
        <v>43</v>
      </c>
      <c r="D1733" s="2">
        <f>12706342912/(10^6)</f>
        <v>12706.342912</v>
      </c>
      <c r="E1733" s="5">
        <v>6.47780847549438</v>
      </c>
      <c r="F1733" s="5">
        <v>2.23540592193604</v>
      </c>
      <c r="G1733" s="5">
        <v>1.07412219047546</v>
      </c>
      <c r="H1733" s="5">
        <v>4.02300786972046</v>
      </c>
      <c r="I1733" t="s">
        <v>57</v>
      </c>
    </row>
    <row r="1734" spans="1:9">
      <c r="A1734" s="4" t="s">
        <v>3523</v>
      </c>
      <c r="B1734" s="4" t="s">
        <v>3524</v>
      </c>
      <c r="C1734" s="4" t="s">
        <v>33</v>
      </c>
      <c r="D1734" s="2">
        <f>12669497344/(10^6)</f>
        <v>12669.497344</v>
      </c>
      <c r="E1734" s="5">
        <v>37.4303398132324</v>
      </c>
      <c r="F1734" s="5">
        <v>5.2710280418396</v>
      </c>
      <c r="G1734" s="5">
        <v>4.40077543258667</v>
      </c>
      <c r="H1734" s="5">
        <v>18.5149917602539</v>
      </c>
      <c r="I1734" t="s">
        <v>57</v>
      </c>
    </row>
    <row r="1735" spans="1:9">
      <c r="A1735" s="4" t="s">
        <v>3525</v>
      </c>
      <c r="B1735" s="4" t="s">
        <v>3526</v>
      </c>
      <c r="C1735" s="4" t="s">
        <v>51</v>
      </c>
      <c r="D1735" s="2">
        <f>12651514880/(10^6)</f>
        <v>12651.51488</v>
      </c>
      <c r="E1735" s="5">
        <v>7.32972002029419</v>
      </c>
      <c r="F1735" s="5">
        <v>0.738685190677643</v>
      </c>
      <c r="G1735" s="5">
        <v>0.456703454256058</v>
      </c>
      <c r="H1735" s="5">
        <v>6.47061538696289</v>
      </c>
      <c r="I1735" t="s">
        <v>57</v>
      </c>
    </row>
    <row r="1736" spans="1:9">
      <c r="A1736" s="4" t="s">
        <v>3527</v>
      </c>
      <c r="B1736" s="4" t="s">
        <v>3528</v>
      </c>
      <c r="C1736" s="4" t="s">
        <v>51</v>
      </c>
      <c r="D1736" s="2">
        <f>12629857280/(10^6)</f>
        <v>12629.85728</v>
      </c>
      <c r="E1736" s="5" t="s">
        <v>86</v>
      </c>
      <c r="F1736" s="5">
        <v>1.34691858291626</v>
      </c>
      <c r="G1736" s="5">
        <v>0.800197899341583</v>
      </c>
      <c r="H1736" s="5">
        <v>23.2863941192627</v>
      </c>
      <c r="I1736" t="s">
        <v>57</v>
      </c>
    </row>
    <row r="1737" spans="1:9">
      <c r="A1737" s="4" t="s">
        <v>3529</v>
      </c>
      <c r="B1737" s="4" t="s">
        <v>3530</v>
      </c>
      <c r="C1737" s="4" t="s">
        <v>43</v>
      </c>
      <c r="D1737" s="2">
        <f>12585399296/(10^6)</f>
        <v>12585.399296</v>
      </c>
      <c r="E1737" s="5">
        <v>6.52867937088013</v>
      </c>
      <c r="F1737" s="5">
        <v>0.79319953918457</v>
      </c>
      <c r="G1737" s="5">
        <v>0.611189067363739</v>
      </c>
      <c r="H1737" s="5" t="s">
        <v>86</v>
      </c>
      <c r="I1737" t="s">
        <v>57</v>
      </c>
    </row>
    <row r="1738" spans="1:9">
      <c r="A1738" s="4" t="s">
        <v>3531</v>
      </c>
      <c r="B1738" s="4" t="s">
        <v>3532</v>
      </c>
      <c r="C1738" s="4" t="s">
        <v>31</v>
      </c>
      <c r="D1738" s="2">
        <f>12575145984/(10^6)</f>
        <v>12575.145984</v>
      </c>
      <c r="E1738" s="5">
        <v>33.4823341369629</v>
      </c>
      <c r="F1738" s="5">
        <v>5.56838989257812</v>
      </c>
      <c r="G1738" s="5">
        <v>4.68310785293579</v>
      </c>
      <c r="H1738" s="5">
        <v>16.0506038665771</v>
      </c>
      <c r="I1738" t="s">
        <v>57</v>
      </c>
    </row>
    <row r="1739" spans="1:9">
      <c r="A1739" s="4" t="s">
        <v>3533</v>
      </c>
      <c r="B1739" s="4" t="s">
        <v>3534</v>
      </c>
      <c r="C1739" s="4" t="s">
        <v>51</v>
      </c>
      <c r="D1739" s="2">
        <f>12534793216/(10^6)</f>
        <v>12534.793216</v>
      </c>
      <c r="E1739" s="5" t="s">
        <v>86</v>
      </c>
      <c r="F1739" s="5">
        <v>16.8698234558105</v>
      </c>
      <c r="G1739" s="5">
        <v>13.9570837020874</v>
      </c>
      <c r="H1739" s="5" t="s">
        <v>86</v>
      </c>
      <c r="I1739" t="s">
        <v>57</v>
      </c>
    </row>
    <row r="1740" spans="1:9">
      <c r="A1740" s="4" t="s">
        <v>3535</v>
      </c>
      <c r="B1740" s="4" t="s">
        <v>3536</v>
      </c>
      <c r="C1740" s="4" t="s">
        <v>41</v>
      </c>
      <c r="D1740" s="2">
        <f>12523483136/(10^6)</f>
        <v>12523.483136</v>
      </c>
      <c r="E1740" s="5">
        <v>13.7392892837524</v>
      </c>
      <c r="F1740" s="5">
        <v>1.65331208705902</v>
      </c>
      <c r="G1740" s="5">
        <v>1.09008526802063</v>
      </c>
      <c r="H1740" s="5">
        <v>9.01792144775391</v>
      </c>
      <c r="I1740" t="s">
        <v>57</v>
      </c>
    </row>
    <row r="1741" spans="1:9">
      <c r="A1741" s="4" t="s">
        <v>3537</v>
      </c>
      <c r="B1741" s="4" t="s">
        <v>3538</v>
      </c>
      <c r="C1741" s="4" t="s">
        <v>51</v>
      </c>
      <c r="D1741" s="2">
        <f>12518061056/(10^6)</f>
        <v>12518.061056</v>
      </c>
      <c r="E1741" s="5">
        <v>13.0486307144165</v>
      </c>
      <c r="F1741" s="5">
        <v>6.84162330627441</v>
      </c>
      <c r="G1741" s="5">
        <v>1.30229616165161</v>
      </c>
      <c r="H1741" s="5">
        <v>8.86630821228027</v>
      </c>
      <c r="I1741" t="s">
        <v>57</v>
      </c>
    </row>
    <row r="1742" spans="1:9">
      <c r="A1742" s="4" t="s">
        <v>3539</v>
      </c>
      <c r="B1742" s="4" t="s">
        <v>3540</v>
      </c>
      <c r="C1742" s="4" t="s">
        <v>43</v>
      </c>
      <c r="D1742" s="2">
        <f>12322581504/(10^6)</f>
        <v>12322.581504</v>
      </c>
      <c r="E1742" s="5">
        <v>18.1108951568604</v>
      </c>
      <c r="F1742" s="5">
        <v>1.25428366661072</v>
      </c>
      <c r="G1742" s="5">
        <v>1.56368732452393</v>
      </c>
      <c r="H1742" s="5" t="s">
        <v>86</v>
      </c>
      <c r="I1742" t="s">
        <v>57</v>
      </c>
    </row>
    <row r="1743" spans="1:9">
      <c r="A1743" s="4" t="s">
        <v>3541</v>
      </c>
      <c r="B1743" s="4" t="s">
        <v>3542</v>
      </c>
      <c r="C1743" s="4" t="s">
        <v>31</v>
      </c>
      <c r="D1743" s="2">
        <f>12303474688/(10^6)</f>
        <v>12303.474688</v>
      </c>
      <c r="E1743" s="5">
        <v>19.1021995544434</v>
      </c>
      <c r="F1743" s="5">
        <v>2.78452324867248</v>
      </c>
      <c r="G1743" s="5">
        <v>4.4327392578125</v>
      </c>
      <c r="H1743" s="5">
        <v>12.2885055541992</v>
      </c>
      <c r="I1743" t="s">
        <v>57</v>
      </c>
    </row>
    <row r="1744" spans="1:9">
      <c r="A1744" s="4" t="s">
        <v>3543</v>
      </c>
      <c r="B1744" s="4" t="s">
        <v>3544</v>
      </c>
      <c r="C1744" s="4" t="s">
        <v>43</v>
      </c>
      <c r="D1744" s="2">
        <f>12299612160/(10^6)</f>
        <v>12299.61216</v>
      </c>
      <c r="E1744" s="5">
        <v>23.0845794677734</v>
      </c>
      <c r="F1744" s="5">
        <v>1.11195492744446</v>
      </c>
      <c r="G1744" s="5">
        <v>1.29856550693512</v>
      </c>
      <c r="H1744" s="5" t="s">
        <v>86</v>
      </c>
      <c r="I1744" t="s">
        <v>57</v>
      </c>
    </row>
    <row r="1745" spans="1:9">
      <c r="A1745" s="4" t="s">
        <v>3545</v>
      </c>
      <c r="B1745" s="4" t="s">
        <v>3546</v>
      </c>
      <c r="C1745" s="4" t="s">
        <v>51</v>
      </c>
      <c r="D1745" s="2">
        <f>12295285760/(10^6)</f>
        <v>12295.28576</v>
      </c>
      <c r="E1745" s="5">
        <v>71.3045959472656</v>
      </c>
      <c r="F1745" s="5">
        <v>22.8766422271729</v>
      </c>
      <c r="G1745" s="5">
        <v>16.3020839691162</v>
      </c>
      <c r="H1745" s="5">
        <v>43.882999420166</v>
      </c>
      <c r="I1745" t="s">
        <v>57</v>
      </c>
    </row>
    <row r="1746" spans="1:9">
      <c r="A1746" s="4" t="s">
        <v>3547</v>
      </c>
      <c r="B1746" s="4" t="s">
        <v>3548</v>
      </c>
      <c r="C1746" s="4" t="s">
        <v>27</v>
      </c>
      <c r="D1746" s="2">
        <f>12247540736/(10^6)</f>
        <v>12247.540736</v>
      </c>
      <c r="E1746" s="5">
        <v>9.56123733520508</v>
      </c>
      <c r="F1746" s="5">
        <v>0.556375563144684</v>
      </c>
      <c r="G1746" s="5">
        <v>0.274749100208282</v>
      </c>
      <c r="H1746" s="5">
        <v>6.08163642883301</v>
      </c>
      <c r="I1746" t="s">
        <v>57</v>
      </c>
    </row>
    <row r="1747" spans="1:9">
      <c r="A1747" s="4" t="s">
        <v>3549</v>
      </c>
      <c r="B1747" s="4" t="s">
        <v>3550</v>
      </c>
      <c r="C1747" s="4" t="s">
        <v>47</v>
      </c>
      <c r="D1747" s="2">
        <f>12206070784/(10^6)</f>
        <v>12206.070784</v>
      </c>
      <c r="E1747" s="5">
        <v>6.31402492523193</v>
      </c>
      <c r="F1747" s="5">
        <v>0.79738062620163</v>
      </c>
      <c r="G1747" s="5">
        <v>0.555582761764526</v>
      </c>
      <c r="H1747" s="5">
        <v>7.36258506774902</v>
      </c>
      <c r="I1747" t="s">
        <v>57</v>
      </c>
    </row>
    <row r="1748" spans="1:9">
      <c r="A1748" s="4" t="s">
        <v>3551</v>
      </c>
      <c r="B1748" s="4" t="s">
        <v>3552</v>
      </c>
      <c r="C1748" s="4" t="s">
        <v>47</v>
      </c>
      <c r="D1748" s="2">
        <f>12206070784/(10^6)</f>
        <v>12206.070784</v>
      </c>
      <c r="E1748" s="5">
        <v>6.31402492523193</v>
      </c>
      <c r="F1748" s="5">
        <v>0.79738062620163</v>
      </c>
      <c r="G1748" s="5">
        <v>0.555582761764526</v>
      </c>
      <c r="H1748" s="5">
        <v>7.36258506774902</v>
      </c>
      <c r="I1748" t="s">
        <v>57</v>
      </c>
    </row>
    <row r="1749" spans="1:9">
      <c r="A1749" s="4" t="s">
        <v>3553</v>
      </c>
      <c r="B1749" s="4" t="s">
        <v>3554</v>
      </c>
      <c r="C1749" s="4" t="s">
        <v>43</v>
      </c>
      <c r="D1749" s="2">
        <f>12195926016/(10^6)</f>
        <v>12195.926016</v>
      </c>
      <c r="E1749" s="5">
        <v>6.18930435180664</v>
      </c>
      <c r="F1749" s="5">
        <v>0.629845261573792</v>
      </c>
      <c r="G1749" s="5">
        <v>1.24043500423431</v>
      </c>
      <c r="H1749" s="5" t="s">
        <v>86</v>
      </c>
      <c r="I1749" t="s">
        <v>57</v>
      </c>
    </row>
    <row r="1750" spans="1:9">
      <c r="A1750" s="4" t="s">
        <v>3555</v>
      </c>
      <c r="B1750" s="4" t="s">
        <v>3556</v>
      </c>
      <c r="C1750" s="4" t="s">
        <v>37</v>
      </c>
      <c r="D1750" s="2">
        <f>12006857728/(10^6)</f>
        <v>12006.857728</v>
      </c>
      <c r="E1750" s="5">
        <v>6.92943811416626</v>
      </c>
      <c r="F1750" s="5">
        <v>1.55660605430603</v>
      </c>
      <c r="G1750" s="5">
        <v>0.540978074073792</v>
      </c>
      <c r="H1750" s="5">
        <v>6.08121538162231</v>
      </c>
      <c r="I1750" t="s">
        <v>57</v>
      </c>
    </row>
    <row r="1751" spans="1:9">
      <c r="A1751" s="4" t="s">
        <v>3557</v>
      </c>
      <c r="B1751" s="4" t="s">
        <v>3558</v>
      </c>
      <c r="C1751" s="4" t="s">
        <v>41</v>
      </c>
      <c r="D1751" s="2">
        <f>11985044480/(10^6)</f>
        <v>11985.04448</v>
      </c>
      <c r="E1751" s="5" t="s">
        <v>86</v>
      </c>
      <c r="F1751" s="5">
        <v>11.7793941497803</v>
      </c>
      <c r="G1751" s="5">
        <v>21.3246688842773</v>
      </c>
      <c r="H1751" s="5" t="s">
        <v>86</v>
      </c>
      <c r="I1751" t="s">
        <v>57</v>
      </c>
    </row>
    <row r="1752" spans="1:9">
      <c r="A1752" s="4" t="s">
        <v>3559</v>
      </c>
      <c r="B1752" s="4" t="s">
        <v>3560</v>
      </c>
      <c r="C1752" s="4" t="s">
        <v>39</v>
      </c>
      <c r="D1752" s="2">
        <f>11913935872/(10^6)</f>
        <v>11913.935872</v>
      </c>
      <c r="E1752" s="5">
        <v>21.8408069610596</v>
      </c>
      <c r="F1752" s="5">
        <v>1.9435408115387</v>
      </c>
      <c r="G1752" s="5">
        <v>3.99704957008362</v>
      </c>
      <c r="H1752" s="5">
        <v>13.8841075897217</v>
      </c>
      <c r="I1752" t="s">
        <v>57</v>
      </c>
    </row>
    <row r="1753" spans="1:9">
      <c r="A1753" s="4" t="s">
        <v>3561</v>
      </c>
      <c r="B1753" s="4" t="s">
        <v>3562</v>
      </c>
      <c r="C1753" s="4" t="s">
        <v>43</v>
      </c>
      <c r="D1753" s="2">
        <f>11843248128/(10^6)</f>
        <v>11843.248128</v>
      </c>
      <c r="E1753" s="5">
        <v>4.23017644882202</v>
      </c>
      <c r="F1753" s="5">
        <v>1.05528712272644</v>
      </c>
      <c r="G1753" s="5">
        <v>0.877365469932556</v>
      </c>
      <c r="H1753" s="5">
        <v>4.59436082839966</v>
      </c>
      <c r="I1753" t="s">
        <v>57</v>
      </c>
    </row>
    <row r="1754" spans="1:9">
      <c r="A1754" s="4" t="s">
        <v>3563</v>
      </c>
      <c r="B1754" s="4" t="s">
        <v>3564</v>
      </c>
      <c r="C1754" s="4" t="s">
        <v>31</v>
      </c>
      <c r="D1754" s="2">
        <f>11827680256/(10^6)</f>
        <v>11827.680256</v>
      </c>
      <c r="E1754" s="5">
        <v>15.5555620193481</v>
      </c>
      <c r="F1754" s="5">
        <v>3.89940643310547</v>
      </c>
      <c r="G1754" s="5">
        <v>1.66739177703857</v>
      </c>
      <c r="H1754" s="5">
        <v>11.2919359207153</v>
      </c>
      <c r="I1754" t="s">
        <v>57</v>
      </c>
    </row>
    <row r="1755" spans="1:9">
      <c r="A1755" s="4" t="s">
        <v>3565</v>
      </c>
      <c r="B1755" s="4" t="s">
        <v>3566</v>
      </c>
      <c r="C1755" s="4" t="s">
        <v>31</v>
      </c>
      <c r="D1755" s="2">
        <f>11804578816/(10^6)</f>
        <v>11804.578816</v>
      </c>
      <c r="E1755" s="5">
        <v>18.4326705932617</v>
      </c>
      <c r="F1755" s="5">
        <v>3.99157905578613</v>
      </c>
      <c r="G1755" s="5">
        <v>2.24621748924255</v>
      </c>
      <c r="H1755" s="5">
        <v>16.6698150634766</v>
      </c>
      <c r="I1755" t="s">
        <v>57</v>
      </c>
    </row>
    <row r="1756" spans="1:9">
      <c r="A1756" s="4" t="s">
        <v>3567</v>
      </c>
      <c r="B1756" s="4" t="s">
        <v>3568</v>
      </c>
      <c r="C1756" s="4" t="s">
        <v>41</v>
      </c>
      <c r="D1756" s="2">
        <f>11782141952/(10^6)</f>
        <v>11782.141952</v>
      </c>
      <c r="E1756" s="5" t="s">
        <v>86</v>
      </c>
      <c r="F1756" s="5">
        <v>8.12542915344238</v>
      </c>
      <c r="G1756" s="5">
        <v>51.7462120056152</v>
      </c>
      <c r="H1756" s="5" t="s">
        <v>86</v>
      </c>
      <c r="I1756" t="s">
        <v>57</v>
      </c>
    </row>
    <row r="1757" spans="1:9">
      <c r="A1757" s="4" t="s">
        <v>3569</v>
      </c>
      <c r="B1757" s="4" t="s">
        <v>3570</v>
      </c>
      <c r="C1757" s="4" t="s">
        <v>37</v>
      </c>
      <c r="D1757" s="2">
        <f>11771738112/(10^6)</f>
        <v>11771.738112</v>
      </c>
      <c r="E1757" s="5">
        <v>22.5088863372803</v>
      </c>
      <c r="F1757" s="5">
        <v>1.89311897754669</v>
      </c>
      <c r="G1757" s="5">
        <v>2.40088891983032</v>
      </c>
      <c r="H1757" s="5">
        <v>15.3284282684326</v>
      </c>
      <c r="I1757" t="s">
        <v>57</v>
      </c>
    </row>
    <row r="1758" spans="1:9">
      <c r="A1758" s="4" t="s">
        <v>3571</v>
      </c>
      <c r="B1758" s="4" t="s">
        <v>3572</v>
      </c>
      <c r="C1758" s="4" t="s">
        <v>35</v>
      </c>
      <c r="D1758" s="2">
        <f>11749327872/(10^6)</f>
        <v>11749.327872</v>
      </c>
      <c r="E1758" s="5">
        <v>15.4584245681763</v>
      </c>
      <c r="F1758" s="5">
        <v>1.43755757808685</v>
      </c>
      <c r="G1758" s="5">
        <v>1.54221034049988</v>
      </c>
      <c r="H1758" s="5">
        <v>11.4194822311401</v>
      </c>
      <c r="I1758" t="s">
        <v>57</v>
      </c>
    </row>
    <row r="1759" spans="1:9">
      <c r="A1759" s="4" t="s">
        <v>3573</v>
      </c>
      <c r="B1759" s="4" t="s">
        <v>3574</v>
      </c>
      <c r="C1759" s="4" t="s">
        <v>39</v>
      </c>
      <c r="D1759" s="2">
        <f>11700231168/(10^6)</f>
        <v>11700.231168</v>
      </c>
      <c r="E1759" s="5">
        <v>20.6477470397949</v>
      </c>
      <c r="F1759" s="5">
        <v>2.24776458740234</v>
      </c>
      <c r="G1759" s="5">
        <v>3.1220178604126</v>
      </c>
      <c r="H1759" s="5">
        <v>13.6814393997192</v>
      </c>
      <c r="I1759" t="s">
        <v>57</v>
      </c>
    </row>
    <row r="1760" spans="1:9">
      <c r="A1760" s="4" t="s">
        <v>3575</v>
      </c>
      <c r="B1760" s="4" t="s">
        <v>3576</v>
      </c>
      <c r="C1760" s="4" t="s">
        <v>41</v>
      </c>
      <c r="D1760" s="2">
        <f>11521614848/(10^6)</f>
        <v>11521.614848</v>
      </c>
      <c r="E1760" s="5">
        <v>20.6766586303711</v>
      </c>
      <c r="F1760" s="5" t="s">
        <v>86</v>
      </c>
      <c r="G1760" s="5">
        <v>5.17820739746094</v>
      </c>
      <c r="H1760" s="5">
        <v>15.2510671615601</v>
      </c>
      <c r="I1760" t="s">
        <v>57</v>
      </c>
    </row>
    <row r="1761" spans="1:9">
      <c r="A1761" s="4" t="s">
        <v>3577</v>
      </c>
      <c r="B1761" s="4" t="s">
        <v>3578</v>
      </c>
      <c r="C1761" s="4" t="s">
        <v>51</v>
      </c>
      <c r="D1761" s="2">
        <f>11433521152/(10^6)</f>
        <v>11433.521152</v>
      </c>
      <c r="E1761" s="5">
        <v>40.1983604431152</v>
      </c>
      <c r="F1761" s="5">
        <v>7.68976020812988</v>
      </c>
      <c r="G1761" s="5">
        <v>7.03944969177246</v>
      </c>
      <c r="H1761" s="5">
        <v>21.1556015014648</v>
      </c>
      <c r="I1761" t="s">
        <v>57</v>
      </c>
    </row>
    <row r="1762" spans="1:9">
      <c r="A1762" s="4" t="s">
        <v>3579</v>
      </c>
      <c r="B1762" s="4" t="s">
        <v>3580</v>
      </c>
      <c r="C1762" s="4" t="s">
        <v>27</v>
      </c>
      <c r="D1762" s="2">
        <f>11376319488/(10^6)</f>
        <v>11376.319488</v>
      </c>
      <c r="E1762" s="5">
        <v>7.96290111541748</v>
      </c>
      <c r="F1762" s="5">
        <v>0.937767326831818</v>
      </c>
      <c r="G1762" s="5">
        <v>1.18286502361298</v>
      </c>
      <c r="H1762" s="5">
        <v>5.11106538772583</v>
      </c>
      <c r="I1762" t="s">
        <v>57</v>
      </c>
    </row>
    <row r="1763" spans="1:9">
      <c r="A1763" s="4" t="s">
        <v>3581</v>
      </c>
      <c r="B1763" s="4" t="s">
        <v>3582</v>
      </c>
      <c r="C1763" s="4" t="s">
        <v>51</v>
      </c>
      <c r="D1763" s="2">
        <f>11365272576/(10^6)</f>
        <v>11365.272576</v>
      </c>
      <c r="E1763" s="5">
        <v>48.5062484741211</v>
      </c>
      <c r="F1763" s="5">
        <v>1.33952057361603</v>
      </c>
      <c r="G1763" s="5">
        <v>3.23207640647888</v>
      </c>
      <c r="H1763" s="5">
        <v>3.44786214828491</v>
      </c>
      <c r="I1763" t="s">
        <v>57</v>
      </c>
    </row>
    <row r="1764" spans="1:9">
      <c r="A1764" s="4" t="s">
        <v>3583</v>
      </c>
      <c r="B1764" s="4" t="s">
        <v>3584</v>
      </c>
      <c r="C1764" s="4" t="s">
        <v>33</v>
      </c>
      <c r="D1764" s="2">
        <f>11272781824/(10^6)</f>
        <v>11272.781824</v>
      </c>
      <c r="E1764" s="5">
        <v>8.57755756378174</v>
      </c>
      <c r="F1764" s="5">
        <v>3.95418834686279</v>
      </c>
      <c r="G1764" s="5">
        <v>0.763656377792358</v>
      </c>
      <c r="H1764" s="5">
        <v>5.37178373336792</v>
      </c>
      <c r="I1764" t="s">
        <v>57</v>
      </c>
    </row>
    <row r="1765" spans="1:9">
      <c r="A1765" s="4" t="s">
        <v>3585</v>
      </c>
      <c r="B1765" s="4" t="s">
        <v>3586</v>
      </c>
      <c r="C1765" s="4" t="s">
        <v>37</v>
      </c>
      <c r="D1765" s="2">
        <f>11271678976/(10^6)</f>
        <v>11271.678976</v>
      </c>
      <c r="E1765" s="5">
        <v>18.6682739257812</v>
      </c>
      <c r="F1765" s="5">
        <v>2.11335277557373</v>
      </c>
      <c r="G1765" s="5">
        <v>2.39096784591675</v>
      </c>
      <c r="H1765" s="5">
        <v>10.8595857620239</v>
      </c>
      <c r="I1765" t="s">
        <v>57</v>
      </c>
    </row>
    <row r="1766" spans="1:9">
      <c r="A1766" s="4" t="s">
        <v>3587</v>
      </c>
      <c r="B1766" s="4" t="s">
        <v>3588</v>
      </c>
      <c r="C1766" s="4" t="s">
        <v>31</v>
      </c>
      <c r="D1766" s="2">
        <f>11229636608/(10^6)</f>
        <v>11229.636608</v>
      </c>
      <c r="E1766" s="5">
        <v>48.912670135498</v>
      </c>
      <c r="F1766" s="5">
        <v>13.7514915466309</v>
      </c>
      <c r="G1766" s="5">
        <v>5.56659078598022</v>
      </c>
      <c r="H1766" s="5">
        <v>27.3594188690186</v>
      </c>
      <c r="I1766" t="s">
        <v>57</v>
      </c>
    </row>
    <row r="1767" spans="1:9">
      <c r="A1767" s="4" t="s">
        <v>3589</v>
      </c>
      <c r="B1767" s="4" t="s">
        <v>3590</v>
      </c>
      <c r="C1767" s="4" t="s">
        <v>51</v>
      </c>
      <c r="D1767" s="2">
        <f>11142370304/(10^6)</f>
        <v>11142.370304</v>
      </c>
      <c r="E1767" s="5">
        <v>75.702522277832</v>
      </c>
      <c r="F1767" s="5">
        <v>6.87523651123047</v>
      </c>
      <c r="G1767" s="5">
        <v>10.061616897583</v>
      </c>
      <c r="H1767" s="5">
        <v>45.4997253417969</v>
      </c>
      <c r="I1767" t="s">
        <v>57</v>
      </c>
    </row>
    <row r="1768" spans="1:9">
      <c r="A1768" s="4" t="s">
        <v>3591</v>
      </c>
      <c r="B1768" s="4" t="s">
        <v>3592</v>
      </c>
      <c r="C1768" s="4" t="s">
        <v>41</v>
      </c>
      <c r="D1768" s="2">
        <f>11087447040/(10^6)</f>
        <v>11087.44704</v>
      </c>
      <c r="E1768" s="5">
        <v>14.9787158966064</v>
      </c>
      <c r="F1768" s="5">
        <v>1.95880877971649</v>
      </c>
      <c r="G1768" s="5">
        <v>1.44636297225952</v>
      </c>
      <c r="H1768" s="5">
        <v>8.9295015335083</v>
      </c>
      <c r="I1768" t="s">
        <v>57</v>
      </c>
    </row>
    <row r="1769" spans="1:9">
      <c r="A1769" s="4" t="s">
        <v>3593</v>
      </c>
      <c r="B1769" s="4" t="s">
        <v>3594</v>
      </c>
      <c r="C1769" s="4" t="s">
        <v>41</v>
      </c>
      <c r="D1769" s="2">
        <f>11048243200/(10^6)</f>
        <v>11048.2432</v>
      </c>
      <c r="E1769" s="5">
        <v>605.623046875</v>
      </c>
      <c r="F1769" s="5">
        <v>145.151245117188</v>
      </c>
      <c r="G1769" s="5">
        <v>14.4451293945312</v>
      </c>
      <c r="H1769" s="5">
        <v>141.243881225586</v>
      </c>
      <c r="I1769" t="s">
        <v>57</v>
      </c>
    </row>
    <row r="1770" spans="1:9">
      <c r="A1770" s="4" t="s">
        <v>3595</v>
      </c>
      <c r="B1770" s="4" t="s">
        <v>3596</v>
      </c>
      <c r="C1770" s="4" t="s">
        <v>41</v>
      </c>
      <c r="D1770" s="2">
        <f>11003654144/(10^6)</f>
        <v>11003.654144</v>
      </c>
      <c r="E1770" s="5">
        <v>26.8224964141846</v>
      </c>
      <c r="F1770" s="5">
        <v>3.25209140777588</v>
      </c>
      <c r="G1770" s="5">
        <v>3.69203972816467</v>
      </c>
      <c r="H1770" s="5">
        <v>16.3761653900146</v>
      </c>
      <c r="I1770" t="s">
        <v>57</v>
      </c>
    </row>
    <row r="1771" spans="1:9">
      <c r="A1771" s="4" t="s">
        <v>3597</v>
      </c>
      <c r="B1771" s="4" t="s">
        <v>3598</v>
      </c>
      <c r="C1771" s="4" t="s">
        <v>33</v>
      </c>
      <c r="D1771" s="2">
        <f>10973620224/(10^6)</f>
        <v>10973.620224</v>
      </c>
      <c r="E1771" s="5">
        <v>8.10283088684082</v>
      </c>
      <c r="F1771" s="5">
        <v>0.848820924758911</v>
      </c>
      <c r="G1771" s="5">
        <v>0.787555038928986</v>
      </c>
      <c r="H1771" s="5">
        <v>9.1051197052002</v>
      </c>
      <c r="I1771" t="s">
        <v>57</v>
      </c>
    </row>
    <row r="1772" spans="1:9">
      <c r="A1772" s="4" t="s">
        <v>3599</v>
      </c>
      <c r="B1772" s="4" t="s">
        <v>3600</v>
      </c>
      <c r="C1772" s="4" t="s">
        <v>31</v>
      </c>
      <c r="D1772" s="2">
        <f>10937753600/(10^6)</f>
        <v>10937.7536</v>
      </c>
      <c r="E1772" s="5">
        <v>19.2064895629883</v>
      </c>
      <c r="F1772" s="5">
        <v>5.03141117095947</v>
      </c>
      <c r="G1772" s="5">
        <v>1.36096322536469</v>
      </c>
      <c r="H1772" s="5">
        <v>11.2290840148926</v>
      </c>
      <c r="I1772" t="s">
        <v>57</v>
      </c>
    </row>
    <row r="1773" spans="1:9">
      <c r="A1773" s="4" t="s">
        <v>3601</v>
      </c>
      <c r="B1773" s="4" t="s">
        <v>3602</v>
      </c>
      <c r="C1773" s="4" t="s">
        <v>43</v>
      </c>
      <c r="D1773" s="2">
        <f>10862765056/(10^6)</f>
        <v>10862.765056</v>
      </c>
      <c r="E1773" s="5">
        <v>6.50334739685059</v>
      </c>
      <c r="F1773" s="5">
        <v>0.699687778949738</v>
      </c>
      <c r="G1773" s="5">
        <v>1.44340908527374</v>
      </c>
      <c r="H1773" s="5" t="s">
        <v>86</v>
      </c>
      <c r="I1773" t="s">
        <v>57</v>
      </c>
    </row>
    <row r="1774" spans="1:9">
      <c r="A1774" s="4" t="s">
        <v>3603</v>
      </c>
      <c r="B1774" s="4" t="s">
        <v>3604</v>
      </c>
      <c r="C1774" s="4" t="s">
        <v>51</v>
      </c>
      <c r="D1774" s="2">
        <f>10837937152/(10^6)</f>
        <v>10837.937152</v>
      </c>
      <c r="E1774" s="5">
        <v>22.8513202667236</v>
      </c>
      <c r="F1774" s="5">
        <v>2.10951590538025</v>
      </c>
      <c r="G1774" s="5">
        <v>2.31404733657837</v>
      </c>
      <c r="H1774" s="5">
        <v>10.3175039291382</v>
      </c>
      <c r="I1774" t="s">
        <v>57</v>
      </c>
    </row>
    <row r="1775" spans="1:9">
      <c r="A1775" s="4" t="s">
        <v>3605</v>
      </c>
      <c r="B1775" s="4" t="s">
        <v>3606</v>
      </c>
      <c r="C1775" s="4" t="s">
        <v>47</v>
      </c>
      <c r="D1775" s="2">
        <f>10590635008/(10^6)</f>
        <v>10590.635008</v>
      </c>
      <c r="E1775" s="5">
        <v>12.9790735244751</v>
      </c>
      <c r="F1775" s="5">
        <v>4.45572566986084</v>
      </c>
      <c r="G1775" s="5">
        <v>1.41547405719757</v>
      </c>
      <c r="H1775" s="5">
        <v>9.29007911682129</v>
      </c>
      <c r="I1775" t="s">
        <v>57</v>
      </c>
    </row>
    <row r="1776" spans="1:9">
      <c r="A1776" s="4" t="s">
        <v>3607</v>
      </c>
      <c r="B1776" s="4" t="s">
        <v>3608</v>
      </c>
      <c r="C1776" s="4" t="s">
        <v>51</v>
      </c>
      <c r="D1776" s="2">
        <f>10512468992/(10^6)</f>
        <v>10512.468992</v>
      </c>
      <c r="E1776" s="5">
        <v>23.1386432647705</v>
      </c>
      <c r="F1776" s="5">
        <v>9.34088897705078</v>
      </c>
      <c r="G1776" s="5">
        <v>2.42067861557007</v>
      </c>
      <c r="H1776" s="5">
        <v>14.2874422073364</v>
      </c>
      <c r="I1776" t="s">
        <v>57</v>
      </c>
    </row>
    <row r="1777" spans="1:9">
      <c r="A1777" s="4" t="s">
        <v>3609</v>
      </c>
      <c r="B1777" s="4" t="s">
        <v>3610</v>
      </c>
      <c r="C1777" s="4" t="s">
        <v>33</v>
      </c>
      <c r="D1777" s="2">
        <f>10492116992/(10^6)</f>
        <v>10492.116992</v>
      </c>
      <c r="E1777" s="5" t="s">
        <v>86</v>
      </c>
      <c r="F1777" s="5">
        <v>15.0123167037964</v>
      </c>
      <c r="G1777" s="5">
        <v>8.97002601623535</v>
      </c>
      <c r="H1777" s="5" t="s">
        <v>86</v>
      </c>
      <c r="I1777" t="s">
        <v>57</v>
      </c>
    </row>
    <row r="1778" spans="1:9">
      <c r="A1778" s="4" t="s">
        <v>3611</v>
      </c>
      <c r="B1778" s="4" t="s">
        <v>3612</v>
      </c>
      <c r="C1778" s="4" t="s">
        <v>43</v>
      </c>
      <c r="D1778" s="2">
        <f>10490454016/(10^6)</f>
        <v>10490.454016</v>
      </c>
      <c r="E1778" s="5">
        <v>3.05689692497253</v>
      </c>
      <c r="F1778" s="5">
        <v>0.734573900699615</v>
      </c>
      <c r="G1778" s="5">
        <v>0.588356673717499</v>
      </c>
      <c r="H1778" s="5">
        <v>2.51285004615784</v>
      </c>
      <c r="I1778" t="s">
        <v>57</v>
      </c>
    </row>
    <row r="1779" spans="1:9">
      <c r="A1779" s="4" t="s">
        <v>3613</v>
      </c>
      <c r="B1779" s="4" t="s">
        <v>3614</v>
      </c>
      <c r="C1779" s="4" t="s">
        <v>41</v>
      </c>
      <c r="D1779" s="2">
        <f>10417992704/(10^6)</f>
        <v>10417.992704</v>
      </c>
      <c r="E1779" s="5">
        <v>43.2694129943848</v>
      </c>
      <c r="F1779" s="5">
        <v>6.64507293701172</v>
      </c>
      <c r="G1779" s="5">
        <v>5.67208671569824</v>
      </c>
      <c r="H1779" s="5">
        <v>24.9653491973877</v>
      </c>
      <c r="I1779" t="s">
        <v>57</v>
      </c>
    </row>
    <row r="1780" spans="1:9">
      <c r="A1780" s="4" t="s">
        <v>3615</v>
      </c>
      <c r="B1780" s="4" t="s">
        <v>3616</v>
      </c>
      <c r="C1780" s="4" t="s">
        <v>27</v>
      </c>
      <c r="D1780" s="2">
        <f>10393562112/(10^6)</f>
        <v>10393.562112</v>
      </c>
      <c r="E1780" s="5">
        <v>7.31008815765381</v>
      </c>
      <c r="F1780" s="5">
        <v>0.437410980463028</v>
      </c>
      <c r="G1780" s="5">
        <v>0.464444279670715</v>
      </c>
      <c r="H1780" s="5">
        <v>8.54081439971924</v>
      </c>
      <c r="I1780" t="s">
        <v>57</v>
      </c>
    </row>
    <row r="1781" spans="1:9">
      <c r="A1781" s="4" t="s">
        <v>3617</v>
      </c>
      <c r="B1781" s="4" t="s">
        <v>3618</v>
      </c>
      <c r="C1781" s="4" t="s">
        <v>27</v>
      </c>
      <c r="D1781" s="2">
        <f>10386452480/(10^6)</f>
        <v>10386.45248</v>
      </c>
      <c r="E1781" s="5" t="s">
        <v>86</v>
      </c>
      <c r="F1781" s="5">
        <v>1.18846011161804</v>
      </c>
      <c r="G1781" s="5">
        <v>1.57837665081024</v>
      </c>
      <c r="H1781" s="5">
        <v>5.66649198532104</v>
      </c>
      <c r="I1781" t="s">
        <v>57</v>
      </c>
    </row>
    <row r="1782" spans="1:9">
      <c r="A1782" s="4" t="s">
        <v>3619</v>
      </c>
      <c r="B1782" s="4" t="s">
        <v>3620</v>
      </c>
      <c r="C1782" s="4" t="s">
        <v>31</v>
      </c>
      <c r="D1782" s="2">
        <f>10342001664/(10^6)</f>
        <v>10342.001664</v>
      </c>
      <c r="E1782" s="5">
        <v>27.8131275177002</v>
      </c>
      <c r="F1782" s="5">
        <v>3.79965829849243</v>
      </c>
      <c r="G1782" s="5">
        <v>3.26836252212524</v>
      </c>
      <c r="H1782" s="5">
        <v>17.6670398712158</v>
      </c>
      <c r="I1782" t="s">
        <v>57</v>
      </c>
    </row>
    <row r="1783" spans="1:9">
      <c r="A1783" s="4" t="s">
        <v>3621</v>
      </c>
      <c r="B1783" s="4" t="s">
        <v>3622</v>
      </c>
      <c r="C1783" s="4" t="s">
        <v>47</v>
      </c>
      <c r="D1783" s="2">
        <f>10268029952/(10^6)</f>
        <v>10268.029952</v>
      </c>
      <c r="E1783" s="5">
        <v>21.3134956359863</v>
      </c>
      <c r="F1783" s="5">
        <v>19.4525928497314</v>
      </c>
      <c r="G1783" s="5">
        <v>1.41786420345306</v>
      </c>
      <c r="H1783" s="5">
        <v>10.7850437164307</v>
      </c>
      <c r="I1783" t="s">
        <v>57</v>
      </c>
    </row>
    <row r="1784" spans="1:9">
      <c r="A1784" s="4" t="s">
        <v>3623</v>
      </c>
      <c r="B1784" s="4" t="s">
        <v>3624</v>
      </c>
      <c r="C1784" s="4" t="s">
        <v>51</v>
      </c>
      <c r="D1784" s="2">
        <f>10263879680/(10^6)</f>
        <v>10263.87968</v>
      </c>
      <c r="E1784" s="5" t="s">
        <v>86</v>
      </c>
      <c r="F1784" s="5">
        <v>13.0645599365234</v>
      </c>
      <c r="G1784" s="5" t="s">
        <v>86</v>
      </c>
      <c r="H1784" s="5" t="s">
        <v>86</v>
      </c>
      <c r="I1784" t="s">
        <v>57</v>
      </c>
    </row>
    <row r="1785" spans="1:9">
      <c r="A1785" s="4" t="s">
        <v>3625</v>
      </c>
      <c r="B1785" s="4" t="s">
        <v>3626</v>
      </c>
      <c r="C1785" s="4" t="s">
        <v>43</v>
      </c>
      <c r="D1785" s="2">
        <f>10116188160/(10^6)</f>
        <v>10116.18816</v>
      </c>
      <c r="E1785" s="5">
        <v>26.2635841369629</v>
      </c>
      <c r="F1785" s="5">
        <v>3.0206036567688</v>
      </c>
      <c r="G1785" s="5">
        <v>4.09599018096924</v>
      </c>
      <c r="H1785" s="5">
        <v>14.753698348999</v>
      </c>
      <c r="I1785" t="s">
        <v>57</v>
      </c>
    </row>
    <row r="1786" spans="1:9">
      <c r="A1786" s="4" t="s">
        <v>3627</v>
      </c>
      <c r="B1786" s="4" t="s">
        <v>3628</v>
      </c>
      <c r="C1786" s="4" t="s">
        <v>33</v>
      </c>
      <c r="D1786" s="2">
        <f>10115138560/(10^6)</f>
        <v>10115.13856</v>
      </c>
      <c r="E1786" s="5">
        <v>1035.28503417969</v>
      </c>
      <c r="F1786" s="5">
        <v>8.79405975341797</v>
      </c>
      <c r="G1786" s="5">
        <v>0.858396112918854</v>
      </c>
      <c r="H1786" s="5">
        <v>13.8705911636353</v>
      </c>
      <c r="I1786" t="s">
        <v>57</v>
      </c>
    </row>
    <row r="1787" spans="1:9">
      <c r="A1787" s="4" t="s">
        <v>3629</v>
      </c>
      <c r="B1787" s="4" t="s">
        <v>3630</v>
      </c>
      <c r="C1787" s="4" t="s">
        <v>31</v>
      </c>
      <c r="D1787" s="2">
        <f>10090851328/(10^6)</f>
        <v>10090.851328</v>
      </c>
      <c r="E1787" s="5">
        <v>30.4754905700684</v>
      </c>
      <c r="F1787" s="5">
        <v>6.18496465682983</v>
      </c>
      <c r="G1787" s="5">
        <v>5.22581672668457</v>
      </c>
      <c r="H1787" s="5">
        <v>19.4569988250732</v>
      </c>
      <c r="I1787" t="s">
        <v>57</v>
      </c>
    </row>
    <row r="1788" spans="1:9">
      <c r="A1788" s="4" t="s">
        <v>3631</v>
      </c>
      <c r="B1788" s="4" t="s">
        <v>3632</v>
      </c>
      <c r="C1788" s="4" t="s">
        <v>31</v>
      </c>
      <c r="D1788" s="2">
        <f>10090851328/(10^6)</f>
        <v>10090.851328</v>
      </c>
      <c r="E1788" s="5">
        <v>30.4754905700684</v>
      </c>
      <c r="F1788" s="5">
        <v>6.18496465682983</v>
      </c>
      <c r="G1788" s="5">
        <v>5.22581672668457</v>
      </c>
      <c r="H1788" s="5">
        <v>19.4569988250732</v>
      </c>
      <c r="I1788" t="s">
        <v>57</v>
      </c>
    </row>
    <row r="1789" spans="1:9">
      <c r="A1789" s="4" t="s">
        <v>3633</v>
      </c>
      <c r="B1789" s="4" t="s">
        <v>3634</v>
      </c>
      <c r="C1789" s="4" t="s">
        <v>37</v>
      </c>
      <c r="D1789" s="2">
        <f>10041469952/(10^6)</f>
        <v>10041.469952</v>
      </c>
      <c r="E1789" s="5">
        <v>7.38104057312012</v>
      </c>
      <c r="F1789" s="5">
        <v>0.972058117389679</v>
      </c>
      <c r="G1789" s="5">
        <v>0.450625211000443</v>
      </c>
      <c r="H1789" s="5">
        <v>4.96457052230835</v>
      </c>
      <c r="I1789" t="s">
        <v>57</v>
      </c>
    </row>
    <row r="1790" spans="1:9">
      <c r="A1790" s="4" t="s">
        <v>3635</v>
      </c>
      <c r="B1790" s="4" t="s">
        <v>3636</v>
      </c>
      <c r="C1790" s="4" t="s">
        <v>43</v>
      </c>
      <c r="D1790" s="2">
        <f>10037454848/(10^6)</f>
        <v>10037.454848</v>
      </c>
      <c r="E1790" s="5">
        <v>24.8230648040771</v>
      </c>
      <c r="F1790" s="5">
        <v>2.99725961685181</v>
      </c>
      <c r="G1790" s="5">
        <v>8.8955078125</v>
      </c>
      <c r="H1790" s="5">
        <v>14.6571636199951</v>
      </c>
      <c r="I1790" t="s">
        <v>57</v>
      </c>
    </row>
    <row r="1791" spans="1:9">
      <c r="A1791" s="4" t="s">
        <v>3637</v>
      </c>
      <c r="B1791" s="4" t="s">
        <v>3638</v>
      </c>
      <c r="C1791" s="4" t="s">
        <v>31</v>
      </c>
      <c r="D1791" s="2">
        <f>10001063936/(10^6)</f>
        <v>10001.063936</v>
      </c>
      <c r="E1791" s="5">
        <v>22.5818996429443</v>
      </c>
      <c r="F1791" s="5">
        <v>4.41017150878906</v>
      </c>
      <c r="G1791" s="5">
        <v>3.97510695457458</v>
      </c>
      <c r="H1791" s="5">
        <v>15.1745510101318</v>
      </c>
      <c r="I1791" t="s">
        <v>57</v>
      </c>
    </row>
    <row r="1792" spans="1:9">
      <c r="A1792" s="4" t="s">
        <v>3639</v>
      </c>
      <c r="B1792" s="4" t="s">
        <v>3640</v>
      </c>
      <c r="C1792" s="4" t="s">
        <v>51</v>
      </c>
      <c r="D1792" s="2">
        <f>9968377856/(10^6)</f>
        <v>9968.377856</v>
      </c>
      <c r="E1792" s="5">
        <v>17.1168689727783</v>
      </c>
      <c r="F1792" s="5">
        <v>5.41996812820435</v>
      </c>
      <c r="G1792" s="5">
        <v>2.22232747077942</v>
      </c>
      <c r="H1792" s="5">
        <v>12.549090385437</v>
      </c>
      <c r="I1792" t="s">
        <v>57</v>
      </c>
    </row>
    <row r="1793" spans="1:9">
      <c r="A1793" s="4" t="s">
        <v>3641</v>
      </c>
      <c r="B1793" s="4" t="s">
        <v>3642</v>
      </c>
      <c r="C1793" s="4" t="s">
        <v>31</v>
      </c>
      <c r="D1793" s="2">
        <f>9962795008/(10^6)</f>
        <v>9962.795008</v>
      </c>
      <c r="E1793" s="5">
        <v>13.2349805831909</v>
      </c>
      <c r="F1793" s="5">
        <v>1.65863537788391</v>
      </c>
      <c r="G1793" s="5">
        <v>0.779923737049103</v>
      </c>
      <c r="H1793" s="5">
        <v>18.2478694915771</v>
      </c>
      <c r="I1793" t="s">
        <v>57</v>
      </c>
    </row>
    <row r="1794" spans="1:9">
      <c r="A1794" s="4" t="s">
        <v>3643</v>
      </c>
      <c r="B1794" s="4" t="s">
        <v>3644</v>
      </c>
      <c r="C1794" s="4" t="s">
        <v>37</v>
      </c>
      <c r="D1794" s="2">
        <f>9917731840/(10^6)</f>
        <v>9917.73184</v>
      </c>
      <c r="E1794" s="5">
        <v>12.5742635726929</v>
      </c>
      <c r="F1794" s="5">
        <v>3.90692377090454</v>
      </c>
      <c r="G1794" s="5">
        <v>2.1737117767334</v>
      </c>
      <c r="H1794" s="5">
        <v>12.8936147689819</v>
      </c>
      <c r="I1794" t="s">
        <v>57</v>
      </c>
    </row>
    <row r="1795" spans="1:9">
      <c r="A1795" s="4" t="s">
        <v>3645</v>
      </c>
      <c r="B1795" s="4" t="s">
        <v>3646</v>
      </c>
      <c r="C1795" s="4" t="s">
        <v>51</v>
      </c>
      <c r="D1795" s="2">
        <f>9911424000/(10^6)</f>
        <v>9911.424</v>
      </c>
      <c r="E1795" s="5">
        <v>59.8109703063965</v>
      </c>
      <c r="F1795" s="5">
        <v>12.7989778518677</v>
      </c>
      <c r="G1795" s="5">
        <v>3.28877806663513</v>
      </c>
      <c r="H1795" s="5">
        <v>25.3375854492188</v>
      </c>
      <c r="I1795" t="s">
        <v>57</v>
      </c>
    </row>
    <row r="1796" spans="1:9">
      <c r="A1796" s="4" t="s">
        <v>3647</v>
      </c>
      <c r="B1796" s="4" t="s">
        <v>3648</v>
      </c>
      <c r="C1796" s="4" t="s">
        <v>41</v>
      </c>
      <c r="D1796" s="2">
        <f>9886547968/(10^6)</f>
        <v>9886.547968</v>
      </c>
      <c r="E1796" s="5" t="s">
        <v>86</v>
      </c>
      <c r="F1796" s="5">
        <v>8.60814666748047</v>
      </c>
      <c r="G1796" s="5">
        <v>165.074508666992</v>
      </c>
      <c r="H1796" s="5" t="s">
        <v>86</v>
      </c>
      <c r="I1796" t="s">
        <v>57</v>
      </c>
    </row>
    <row r="1797" spans="1:9">
      <c r="A1797" s="4" t="s">
        <v>3649</v>
      </c>
      <c r="B1797" s="4" t="s">
        <v>3650</v>
      </c>
      <c r="C1797" s="4" t="s">
        <v>33</v>
      </c>
      <c r="D1797" s="2">
        <f>9871236096/(10^6)</f>
        <v>9871.236096</v>
      </c>
      <c r="E1797" s="5">
        <v>6.90968561172485</v>
      </c>
      <c r="F1797" s="5">
        <v>0.73317939043045</v>
      </c>
      <c r="G1797" s="5">
        <v>0.43333625793457</v>
      </c>
      <c r="H1797" s="5">
        <v>16.1949348449707</v>
      </c>
      <c r="I1797" t="s">
        <v>57</v>
      </c>
    </row>
    <row r="1798" spans="1:9">
      <c r="A1798" s="4" t="s">
        <v>3651</v>
      </c>
      <c r="B1798" s="4" t="s">
        <v>3652</v>
      </c>
      <c r="C1798" s="4" t="s">
        <v>47</v>
      </c>
      <c r="D1798" s="2">
        <f>9823187968/(10^6)</f>
        <v>9823.187968</v>
      </c>
      <c r="E1798" s="5">
        <v>14.2530755996704</v>
      </c>
      <c r="F1798" s="5">
        <v>5.19187784194946</v>
      </c>
      <c r="G1798" s="5">
        <v>1.36218976974487</v>
      </c>
      <c r="H1798" s="5">
        <v>7.58191347122192</v>
      </c>
      <c r="I1798" t="s">
        <v>57</v>
      </c>
    </row>
    <row r="1799" spans="1:9">
      <c r="A1799" s="4" t="s">
        <v>3653</v>
      </c>
      <c r="B1799" s="4" t="s">
        <v>3654</v>
      </c>
      <c r="C1799" s="4" t="s">
        <v>43</v>
      </c>
      <c r="D1799" s="2">
        <f>9697862656/(10^6)</f>
        <v>9697.862656</v>
      </c>
      <c r="E1799" s="5">
        <v>10.7229328155518</v>
      </c>
      <c r="F1799" s="5">
        <v>0.512876689434052</v>
      </c>
      <c r="G1799" s="5">
        <v>0.683364629745483</v>
      </c>
      <c r="H1799" s="5" t="s">
        <v>86</v>
      </c>
      <c r="I1799" t="s">
        <v>57</v>
      </c>
    </row>
    <row r="1800" spans="1:9">
      <c r="A1800" s="4" t="s">
        <v>3655</v>
      </c>
      <c r="B1800" s="4" t="s">
        <v>3656</v>
      </c>
      <c r="C1800" s="4" t="s">
        <v>41</v>
      </c>
      <c r="D1800" s="2">
        <f>9696998400/(10^6)</f>
        <v>9696.9984</v>
      </c>
      <c r="E1800" s="5">
        <v>49.1371994018555</v>
      </c>
      <c r="F1800" s="5">
        <v>1.676478266716</v>
      </c>
      <c r="G1800" s="5">
        <v>4.16246938705444</v>
      </c>
      <c r="H1800" s="5">
        <v>22.420129776001</v>
      </c>
      <c r="I1800" t="s">
        <v>57</v>
      </c>
    </row>
    <row r="1801" spans="1:9">
      <c r="A1801" s="4" t="s">
        <v>3657</v>
      </c>
      <c r="B1801" s="4" t="s">
        <v>3658</v>
      </c>
      <c r="C1801" s="4" t="s">
        <v>41</v>
      </c>
      <c r="D1801" s="2">
        <f>9696998400/(10^6)</f>
        <v>9696.9984</v>
      </c>
      <c r="E1801" s="5">
        <v>49.1371994018555</v>
      </c>
      <c r="F1801" s="5">
        <v>1.676478266716</v>
      </c>
      <c r="G1801" s="5">
        <v>4.16246938705444</v>
      </c>
      <c r="H1801" s="5">
        <v>22.420129776001</v>
      </c>
      <c r="I1801" t="s">
        <v>57</v>
      </c>
    </row>
    <row r="1802" spans="1:9">
      <c r="A1802" s="4" t="s">
        <v>3659</v>
      </c>
      <c r="B1802" s="4" t="s">
        <v>3660</v>
      </c>
      <c r="C1802" s="4" t="s">
        <v>51</v>
      </c>
      <c r="D1802" s="2">
        <f>9682513920/(10^6)</f>
        <v>9682.51392</v>
      </c>
      <c r="E1802" s="5">
        <v>38.0113983154297</v>
      </c>
      <c r="F1802" s="5">
        <v>6.05834102630615</v>
      </c>
      <c r="G1802" s="5">
        <v>4.18120956420898</v>
      </c>
      <c r="H1802" s="5">
        <v>22.0111999511719</v>
      </c>
      <c r="I1802" t="s">
        <v>57</v>
      </c>
    </row>
    <row r="1803" spans="1:9">
      <c r="A1803" s="4" t="s">
        <v>3661</v>
      </c>
      <c r="B1803" s="4" t="s">
        <v>3662</v>
      </c>
      <c r="C1803" s="4" t="s">
        <v>43</v>
      </c>
      <c r="D1803" s="2">
        <f>9655120896/(10^6)</f>
        <v>9655.120896</v>
      </c>
      <c r="E1803" s="5">
        <v>26.0612869262695</v>
      </c>
      <c r="F1803" s="5">
        <v>13.470498085022</v>
      </c>
      <c r="G1803" s="5">
        <v>6.68452262878418</v>
      </c>
      <c r="H1803" s="5">
        <v>19.7583847045898</v>
      </c>
      <c r="I1803" t="s">
        <v>57</v>
      </c>
    </row>
    <row r="1804" spans="1:9">
      <c r="A1804" s="4" t="s">
        <v>3663</v>
      </c>
      <c r="B1804" s="4" t="s">
        <v>3664</v>
      </c>
      <c r="C1804" s="4" t="s">
        <v>47</v>
      </c>
      <c r="D1804" s="2">
        <f>9641648128/(10^6)</f>
        <v>9641.648128</v>
      </c>
      <c r="E1804" s="5">
        <v>17.8399868011475</v>
      </c>
      <c r="F1804" s="5">
        <v>6.2659478187561</v>
      </c>
      <c r="G1804" s="5">
        <v>1.19081938266754</v>
      </c>
      <c r="H1804" s="5">
        <v>9.48574256896973</v>
      </c>
      <c r="I1804" t="s">
        <v>57</v>
      </c>
    </row>
    <row r="1805" spans="1:9">
      <c r="A1805" s="4" t="s">
        <v>3665</v>
      </c>
      <c r="B1805" s="4" t="s">
        <v>3666</v>
      </c>
      <c r="C1805" s="4" t="s">
        <v>41</v>
      </c>
      <c r="D1805" s="2">
        <f>9630655488/(10^6)</f>
        <v>9630.655488</v>
      </c>
      <c r="E1805" s="5">
        <v>51.2026290893555</v>
      </c>
      <c r="F1805" s="5">
        <v>8.23136329650879</v>
      </c>
      <c r="G1805" s="5">
        <v>10.2008037567139</v>
      </c>
      <c r="H1805" s="5">
        <v>35.6738815307617</v>
      </c>
      <c r="I1805" t="s">
        <v>57</v>
      </c>
    </row>
    <row r="1806" spans="1:9">
      <c r="A1806" s="4" t="s">
        <v>3667</v>
      </c>
      <c r="B1806" s="4" t="s">
        <v>3668</v>
      </c>
      <c r="C1806" s="4" t="s">
        <v>47</v>
      </c>
      <c r="D1806" s="2">
        <f>9628285952/(10^6)</f>
        <v>9628.285952</v>
      </c>
      <c r="E1806" s="5">
        <v>11.42054271698</v>
      </c>
      <c r="F1806" s="5">
        <v>2.61014223098755</v>
      </c>
      <c r="G1806" s="5">
        <v>0.497903317213058</v>
      </c>
      <c r="H1806" s="5">
        <v>8.1120023727417</v>
      </c>
      <c r="I1806" t="s">
        <v>57</v>
      </c>
    </row>
    <row r="1807" spans="1:9">
      <c r="A1807" s="4" t="s">
        <v>3669</v>
      </c>
      <c r="B1807" s="4" t="s">
        <v>3670</v>
      </c>
      <c r="C1807" s="4" t="s">
        <v>31</v>
      </c>
      <c r="D1807" s="2">
        <f>9623521280/(10^6)</f>
        <v>9623.52128</v>
      </c>
      <c r="E1807" s="5">
        <v>13.8065309524536</v>
      </c>
      <c r="F1807" s="5" t="s">
        <v>86</v>
      </c>
      <c r="G1807" s="5">
        <v>1.28421247005463</v>
      </c>
      <c r="H1807" s="5">
        <v>8.70837879180908</v>
      </c>
      <c r="I1807" t="s">
        <v>57</v>
      </c>
    </row>
    <row r="1808" spans="1:9">
      <c r="A1808" s="4" t="s">
        <v>3671</v>
      </c>
      <c r="B1808" s="4" t="s">
        <v>3672</v>
      </c>
      <c r="C1808" s="4" t="s">
        <v>43</v>
      </c>
      <c r="D1808" s="2">
        <f>9621921792/(10^6)</f>
        <v>9621.921792</v>
      </c>
      <c r="E1808" s="5">
        <v>12.2358665466309</v>
      </c>
      <c r="F1808" s="5" t="s">
        <v>86</v>
      </c>
      <c r="G1808" s="5">
        <v>0.079985208809376</v>
      </c>
      <c r="H1808" s="5" t="s">
        <v>86</v>
      </c>
      <c r="I1808" t="s">
        <v>57</v>
      </c>
    </row>
    <row r="1809" spans="1:9">
      <c r="A1809" s="4" t="s">
        <v>3673</v>
      </c>
      <c r="B1809" s="4" t="s">
        <v>3674</v>
      </c>
      <c r="C1809" s="4" t="s">
        <v>51</v>
      </c>
      <c r="D1809" s="2">
        <f>9580864512/(10^6)</f>
        <v>9580.864512</v>
      </c>
      <c r="E1809" s="5">
        <v>22.5576171875</v>
      </c>
      <c r="F1809" s="5">
        <v>10.4781913757324</v>
      </c>
      <c r="G1809" s="5">
        <v>1.31834185123444</v>
      </c>
      <c r="H1809" s="5">
        <v>14.3464164733887</v>
      </c>
      <c r="I1809" t="s">
        <v>57</v>
      </c>
    </row>
    <row r="1810" spans="1:9">
      <c r="A1810" s="4" t="s">
        <v>3675</v>
      </c>
      <c r="B1810" s="4" t="s">
        <v>3676</v>
      </c>
      <c r="C1810" s="4" t="s">
        <v>31</v>
      </c>
      <c r="D1810" s="2">
        <f>9569681408/(10^6)</f>
        <v>9569.681408</v>
      </c>
      <c r="E1810" s="5">
        <v>16.9566383361816</v>
      </c>
      <c r="F1810" s="5">
        <v>4.21941423416138</v>
      </c>
      <c r="G1810" s="5">
        <v>1.05384922027588</v>
      </c>
      <c r="H1810" s="5">
        <v>8.57951831817627</v>
      </c>
      <c r="I1810" t="s">
        <v>57</v>
      </c>
    </row>
    <row r="1811" spans="1:9">
      <c r="A1811" s="4" t="s">
        <v>3677</v>
      </c>
      <c r="B1811" s="4" t="s">
        <v>3678</v>
      </c>
      <c r="C1811" s="4" t="s">
        <v>47</v>
      </c>
      <c r="D1811" s="2">
        <f>9515267072/(10^6)</f>
        <v>9515.267072</v>
      </c>
      <c r="E1811" s="5">
        <v>3.48676109313965</v>
      </c>
      <c r="F1811" s="5">
        <v>0.388584285974503</v>
      </c>
      <c r="G1811" s="5">
        <v>0.47309347987175</v>
      </c>
      <c r="H1811" s="5">
        <v>3.77171397209167</v>
      </c>
      <c r="I1811" t="s">
        <v>57</v>
      </c>
    </row>
    <row r="1812" spans="1:9">
      <c r="A1812" s="4" t="s">
        <v>3679</v>
      </c>
      <c r="B1812" s="4" t="s">
        <v>3680</v>
      </c>
      <c r="C1812" s="4" t="s">
        <v>43</v>
      </c>
      <c r="D1812" s="2">
        <f>9514084352/(10^6)</f>
        <v>9514.084352</v>
      </c>
      <c r="E1812" s="5">
        <v>17.8251457214355</v>
      </c>
      <c r="F1812" s="5">
        <v>1.56603646278381</v>
      </c>
      <c r="G1812" s="5">
        <v>1.25188398361206</v>
      </c>
      <c r="H1812" s="5" t="s">
        <v>86</v>
      </c>
      <c r="I1812" t="s">
        <v>57</v>
      </c>
    </row>
    <row r="1813" spans="1:9">
      <c r="A1813" s="4" t="s">
        <v>3681</v>
      </c>
      <c r="B1813" s="4" t="s">
        <v>3682</v>
      </c>
      <c r="C1813" s="4" t="s">
        <v>51</v>
      </c>
      <c r="D1813" s="2">
        <f>9495084032/(10^6)</f>
        <v>9495.084032</v>
      </c>
      <c r="E1813" s="5" t="s">
        <v>86</v>
      </c>
      <c r="F1813" s="5">
        <v>19.1460609436035</v>
      </c>
      <c r="G1813" s="5">
        <v>23.5202159881592</v>
      </c>
      <c r="H1813" s="5" t="s">
        <v>86</v>
      </c>
      <c r="I1813" t="s">
        <v>57</v>
      </c>
    </row>
    <row r="1814" spans="1:9">
      <c r="A1814" s="4" t="s">
        <v>3683</v>
      </c>
      <c r="B1814" s="4" t="s">
        <v>3684</v>
      </c>
      <c r="C1814" s="4" t="s">
        <v>39</v>
      </c>
      <c r="D1814" s="2">
        <f>9464840192/(10^6)</f>
        <v>9464.840192</v>
      </c>
      <c r="E1814" s="5">
        <v>16.1897373199463</v>
      </c>
      <c r="F1814" s="5">
        <v>1.85279726982117</v>
      </c>
      <c r="G1814" s="5">
        <v>1.78079044818878</v>
      </c>
      <c r="H1814" s="5">
        <v>12.2411069869995</v>
      </c>
      <c r="I1814" t="s">
        <v>57</v>
      </c>
    </row>
    <row r="1815" spans="1:9">
      <c r="A1815" s="4" t="s">
        <v>3685</v>
      </c>
      <c r="B1815" s="4" t="s">
        <v>3686</v>
      </c>
      <c r="C1815" s="4" t="s">
        <v>43</v>
      </c>
      <c r="D1815" s="2">
        <f>9447628800/(10^6)</f>
        <v>9447.6288</v>
      </c>
      <c r="E1815" s="5">
        <v>47.4421768188477</v>
      </c>
      <c r="F1815" s="5">
        <v>2.77282881736755</v>
      </c>
      <c r="G1815" s="5">
        <v>8.71901893615723</v>
      </c>
      <c r="H1815" s="5">
        <v>31.1121883392334</v>
      </c>
      <c r="I1815" t="s">
        <v>57</v>
      </c>
    </row>
    <row r="1816" spans="1:9">
      <c r="A1816" s="4" t="s">
        <v>3687</v>
      </c>
      <c r="B1816" s="4" t="s">
        <v>3688</v>
      </c>
      <c r="C1816" s="4" t="s">
        <v>31</v>
      </c>
      <c r="D1816" s="2">
        <f>9404504064/(10^6)</f>
        <v>9404.504064</v>
      </c>
      <c r="E1816" s="5">
        <v>21.728422164917</v>
      </c>
      <c r="F1816" s="5">
        <v>2.48175716400146</v>
      </c>
      <c r="G1816" s="5">
        <v>1.8780163526535</v>
      </c>
      <c r="H1816" s="5">
        <v>22.3058338165283</v>
      </c>
      <c r="I1816" t="s">
        <v>57</v>
      </c>
    </row>
    <row r="1817" spans="1:9">
      <c r="A1817" s="4" t="s">
        <v>3689</v>
      </c>
      <c r="B1817" s="4" t="s">
        <v>3690</v>
      </c>
      <c r="C1817" s="4" t="s">
        <v>47</v>
      </c>
      <c r="D1817" s="2">
        <f>9371299840/(10^6)</f>
        <v>9371.29984</v>
      </c>
      <c r="E1817" s="5">
        <v>11.398624420166</v>
      </c>
      <c r="F1817" s="5">
        <v>2.5501561164856</v>
      </c>
      <c r="G1817" s="5">
        <v>0.484437316656113</v>
      </c>
      <c r="H1817" s="5">
        <v>9.07158660888672</v>
      </c>
      <c r="I1817" t="s">
        <v>57</v>
      </c>
    </row>
    <row r="1818" spans="1:9">
      <c r="A1818" s="4" t="s">
        <v>3691</v>
      </c>
      <c r="B1818" s="4" t="s">
        <v>3692</v>
      </c>
      <c r="C1818" s="4" t="s">
        <v>51</v>
      </c>
      <c r="D1818" s="2">
        <f>9336956928/(10^6)</f>
        <v>9336.956928</v>
      </c>
      <c r="E1818" s="5">
        <v>43.3717308044434</v>
      </c>
      <c r="F1818" s="5">
        <v>9.95409488677979</v>
      </c>
      <c r="G1818" s="5">
        <v>2.21664309501648</v>
      </c>
      <c r="H1818" s="5">
        <v>17.6640357971191</v>
      </c>
      <c r="I1818" t="s">
        <v>57</v>
      </c>
    </row>
    <row r="1819" spans="1:9">
      <c r="A1819" s="4" t="s">
        <v>3693</v>
      </c>
      <c r="B1819" s="4" t="s">
        <v>3694</v>
      </c>
      <c r="C1819" s="4" t="s">
        <v>51</v>
      </c>
      <c r="D1819" s="2">
        <f>9334592512/(10^6)</f>
        <v>9334.592512</v>
      </c>
      <c r="E1819" s="5">
        <v>23.0047874450684</v>
      </c>
      <c r="F1819" s="5">
        <v>2.15212893486023</v>
      </c>
      <c r="G1819" s="5">
        <v>3.05867075920105</v>
      </c>
      <c r="H1819" s="5">
        <v>11.3897695541382</v>
      </c>
      <c r="I1819" t="s">
        <v>57</v>
      </c>
    </row>
    <row r="1820" spans="1:9">
      <c r="A1820" s="4" t="s">
        <v>3695</v>
      </c>
      <c r="B1820" s="4" t="s">
        <v>3696</v>
      </c>
      <c r="C1820" s="4" t="s">
        <v>43</v>
      </c>
      <c r="D1820" s="2">
        <f>9257992192/(10^6)</f>
        <v>9257.992192</v>
      </c>
      <c r="E1820" s="5">
        <v>6.25567674636841</v>
      </c>
      <c r="F1820" s="5">
        <v>0.625654876232147</v>
      </c>
      <c r="G1820" s="5">
        <v>1.42374241352081</v>
      </c>
      <c r="H1820" s="5" t="s">
        <v>86</v>
      </c>
      <c r="I1820" t="s">
        <v>57</v>
      </c>
    </row>
    <row r="1821" spans="1:9">
      <c r="A1821" s="4" t="s">
        <v>3697</v>
      </c>
      <c r="B1821" s="4" t="s">
        <v>3698</v>
      </c>
      <c r="C1821" s="4" t="s">
        <v>41</v>
      </c>
      <c r="D1821" s="2">
        <f>9180103680/(10^6)</f>
        <v>9180.10368</v>
      </c>
      <c r="E1821" s="5">
        <v>13.2561740875244</v>
      </c>
      <c r="F1821" s="5">
        <v>4.31134080886841</v>
      </c>
      <c r="G1821" s="5">
        <v>0.971409201622009</v>
      </c>
      <c r="H1821" s="5">
        <v>7.40022945404053</v>
      </c>
      <c r="I1821" t="s">
        <v>57</v>
      </c>
    </row>
    <row r="1822" spans="1:9">
      <c r="A1822" s="4" t="s">
        <v>3699</v>
      </c>
      <c r="B1822" s="4" t="s">
        <v>3700</v>
      </c>
      <c r="C1822" s="4" t="s">
        <v>41</v>
      </c>
      <c r="D1822" s="2">
        <f>9154530304/(10^6)</f>
        <v>9154.530304</v>
      </c>
      <c r="E1822" s="5">
        <v>23.5219898223877</v>
      </c>
      <c r="F1822" s="5">
        <v>4.95749425888062</v>
      </c>
      <c r="G1822" s="5">
        <v>2.77263569831848</v>
      </c>
      <c r="H1822" s="5">
        <v>18.492151260376</v>
      </c>
      <c r="I1822" t="s">
        <v>57</v>
      </c>
    </row>
    <row r="1823" spans="1:9">
      <c r="A1823" s="4" t="s">
        <v>3701</v>
      </c>
      <c r="B1823" s="4" t="s">
        <v>3702</v>
      </c>
      <c r="C1823" s="4" t="s">
        <v>51</v>
      </c>
      <c r="D1823" s="2">
        <f>9148129280/(10^6)</f>
        <v>9148.12928</v>
      </c>
      <c r="E1823" s="5">
        <v>22.4709701538086</v>
      </c>
      <c r="F1823" s="5">
        <v>6.16663122177124</v>
      </c>
      <c r="G1823" s="5">
        <v>4.06708812713623</v>
      </c>
      <c r="H1823" s="5">
        <v>12.3417310714722</v>
      </c>
      <c r="I1823" t="s">
        <v>57</v>
      </c>
    </row>
    <row r="1824" spans="1:9">
      <c r="A1824" s="4" t="s">
        <v>3703</v>
      </c>
      <c r="B1824" s="4" t="s">
        <v>3704</v>
      </c>
      <c r="C1824" s="4" t="s">
        <v>31</v>
      </c>
      <c r="D1824" s="2">
        <f>9121619968/(10^6)</f>
        <v>9121.619968</v>
      </c>
      <c r="E1824" s="5">
        <v>10.8990678787231</v>
      </c>
      <c r="F1824" s="5">
        <v>0.916089832782745</v>
      </c>
      <c r="G1824" s="5">
        <v>0.976873397827148</v>
      </c>
      <c r="H1824" s="5">
        <v>11.8529186248779</v>
      </c>
      <c r="I1824" t="s">
        <v>57</v>
      </c>
    </row>
    <row r="1825" spans="1:9">
      <c r="A1825" s="4" t="s">
        <v>3705</v>
      </c>
      <c r="B1825" s="4" t="s">
        <v>3706</v>
      </c>
      <c r="C1825" s="4" t="s">
        <v>51</v>
      </c>
      <c r="D1825" s="2">
        <f>9100612608/(10^6)</f>
        <v>9100.612608</v>
      </c>
      <c r="E1825" s="5">
        <v>88.7511138916016</v>
      </c>
      <c r="F1825" s="5">
        <v>14.8258781433105</v>
      </c>
      <c r="G1825" s="5">
        <v>13.4746341705322</v>
      </c>
      <c r="H1825" s="5">
        <v>56.1977119445801</v>
      </c>
      <c r="I1825" t="s">
        <v>57</v>
      </c>
    </row>
    <row r="1826" spans="1:9">
      <c r="A1826" s="4" t="s">
        <v>3707</v>
      </c>
      <c r="B1826" s="4" t="s">
        <v>3708</v>
      </c>
      <c r="C1826" s="4" t="s">
        <v>39</v>
      </c>
      <c r="D1826" s="2">
        <f>9026104320/(10^6)</f>
        <v>9026.10432</v>
      </c>
      <c r="E1826" s="5">
        <v>33.5712585449219</v>
      </c>
      <c r="F1826" s="5">
        <v>2.29924988746643</v>
      </c>
      <c r="G1826" s="5">
        <v>9.73599815368652</v>
      </c>
      <c r="H1826" s="5">
        <v>20.3792743682861</v>
      </c>
      <c r="I1826" t="s">
        <v>57</v>
      </c>
    </row>
    <row r="1827" spans="1:9">
      <c r="A1827" s="4" t="s">
        <v>3709</v>
      </c>
      <c r="B1827" s="4" t="s">
        <v>3710</v>
      </c>
      <c r="C1827" s="4" t="s">
        <v>37</v>
      </c>
      <c r="D1827" s="2">
        <f>8996029440/(10^6)</f>
        <v>8996.02944</v>
      </c>
      <c r="E1827" s="5" t="s">
        <v>86</v>
      </c>
      <c r="F1827" s="5">
        <v>0.967541456222534</v>
      </c>
      <c r="G1827" s="5">
        <v>0.624860405921936</v>
      </c>
      <c r="H1827" s="5">
        <v>9.85145854949951</v>
      </c>
      <c r="I1827" t="s">
        <v>57</v>
      </c>
    </row>
    <row r="1828" spans="1:9">
      <c r="A1828" s="4" t="s">
        <v>3711</v>
      </c>
      <c r="B1828" s="4" t="s">
        <v>3712</v>
      </c>
      <c r="C1828" s="4" t="s">
        <v>47</v>
      </c>
      <c r="D1828" s="2">
        <f>8984601600/(10^6)</f>
        <v>8984.6016</v>
      </c>
      <c r="E1828" s="5">
        <v>16.1274909973145</v>
      </c>
      <c r="F1828" s="5">
        <v>2.9990222454071</v>
      </c>
      <c r="G1828" s="5">
        <v>1.78241240978241</v>
      </c>
      <c r="H1828" s="5">
        <v>9.532301902771</v>
      </c>
      <c r="I1828" t="s">
        <v>57</v>
      </c>
    </row>
    <row r="1829" spans="1:9">
      <c r="A1829" s="4" t="s">
        <v>3713</v>
      </c>
      <c r="B1829" s="4" t="s">
        <v>3714</v>
      </c>
      <c r="C1829" s="4" t="s">
        <v>43</v>
      </c>
      <c r="D1829" s="2">
        <f>8954826752/(10^6)</f>
        <v>8954.826752</v>
      </c>
      <c r="E1829" s="5">
        <v>6.16399097442627</v>
      </c>
      <c r="F1829" s="5">
        <v>0.616853177547455</v>
      </c>
      <c r="G1829" s="5">
        <v>0.559937000274658</v>
      </c>
      <c r="H1829" s="5" t="s">
        <v>86</v>
      </c>
      <c r="I1829" t="s">
        <v>57</v>
      </c>
    </row>
    <row r="1830" spans="1:9">
      <c r="A1830" s="4" t="s">
        <v>3715</v>
      </c>
      <c r="B1830" s="4" t="s">
        <v>3716</v>
      </c>
      <c r="C1830" s="4" t="s">
        <v>39</v>
      </c>
      <c r="D1830" s="2">
        <f>8941131776/(10^6)</f>
        <v>8941.131776</v>
      </c>
      <c r="E1830" s="5">
        <v>9.47180366516113</v>
      </c>
      <c r="F1830" s="5">
        <v>2.98069524765015</v>
      </c>
      <c r="G1830" s="5">
        <v>0.87617015838623</v>
      </c>
      <c r="H1830" s="5">
        <v>9.49973297119141</v>
      </c>
      <c r="I1830" t="s">
        <v>57</v>
      </c>
    </row>
    <row r="1831" spans="1:9">
      <c r="A1831" s="4" t="s">
        <v>3717</v>
      </c>
      <c r="B1831" s="4" t="s">
        <v>3718</v>
      </c>
      <c r="C1831" s="4" t="s">
        <v>51</v>
      </c>
      <c r="D1831" s="2">
        <f>8897951744/(10^6)</f>
        <v>8897.951744</v>
      </c>
      <c r="E1831" s="5">
        <v>11.3397254943848</v>
      </c>
      <c r="F1831" s="5">
        <v>31.6704330444336</v>
      </c>
      <c r="G1831" s="5">
        <v>1.69632744789123</v>
      </c>
      <c r="H1831" s="5">
        <v>6.18363571166992</v>
      </c>
      <c r="I1831" t="s">
        <v>57</v>
      </c>
    </row>
    <row r="1832" spans="1:9">
      <c r="A1832" s="4" t="s">
        <v>3719</v>
      </c>
      <c r="B1832" s="4" t="s">
        <v>3720</v>
      </c>
      <c r="C1832" s="4" t="s">
        <v>41</v>
      </c>
      <c r="D1832" s="2">
        <f>8784858112/(10^6)</f>
        <v>8784.858112</v>
      </c>
      <c r="E1832" s="5" t="s">
        <v>86</v>
      </c>
      <c r="F1832" s="5">
        <v>3.89930176734924</v>
      </c>
      <c r="G1832" s="5">
        <v>2.63878154754639</v>
      </c>
      <c r="H1832" s="5">
        <v>37.9211311340332</v>
      </c>
      <c r="I1832" t="s">
        <v>57</v>
      </c>
    </row>
    <row r="1833" spans="1:9">
      <c r="A1833" s="4" t="s">
        <v>3721</v>
      </c>
      <c r="B1833" s="4" t="s">
        <v>3722</v>
      </c>
      <c r="C1833" s="4" t="s">
        <v>39</v>
      </c>
      <c r="D1833" s="2">
        <f>8728674304/(10^6)</f>
        <v>8728.674304</v>
      </c>
      <c r="E1833" s="5">
        <v>17.234302520752</v>
      </c>
      <c r="F1833" s="5">
        <v>1.60725772380829</v>
      </c>
      <c r="G1833" s="5">
        <v>2.51416444778442</v>
      </c>
      <c r="H1833" s="5">
        <v>10.4937810897827</v>
      </c>
      <c r="I1833" t="s">
        <v>57</v>
      </c>
    </row>
    <row r="1834" spans="1:9">
      <c r="A1834" s="4" t="s">
        <v>3723</v>
      </c>
      <c r="B1834" s="4" t="s">
        <v>3724</v>
      </c>
      <c r="C1834" s="4" t="s">
        <v>41</v>
      </c>
      <c r="D1834" s="2">
        <f>8695973888/(10^6)</f>
        <v>8695.973888</v>
      </c>
      <c r="E1834" s="5">
        <v>32.9145355224609</v>
      </c>
      <c r="F1834" s="5">
        <v>1.46732604503632</v>
      </c>
      <c r="G1834" s="5">
        <v>2.62196898460388</v>
      </c>
      <c r="H1834" s="5">
        <v>20.575834274292</v>
      </c>
      <c r="I1834" t="s">
        <v>57</v>
      </c>
    </row>
    <row r="1835" spans="1:9">
      <c r="A1835" s="4" t="s">
        <v>3725</v>
      </c>
      <c r="B1835" s="4" t="s">
        <v>3726</v>
      </c>
      <c r="C1835" s="4" t="s">
        <v>43</v>
      </c>
      <c r="D1835" s="2">
        <f>8677234688/(10^6)</f>
        <v>8677.234688</v>
      </c>
      <c r="E1835" s="5">
        <v>9.23264312744141</v>
      </c>
      <c r="F1835" s="5">
        <v>0.706542789936066</v>
      </c>
      <c r="G1835" s="5">
        <v>0.806878268718719</v>
      </c>
      <c r="H1835" s="5" t="s">
        <v>86</v>
      </c>
      <c r="I1835" t="s">
        <v>57</v>
      </c>
    </row>
    <row r="1836" spans="1:9">
      <c r="A1836" s="4" t="s">
        <v>3727</v>
      </c>
      <c r="B1836" s="4" t="s">
        <v>3728</v>
      </c>
      <c r="C1836" s="4" t="s">
        <v>51</v>
      </c>
      <c r="D1836" s="2">
        <f>8659363840/(10^6)</f>
        <v>8659.36384</v>
      </c>
      <c r="E1836" s="5">
        <v>25.3735008239746</v>
      </c>
      <c r="F1836" s="5" t="s">
        <v>86</v>
      </c>
      <c r="G1836" s="5">
        <v>7.58363962173462</v>
      </c>
      <c r="H1836" s="5">
        <v>20.5856838226318</v>
      </c>
      <c r="I1836" t="s">
        <v>57</v>
      </c>
    </row>
    <row r="1837" spans="1:9">
      <c r="A1837" s="4" t="s">
        <v>3729</v>
      </c>
      <c r="B1837" s="4" t="s">
        <v>3730</v>
      </c>
      <c r="C1837" s="4" t="s">
        <v>27</v>
      </c>
      <c r="D1837" s="2">
        <f>8654900224/(10^6)</f>
        <v>8654.900224</v>
      </c>
      <c r="E1837" s="5">
        <v>6.80997085571289</v>
      </c>
      <c r="F1837" s="5">
        <v>1.3898640871048</v>
      </c>
      <c r="G1837" s="5">
        <v>0.851951897144318</v>
      </c>
      <c r="H1837" s="5">
        <v>8.91815757751465</v>
      </c>
      <c r="I1837" t="s">
        <v>57</v>
      </c>
    </row>
    <row r="1838" spans="1:9">
      <c r="A1838" s="4" t="s">
        <v>3731</v>
      </c>
      <c r="B1838" s="4" t="s">
        <v>3732</v>
      </c>
      <c r="C1838" s="4" t="s">
        <v>51</v>
      </c>
      <c r="D1838" s="2">
        <f>8638654464/(10^6)</f>
        <v>8638.654464</v>
      </c>
      <c r="E1838" s="5">
        <v>127.075561523438</v>
      </c>
      <c r="F1838" s="5">
        <v>4.10279560089111</v>
      </c>
      <c r="G1838" s="5">
        <v>3.85166692733765</v>
      </c>
      <c r="H1838" s="5">
        <v>21.2204399108887</v>
      </c>
      <c r="I1838" t="s">
        <v>57</v>
      </c>
    </row>
    <row r="1839" spans="1:9">
      <c r="A1839" s="4" t="s">
        <v>3733</v>
      </c>
      <c r="B1839" s="4" t="s">
        <v>3734</v>
      </c>
      <c r="C1839" s="4" t="s">
        <v>43</v>
      </c>
      <c r="D1839" s="2">
        <f>8621172736/(10^6)</f>
        <v>8621.172736</v>
      </c>
      <c r="E1839" s="5">
        <v>6.46903133392334</v>
      </c>
      <c r="F1839" s="5">
        <v>0.856347382068634</v>
      </c>
      <c r="G1839" s="5">
        <v>1.50115120410919</v>
      </c>
      <c r="H1839" s="5">
        <v>3.05313110351562</v>
      </c>
      <c r="I1839" t="s">
        <v>57</v>
      </c>
    </row>
    <row r="1840" spans="1:9">
      <c r="A1840" s="4" t="s">
        <v>3735</v>
      </c>
      <c r="B1840" s="4" t="s">
        <v>3736</v>
      </c>
      <c r="C1840" s="4" t="s">
        <v>43</v>
      </c>
      <c r="D1840" s="2">
        <f>8586851328/(10^6)</f>
        <v>8586.851328</v>
      </c>
      <c r="E1840" s="5">
        <v>8.22659015655518</v>
      </c>
      <c r="F1840" s="5">
        <v>1.25189793109894</v>
      </c>
      <c r="G1840" s="5">
        <v>1.06441295146942</v>
      </c>
      <c r="H1840" s="5">
        <v>4.24152755737305</v>
      </c>
      <c r="I1840" t="s">
        <v>57</v>
      </c>
    </row>
    <row r="1841" spans="1:9">
      <c r="A1841" s="4" t="s">
        <v>3737</v>
      </c>
      <c r="B1841" s="4" t="s">
        <v>3738</v>
      </c>
      <c r="C1841" s="4" t="s">
        <v>41</v>
      </c>
      <c r="D1841" s="2">
        <f>8567318528/(10^6)</f>
        <v>8567.318528</v>
      </c>
      <c r="E1841" s="5" t="s">
        <v>86</v>
      </c>
      <c r="F1841" s="5">
        <v>3.73570799827576</v>
      </c>
      <c r="G1841" s="5">
        <v>8.73012161254883</v>
      </c>
      <c r="H1841" s="5" t="s">
        <v>86</v>
      </c>
      <c r="I1841" t="s">
        <v>57</v>
      </c>
    </row>
    <row r="1842" spans="1:9">
      <c r="A1842" s="4" t="s">
        <v>3739</v>
      </c>
      <c r="B1842" s="4" t="s">
        <v>3740</v>
      </c>
      <c r="C1842" s="4" t="s">
        <v>51</v>
      </c>
      <c r="D1842" s="2">
        <f>8556674048/(10^6)</f>
        <v>8556.674048</v>
      </c>
      <c r="E1842" s="5">
        <v>67.1570053100586</v>
      </c>
      <c r="F1842" s="5">
        <v>4.49763488769531</v>
      </c>
      <c r="G1842" s="5">
        <v>7.15431642532349</v>
      </c>
      <c r="H1842" s="5">
        <v>18.673267364502</v>
      </c>
      <c r="I1842" t="s">
        <v>57</v>
      </c>
    </row>
    <row r="1843" spans="1:9">
      <c r="A1843" s="4" t="s">
        <v>3741</v>
      </c>
      <c r="B1843" s="4" t="s">
        <v>3742</v>
      </c>
      <c r="C1843" s="4" t="s">
        <v>33</v>
      </c>
      <c r="D1843" s="2">
        <f>8554913280/(10^6)</f>
        <v>8554.91328</v>
      </c>
      <c r="E1843" s="5" t="s">
        <v>86</v>
      </c>
      <c r="F1843" s="5">
        <v>4.20731544494629</v>
      </c>
      <c r="G1843" s="5" t="s">
        <v>86</v>
      </c>
      <c r="H1843" s="5" t="s">
        <v>86</v>
      </c>
      <c r="I1843" t="s">
        <v>57</v>
      </c>
    </row>
    <row r="1844" spans="1:9">
      <c r="A1844" s="4" t="s">
        <v>3743</v>
      </c>
      <c r="B1844" s="4" t="s">
        <v>3744</v>
      </c>
      <c r="C1844" s="4" t="s">
        <v>43</v>
      </c>
      <c r="D1844" s="2">
        <f>8531590656/(10^6)</f>
        <v>8531.590656</v>
      </c>
      <c r="E1844" s="5">
        <v>5.17894983291626</v>
      </c>
      <c r="F1844" s="5">
        <v>0.419644504785538</v>
      </c>
      <c r="G1844" s="5">
        <v>1.1125990152359</v>
      </c>
      <c r="H1844" s="5" t="s">
        <v>86</v>
      </c>
      <c r="I1844" t="s">
        <v>57</v>
      </c>
    </row>
    <row r="1845" spans="1:9">
      <c r="A1845" s="4" t="s">
        <v>3745</v>
      </c>
      <c r="B1845" s="4" t="s">
        <v>3746</v>
      </c>
      <c r="C1845" s="4" t="s">
        <v>43</v>
      </c>
      <c r="D1845" s="2">
        <f>8522202624/(10^6)</f>
        <v>8522.202624</v>
      </c>
      <c r="E1845" s="5">
        <v>26.9779968261719</v>
      </c>
      <c r="F1845" s="5">
        <v>6.64309597015381</v>
      </c>
      <c r="G1845" s="5">
        <v>3.03890490531921</v>
      </c>
      <c r="H1845" s="5" t="s">
        <v>86</v>
      </c>
      <c r="I1845" t="s">
        <v>57</v>
      </c>
    </row>
    <row r="1846" spans="1:9">
      <c r="A1846" s="4" t="s">
        <v>3747</v>
      </c>
      <c r="B1846" s="4" t="s">
        <v>3748</v>
      </c>
      <c r="C1846" s="4" t="s">
        <v>37</v>
      </c>
      <c r="D1846" s="2">
        <f>8521485312/(10^6)</f>
        <v>8521.485312</v>
      </c>
      <c r="E1846" s="5">
        <v>7.48647785186768</v>
      </c>
      <c r="F1846" s="5">
        <v>3.39876294136047</v>
      </c>
      <c r="G1846" s="5">
        <v>1.40397727489471</v>
      </c>
      <c r="H1846" s="5">
        <v>10.2491693496704</v>
      </c>
      <c r="I1846" t="s">
        <v>57</v>
      </c>
    </row>
    <row r="1847" spans="1:9">
      <c r="A1847" s="4" t="s">
        <v>3749</v>
      </c>
      <c r="B1847" s="4" t="s">
        <v>3750</v>
      </c>
      <c r="C1847" s="4" t="s">
        <v>27</v>
      </c>
      <c r="D1847" s="2">
        <f>8514371584/(10^6)</f>
        <v>8514.371584</v>
      </c>
      <c r="E1847" s="5">
        <v>46.0861740112305</v>
      </c>
      <c r="F1847" s="5" t="s">
        <v>86</v>
      </c>
      <c r="G1847" s="5">
        <v>0.881953418254852</v>
      </c>
      <c r="H1847" s="5">
        <v>10.7367296218872</v>
      </c>
      <c r="I1847" t="s">
        <v>57</v>
      </c>
    </row>
    <row r="1848" spans="1:9">
      <c r="A1848" s="4" t="s">
        <v>3751</v>
      </c>
      <c r="B1848" s="4" t="s">
        <v>3752</v>
      </c>
      <c r="C1848" s="4" t="s">
        <v>43</v>
      </c>
      <c r="D1848" s="2">
        <f>8490703872/(10^6)</f>
        <v>8490.703872</v>
      </c>
      <c r="E1848" s="5">
        <v>6.53543329238892</v>
      </c>
      <c r="F1848" s="5">
        <v>0.801745235919952</v>
      </c>
      <c r="G1848" s="5">
        <v>1.52470111846924</v>
      </c>
      <c r="H1848" s="5" t="s">
        <v>86</v>
      </c>
      <c r="I1848" t="s">
        <v>57</v>
      </c>
    </row>
    <row r="1849" spans="1:9">
      <c r="A1849" s="4" t="s">
        <v>3753</v>
      </c>
      <c r="B1849" s="4" t="s">
        <v>3754</v>
      </c>
      <c r="C1849" s="4" t="s">
        <v>51</v>
      </c>
      <c r="D1849" s="2">
        <f>8483832832/(10^6)</f>
        <v>8483.832832</v>
      </c>
      <c r="E1849" s="5">
        <v>52.6325492858887</v>
      </c>
      <c r="F1849" s="5">
        <v>35.2541580200195</v>
      </c>
      <c r="G1849" s="5">
        <v>7.05399751663208</v>
      </c>
      <c r="H1849" s="5">
        <v>31.9507350921631</v>
      </c>
      <c r="I1849" t="s">
        <v>57</v>
      </c>
    </row>
    <row r="1850" spans="1:9">
      <c r="A1850" s="4" t="s">
        <v>3755</v>
      </c>
      <c r="B1850" s="4" t="s">
        <v>3756</v>
      </c>
      <c r="C1850" s="4" t="s">
        <v>31</v>
      </c>
      <c r="D1850" s="2">
        <f>8463250432/(10^6)</f>
        <v>8463.250432</v>
      </c>
      <c r="E1850" s="5" t="s">
        <v>86</v>
      </c>
      <c r="F1850" s="5">
        <v>2.92620801925659</v>
      </c>
      <c r="G1850" s="5">
        <v>0.646008193492889</v>
      </c>
      <c r="H1850" s="5" t="s">
        <v>86</v>
      </c>
      <c r="I1850" t="s">
        <v>57</v>
      </c>
    </row>
    <row r="1851" spans="1:9">
      <c r="A1851" s="4" t="s">
        <v>3757</v>
      </c>
      <c r="B1851" s="4" t="s">
        <v>3758</v>
      </c>
      <c r="C1851" s="4" t="s">
        <v>31</v>
      </c>
      <c r="D1851" s="2">
        <f>8432149504/(10^6)</f>
        <v>8432.149504</v>
      </c>
      <c r="E1851" s="5">
        <v>14.9428367614746</v>
      </c>
      <c r="F1851" s="5">
        <v>5.0470666885376</v>
      </c>
      <c r="G1851" s="5">
        <v>0.558762073516846</v>
      </c>
      <c r="H1851" s="5">
        <v>9.94911766052246</v>
      </c>
      <c r="I1851" t="s">
        <v>57</v>
      </c>
    </row>
    <row r="1852" spans="1:9">
      <c r="A1852" s="4" t="s">
        <v>3759</v>
      </c>
      <c r="B1852" s="4" t="s">
        <v>3760</v>
      </c>
      <c r="C1852" s="4" t="s">
        <v>47</v>
      </c>
      <c r="D1852" s="2">
        <f>8403547136/(10^6)</f>
        <v>8403.547136</v>
      </c>
      <c r="E1852" s="5">
        <v>14.4939880371094</v>
      </c>
      <c r="F1852" s="5">
        <v>2.15785670280456</v>
      </c>
      <c r="G1852" s="5">
        <v>0.732487976551056</v>
      </c>
      <c r="H1852" s="5">
        <v>5.91807699203491</v>
      </c>
      <c r="I1852" t="s">
        <v>57</v>
      </c>
    </row>
    <row r="1853" spans="1:9">
      <c r="A1853" s="4" t="s">
        <v>3761</v>
      </c>
      <c r="B1853" s="4" t="s">
        <v>3762</v>
      </c>
      <c r="C1853" s="4" t="s">
        <v>33</v>
      </c>
      <c r="D1853" s="2">
        <f>8399504896/(10^6)</f>
        <v>8399.504896</v>
      </c>
      <c r="E1853" s="5">
        <v>42.4583930969238</v>
      </c>
      <c r="F1853" s="5">
        <v>9.96540069580078</v>
      </c>
      <c r="G1853" s="5">
        <v>7.13481187820435</v>
      </c>
      <c r="H1853" s="5">
        <v>18.8826236724854</v>
      </c>
      <c r="I1853" t="s">
        <v>57</v>
      </c>
    </row>
    <row r="1854" spans="1:9">
      <c r="A1854" s="4" t="s">
        <v>3763</v>
      </c>
      <c r="B1854" s="4" t="s">
        <v>3764</v>
      </c>
      <c r="C1854" s="4" t="s">
        <v>41</v>
      </c>
      <c r="D1854" s="2">
        <f>8399179776/(10^6)</f>
        <v>8399.179776</v>
      </c>
      <c r="E1854" s="5">
        <v>18.4274616241455</v>
      </c>
      <c r="F1854" s="5">
        <v>1.64828848838806</v>
      </c>
      <c r="G1854" s="5">
        <v>2.10219860076904</v>
      </c>
      <c r="H1854" s="5">
        <v>12.9999723434448</v>
      </c>
      <c r="I1854" t="s">
        <v>57</v>
      </c>
    </row>
    <row r="1855" spans="1:9">
      <c r="A1855" s="4" t="s">
        <v>3765</v>
      </c>
      <c r="B1855" s="4" t="s">
        <v>3766</v>
      </c>
      <c r="C1855" s="4" t="s">
        <v>35</v>
      </c>
      <c r="D1855" s="2">
        <f>8363773440/(10^6)</f>
        <v>8363.77344</v>
      </c>
      <c r="E1855" s="5">
        <v>16.7216510772705</v>
      </c>
      <c r="F1855" s="5">
        <v>41.564811706543</v>
      </c>
      <c r="G1855" s="5">
        <v>2.1302707195282</v>
      </c>
      <c r="H1855" s="5">
        <v>12.0349969863892</v>
      </c>
      <c r="I1855" t="s">
        <v>57</v>
      </c>
    </row>
    <row r="1856" spans="1:9">
      <c r="A1856" s="4" t="s">
        <v>3767</v>
      </c>
      <c r="B1856" s="4" t="s">
        <v>3768</v>
      </c>
      <c r="C1856" s="4" t="s">
        <v>37</v>
      </c>
      <c r="D1856" s="2">
        <f>8355418112/(10^6)</f>
        <v>8355.418112</v>
      </c>
      <c r="E1856" s="5">
        <v>16.9578475952148</v>
      </c>
      <c r="F1856" s="5">
        <v>6.94562101364136</v>
      </c>
      <c r="G1856" s="5">
        <v>1.19568717479706</v>
      </c>
      <c r="H1856" s="5">
        <v>10.0320405960083</v>
      </c>
      <c r="I1856" t="s">
        <v>57</v>
      </c>
    </row>
    <row r="1857" spans="1:9">
      <c r="A1857" s="4" t="s">
        <v>3769</v>
      </c>
      <c r="B1857" s="4" t="s">
        <v>3770</v>
      </c>
      <c r="C1857" s="4" t="s">
        <v>41</v>
      </c>
      <c r="D1857" s="2">
        <f>8325570048/(10^6)</f>
        <v>8325.570048</v>
      </c>
      <c r="E1857" s="5">
        <v>27.1545791625977</v>
      </c>
      <c r="F1857" s="5">
        <v>2.95443940162659</v>
      </c>
      <c r="G1857" s="5">
        <v>2.87971782684326</v>
      </c>
      <c r="H1857" s="5">
        <v>16.1076736450195</v>
      </c>
      <c r="I1857" t="s">
        <v>57</v>
      </c>
    </row>
    <row r="1858" spans="1:9">
      <c r="A1858" s="4" t="s">
        <v>3771</v>
      </c>
      <c r="B1858" s="4" t="s">
        <v>3772</v>
      </c>
      <c r="C1858" s="4" t="s">
        <v>35</v>
      </c>
      <c r="D1858" s="2">
        <f>8304029696/(10^6)</f>
        <v>8304.029696</v>
      </c>
      <c r="E1858" s="5">
        <v>8.38251781463623</v>
      </c>
      <c r="F1858" s="5">
        <v>0.613468408584595</v>
      </c>
      <c r="G1858" s="5">
        <v>0.779237151145935</v>
      </c>
      <c r="H1858" s="5">
        <v>10.1735897064209</v>
      </c>
      <c r="I1858" t="s">
        <v>57</v>
      </c>
    </row>
    <row r="1859" spans="1:9">
      <c r="A1859" s="4" t="s">
        <v>3773</v>
      </c>
      <c r="B1859" s="4" t="s">
        <v>3774</v>
      </c>
      <c r="C1859" s="4" t="s">
        <v>35</v>
      </c>
      <c r="D1859" s="2">
        <f>8304029696/(10^6)</f>
        <v>8304.029696</v>
      </c>
      <c r="E1859" s="5">
        <v>8.38251781463623</v>
      </c>
      <c r="F1859" s="5">
        <v>0.613468408584595</v>
      </c>
      <c r="G1859" s="5">
        <v>0.779237151145935</v>
      </c>
      <c r="H1859" s="5">
        <v>10.1735897064209</v>
      </c>
      <c r="I1859" t="s">
        <v>57</v>
      </c>
    </row>
    <row r="1860" spans="1:9">
      <c r="A1860" s="4" t="s">
        <v>3775</v>
      </c>
      <c r="B1860" s="4" t="s">
        <v>3776</v>
      </c>
      <c r="C1860" s="4" t="s">
        <v>27</v>
      </c>
      <c r="D1860" s="2">
        <f>8283329024/(10^6)</f>
        <v>8283.329024</v>
      </c>
      <c r="E1860" s="5">
        <v>13.7799234390259</v>
      </c>
      <c r="F1860" s="5">
        <v>0.468151450157166</v>
      </c>
      <c r="G1860" s="5">
        <v>1.86425399780273</v>
      </c>
      <c r="H1860" s="5">
        <v>6.85139179229736</v>
      </c>
      <c r="I1860" t="s">
        <v>57</v>
      </c>
    </row>
    <row r="1861" spans="1:9">
      <c r="A1861" s="4" t="s">
        <v>3777</v>
      </c>
      <c r="B1861" s="4" t="s">
        <v>3778</v>
      </c>
      <c r="C1861" s="4" t="s">
        <v>41</v>
      </c>
      <c r="D1861" s="2">
        <f>8218335744/(10^6)</f>
        <v>8218.335744</v>
      </c>
      <c r="E1861" s="5">
        <v>11.9028720855713</v>
      </c>
      <c r="F1861" s="5">
        <v>4.27578544616699</v>
      </c>
      <c r="G1861" s="5">
        <v>0.500805199146271</v>
      </c>
      <c r="H1861" s="5">
        <v>4.61639738082886</v>
      </c>
      <c r="I1861" t="s">
        <v>57</v>
      </c>
    </row>
    <row r="1862" spans="1:9">
      <c r="A1862" s="4" t="s">
        <v>3779</v>
      </c>
      <c r="B1862" s="4" t="s">
        <v>3780</v>
      </c>
      <c r="C1862" s="4" t="s">
        <v>43</v>
      </c>
      <c r="D1862" s="2">
        <f>8213469696/(10^6)</f>
        <v>8213.469696</v>
      </c>
      <c r="E1862" s="5">
        <v>7.30484390258789</v>
      </c>
      <c r="F1862" s="5">
        <v>1.34267163276672</v>
      </c>
      <c r="G1862" s="5">
        <v>2.34231996536255</v>
      </c>
      <c r="H1862" s="5" t="s">
        <v>86</v>
      </c>
      <c r="I1862" t="s">
        <v>57</v>
      </c>
    </row>
    <row r="1863" spans="1:9">
      <c r="A1863" s="4" t="s">
        <v>3781</v>
      </c>
      <c r="B1863" s="4" t="s">
        <v>3782</v>
      </c>
      <c r="C1863" s="4" t="s">
        <v>39</v>
      </c>
      <c r="D1863" s="2">
        <f>8192619008/(10^6)</f>
        <v>8192.619008</v>
      </c>
      <c r="E1863" s="5">
        <v>9.57222652435303</v>
      </c>
      <c r="F1863" s="5">
        <v>1.23425352573395</v>
      </c>
      <c r="G1863" s="5">
        <v>0.665281772613525</v>
      </c>
      <c r="H1863" s="5">
        <v>9.38509750366211</v>
      </c>
      <c r="I1863" t="s">
        <v>57</v>
      </c>
    </row>
    <row r="1864" spans="1:9">
      <c r="A1864" s="4" t="s">
        <v>3783</v>
      </c>
      <c r="B1864" s="4" t="s">
        <v>3784</v>
      </c>
      <c r="C1864" s="4" t="s">
        <v>41</v>
      </c>
      <c r="D1864" s="2">
        <f>8171568640/(10^6)</f>
        <v>8171.56864</v>
      </c>
      <c r="E1864" s="5">
        <v>48.1915130615234</v>
      </c>
      <c r="F1864" s="5">
        <v>12.8269243240356</v>
      </c>
      <c r="G1864" s="5">
        <v>10.3025016784668</v>
      </c>
      <c r="H1864" s="5">
        <v>91.0536422729492</v>
      </c>
      <c r="I1864" t="s">
        <v>57</v>
      </c>
    </row>
    <row r="1865" spans="1:9">
      <c r="A1865" s="4" t="s">
        <v>3785</v>
      </c>
      <c r="B1865" s="4" t="s">
        <v>3786</v>
      </c>
      <c r="C1865" s="4" t="s">
        <v>37</v>
      </c>
      <c r="D1865" s="2">
        <f>8165632512/(10^6)</f>
        <v>8165.632512</v>
      </c>
      <c r="E1865" s="5">
        <v>10.9678001403809</v>
      </c>
      <c r="F1865" s="5">
        <v>2.65474534034729</v>
      </c>
      <c r="G1865" s="5">
        <v>1.16104221343994</v>
      </c>
      <c r="H1865" s="5">
        <v>6.66576194763184</v>
      </c>
      <c r="I1865" t="s">
        <v>57</v>
      </c>
    </row>
    <row r="1866" spans="1:9">
      <c r="A1866" s="4" t="s">
        <v>3787</v>
      </c>
      <c r="B1866" s="4" t="s">
        <v>3788</v>
      </c>
      <c r="C1866" s="4" t="s">
        <v>51</v>
      </c>
      <c r="D1866" s="2">
        <f>8155036160/(10^6)</f>
        <v>8155.03616</v>
      </c>
      <c r="E1866" s="5">
        <v>11.4917774200439</v>
      </c>
      <c r="F1866" s="5" t="s">
        <v>86</v>
      </c>
      <c r="G1866" s="5">
        <v>1.59492778778076</v>
      </c>
      <c r="H1866" s="5">
        <v>8.11721897125244</v>
      </c>
      <c r="I1866" t="s">
        <v>57</v>
      </c>
    </row>
    <row r="1867" spans="1:9">
      <c r="A1867" s="4" t="s">
        <v>3789</v>
      </c>
      <c r="B1867" s="4" t="s">
        <v>3790</v>
      </c>
      <c r="C1867" s="4" t="s">
        <v>31</v>
      </c>
      <c r="D1867" s="2">
        <f>8142714880/(10^6)</f>
        <v>8142.71488</v>
      </c>
      <c r="E1867" s="5">
        <v>2.71951627731323</v>
      </c>
      <c r="F1867" s="5">
        <v>0.71545797586441</v>
      </c>
      <c r="G1867" s="5">
        <v>0.196439877152443</v>
      </c>
      <c r="H1867" s="5">
        <v>3.1041100025177</v>
      </c>
      <c r="I1867" t="s">
        <v>57</v>
      </c>
    </row>
    <row r="1868" spans="1:9">
      <c r="A1868" s="4" t="s">
        <v>3791</v>
      </c>
      <c r="B1868" s="4" t="s">
        <v>3792</v>
      </c>
      <c r="C1868" s="4" t="s">
        <v>33</v>
      </c>
      <c r="D1868" s="2">
        <f>8007585280/(10^6)</f>
        <v>8007.58528</v>
      </c>
      <c r="E1868" s="5">
        <v>4.06592464447021</v>
      </c>
      <c r="F1868" s="5">
        <v>0.595581889152527</v>
      </c>
      <c r="G1868" s="5">
        <v>0.420689880847931</v>
      </c>
      <c r="H1868" s="5">
        <v>8.74313545227051</v>
      </c>
      <c r="I1868" t="s">
        <v>57</v>
      </c>
    </row>
    <row r="1869" spans="1:9">
      <c r="A1869" s="4" t="s">
        <v>3793</v>
      </c>
      <c r="B1869" s="4" t="s">
        <v>3794</v>
      </c>
      <c r="C1869" s="4" t="s">
        <v>33</v>
      </c>
      <c r="D1869" s="2">
        <f>8007585280/(10^6)</f>
        <v>8007.58528</v>
      </c>
      <c r="E1869" s="5">
        <v>4.06592464447021</v>
      </c>
      <c r="F1869" s="5">
        <v>0.595581889152527</v>
      </c>
      <c r="G1869" s="5">
        <v>0.420689880847931</v>
      </c>
      <c r="H1869" s="5">
        <v>8.74313545227051</v>
      </c>
      <c r="I1869" t="s">
        <v>57</v>
      </c>
    </row>
    <row r="1870" spans="1:9">
      <c r="A1870" s="4" t="s">
        <v>3795</v>
      </c>
      <c r="B1870" s="4" t="s">
        <v>3796</v>
      </c>
      <c r="C1870" s="4" t="s">
        <v>39</v>
      </c>
      <c r="D1870" s="2">
        <f>7997431296/(10^6)</f>
        <v>7997.431296</v>
      </c>
      <c r="E1870" s="5">
        <v>12.1512804031372</v>
      </c>
      <c r="F1870" s="5">
        <v>1.00431859493256</v>
      </c>
      <c r="G1870" s="5">
        <v>0.685588955879211</v>
      </c>
      <c r="H1870" s="5">
        <v>4.71962642669678</v>
      </c>
      <c r="I1870" t="s">
        <v>57</v>
      </c>
    </row>
    <row r="1871" spans="1:9">
      <c r="A1871" s="4" t="s">
        <v>3797</v>
      </c>
      <c r="B1871" s="4" t="s">
        <v>3798</v>
      </c>
      <c r="C1871" s="4" t="s">
        <v>43</v>
      </c>
      <c r="D1871" s="2">
        <f>7918731264/(10^6)</f>
        <v>7918.731264</v>
      </c>
      <c r="E1871" s="5">
        <v>6.79174757003784</v>
      </c>
      <c r="F1871" s="5">
        <v>4.33187246322632</v>
      </c>
      <c r="G1871" s="5">
        <v>0.75916862487793</v>
      </c>
      <c r="H1871" s="5">
        <v>6.220543384552</v>
      </c>
      <c r="I1871" t="s">
        <v>57</v>
      </c>
    </row>
    <row r="1872" spans="1:9">
      <c r="A1872" s="4" t="s">
        <v>3799</v>
      </c>
      <c r="B1872" s="4" t="s">
        <v>3800</v>
      </c>
      <c r="C1872" s="4" t="s">
        <v>43</v>
      </c>
      <c r="D1872" s="2">
        <f>7858208768/(10^6)</f>
        <v>7858.208768</v>
      </c>
      <c r="E1872" s="5">
        <v>25.1612224578857</v>
      </c>
      <c r="F1872" s="5">
        <v>0.896568477153778</v>
      </c>
      <c r="G1872" s="5">
        <v>0.874476134777069</v>
      </c>
      <c r="H1872" s="5" t="s">
        <v>86</v>
      </c>
      <c r="I1872" t="s">
        <v>57</v>
      </c>
    </row>
    <row r="1873" spans="1:9">
      <c r="A1873" s="4" t="s">
        <v>3801</v>
      </c>
      <c r="B1873" s="4" t="s">
        <v>3802</v>
      </c>
      <c r="C1873" s="4" t="s">
        <v>33</v>
      </c>
      <c r="D1873" s="2">
        <f>7814260224/(10^6)</f>
        <v>7814.260224</v>
      </c>
      <c r="E1873" s="5" t="s">
        <v>86</v>
      </c>
      <c r="F1873" s="5">
        <v>2.18534803390503</v>
      </c>
      <c r="G1873" s="5">
        <v>2.70646667480469</v>
      </c>
      <c r="H1873" s="5" t="s">
        <v>86</v>
      </c>
      <c r="I1873" t="s">
        <v>57</v>
      </c>
    </row>
    <row r="1874" spans="1:9">
      <c r="A1874" s="4" t="s">
        <v>3803</v>
      </c>
      <c r="B1874" s="4" t="s">
        <v>3804</v>
      </c>
      <c r="C1874" s="4" t="s">
        <v>33</v>
      </c>
      <c r="D1874" s="2">
        <f>7814260224/(10^6)</f>
        <v>7814.260224</v>
      </c>
      <c r="E1874" s="5" t="s">
        <v>86</v>
      </c>
      <c r="F1874" s="5">
        <v>2.18534803390503</v>
      </c>
      <c r="G1874" s="5">
        <v>2.70646667480469</v>
      </c>
      <c r="H1874" s="5" t="s">
        <v>86</v>
      </c>
      <c r="I1874" t="s">
        <v>57</v>
      </c>
    </row>
    <row r="1875" spans="1:9">
      <c r="A1875" s="4" t="s">
        <v>3805</v>
      </c>
      <c r="B1875" s="4" t="s">
        <v>3806</v>
      </c>
      <c r="C1875" s="4" t="s">
        <v>37</v>
      </c>
      <c r="D1875" s="2">
        <f>7782103552/(10^6)</f>
        <v>7782.103552</v>
      </c>
      <c r="E1875" s="5">
        <v>18.7604064941406</v>
      </c>
      <c r="F1875" s="5">
        <v>5.55591630935669</v>
      </c>
      <c r="G1875" s="5">
        <v>1.37842357158661</v>
      </c>
      <c r="H1875" s="5">
        <v>14.8449726104736</v>
      </c>
      <c r="I1875" t="s">
        <v>57</v>
      </c>
    </row>
    <row r="1876" spans="1:9">
      <c r="A1876" s="4" t="s">
        <v>3807</v>
      </c>
      <c r="B1876" s="4" t="s">
        <v>3808</v>
      </c>
      <c r="C1876" s="4" t="s">
        <v>37</v>
      </c>
      <c r="D1876" s="2">
        <f>7767288832/(10^6)</f>
        <v>7767.288832</v>
      </c>
      <c r="E1876" s="5">
        <v>14.9636964797974</v>
      </c>
      <c r="F1876" s="5">
        <v>4.5303430557251</v>
      </c>
      <c r="G1876" s="5">
        <v>0.657028615474701</v>
      </c>
      <c r="H1876" s="5">
        <v>9.04679870605469</v>
      </c>
      <c r="I1876" t="s">
        <v>57</v>
      </c>
    </row>
    <row r="1877" spans="1:9">
      <c r="A1877" s="4" t="s">
        <v>3809</v>
      </c>
      <c r="B1877" s="4" t="s">
        <v>3810</v>
      </c>
      <c r="C1877" s="4" t="s">
        <v>41</v>
      </c>
      <c r="D1877" s="2">
        <f>7718124032/(10^6)</f>
        <v>7718.124032</v>
      </c>
      <c r="E1877" s="5">
        <v>8.88573455810547</v>
      </c>
      <c r="F1877" s="5">
        <v>1.4018669128418</v>
      </c>
      <c r="G1877" s="5">
        <v>0.693955421447754</v>
      </c>
      <c r="H1877" s="5">
        <v>6.77384948730469</v>
      </c>
      <c r="I1877" t="s">
        <v>57</v>
      </c>
    </row>
    <row r="1878" spans="1:9">
      <c r="A1878" s="4" t="s">
        <v>3811</v>
      </c>
      <c r="B1878" s="4" t="s">
        <v>3812</v>
      </c>
      <c r="C1878" s="4" t="s">
        <v>41</v>
      </c>
      <c r="D1878" s="2">
        <f>7718124032/(10^6)</f>
        <v>7718.124032</v>
      </c>
      <c r="E1878" s="5">
        <v>8.88573455810547</v>
      </c>
      <c r="F1878" s="5">
        <v>1.4018669128418</v>
      </c>
      <c r="G1878" s="5">
        <v>0.693955421447754</v>
      </c>
      <c r="H1878" s="5">
        <v>6.77384948730469</v>
      </c>
      <c r="I1878" t="s">
        <v>57</v>
      </c>
    </row>
    <row r="1879" spans="1:9">
      <c r="A1879" s="4" t="s">
        <v>3813</v>
      </c>
      <c r="B1879" s="4" t="s">
        <v>3814</v>
      </c>
      <c r="C1879" s="4" t="s">
        <v>41</v>
      </c>
      <c r="D1879" s="2">
        <f>7680716800/(10^6)</f>
        <v>7680.7168</v>
      </c>
      <c r="E1879" s="5">
        <v>10.8298282623291</v>
      </c>
      <c r="F1879" s="5">
        <v>0.64628267288208</v>
      </c>
      <c r="G1879" s="5">
        <v>0.667224407196045</v>
      </c>
      <c r="H1879" s="5">
        <v>7.1404185295105</v>
      </c>
      <c r="I1879" t="s">
        <v>57</v>
      </c>
    </row>
    <row r="1880" spans="1:9">
      <c r="A1880" s="4" t="s">
        <v>3815</v>
      </c>
      <c r="B1880" s="4" t="s">
        <v>3816</v>
      </c>
      <c r="C1880" s="4" t="s">
        <v>31</v>
      </c>
      <c r="D1880" s="2">
        <f>7664221184/(10^6)</f>
        <v>7664.221184</v>
      </c>
      <c r="E1880" s="5">
        <v>23.2878170013428</v>
      </c>
      <c r="F1880" s="5">
        <v>7.42477130889893</v>
      </c>
      <c r="G1880" s="5">
        <v>4.60183811187744</v>
      </c>
      <c r="H1880" s="5">
        <v>15.771632194519</v>
      </c>
      <c r="I1880" t="s">
        <v>57</v>
      </c>
    </row>
    <row r="1881" spans="1:9">
      <c r="A1881" s="4" t="s">
        <v>3817</v>
      </c>
      <c r="B1881" s="4" t="s">
        <v>3818</v>
      </c>
      <c r="C1881" s="4" t="s">
        <v>43</v>
      </c>
      <c r="D1881" s="2">
        <f>7649901056/(10^6)</f>
        <v>7649.901056</v>
      </c>
      <c r="E1881" s="5">
        <v>10.5291557312012</v>
      </c>
      <c r="F1881" s="5">
        <v>1.05190432071686</v>
      </c>
      <c r="G1881" s="5">
        <v>1.71827578544617</v>
      </c>
      <c r="H1881" s="5" t="s">
        <v>86</v>
      </c>
      <c r="I1881" t="s">
        <v>57</v>
      </c>
    </row>
    <row r="1882" spans="1:9">
      <c r="A1882" s="4" t="s">
        <v>3819</v>
      </c>
      <c r="B1882" s="4" t="s">
        <v>3820</v>
      </c>
      <c r="C1882" s="4" t="s">
        <v>31</v>
      </c>
      <c r="D1882" s="2">
        <f>7630955520/(10^6)</f>
        <v>7630.95552</v>
      </c>
      <c r="E1882" s="5">
        <v>22.6163845062256</v>
      </c>
      <c r="F1882" s="5">
        <v>4.66839790344238</v>
      </c>
      <c r="G1882" s="5">
        <v>3.46906805038452</v>
      </c>
      <c r="H1882" s="5">
        <v>15.014030456543</v>
      </c>
      <c r="I1882" t="s">
        <v>57</v>
      </c>
    </row>
    <row r="1883" spans="1:9">
      <c r="A1883" s="4" t="s">
        <v>3821</v>
      </c>
      <c r="B1883" s="4" t="s">
        <v>3822</v>
      </c>
      <c r="C1883" s="4" t="s">
        <v>51</v>
      </c>
      <c r="D1883" s="2">
        <f>7593935872/(10^6)</f>
        <v>7593.935872</v>
      </c>
      <c r="E1883" s="5" t="s">
        <v>86</v>
      </c>
      <c r="F1883" s="5">
        <v>91.4915771484375</v>
      </c>
      <c r="G1883" s="5">
        <v>17.5474128723145</v>
      </c>
      <c r="H1883" s="5" t="s">
        <v>86</v>
      </c>
      <c r="I1883" t="s">
        <v>57</v>
      </c>
    </row>
    <row r="1884" spans="1:9">
      <c r="A1884" s="4" t="s">
        <v>3823</v>
      </c>
      <c r="B1884" s="4" t="s">
        <v>3824</v>
      </c>
      <c r="C1884" s="4" t="s">
        <v>51</v>
      </c>
      <c r="D1884" s="2">
        <f>7583882752/(10^6)</f>
        <v>7583.882752</v>
      </c>
      <c r="E1884" s="5" t="s">
        <v>86</v>
      </c>
      <c r="F1884" s="5">
        <v>23.7459945678711</v>
      </c>
      <c r="G1884" s="5">
        <v>20.6526794433594</v>
      </c>
      <c r="H1884" s="5" t="s">
        <v>86</v>
      </c>
      <c r="I1884" t="s">
        <v>57</v>
      </c>
    </row>
    <row r="1885" spans="1:9">
      <c r="A1885" s="4" t="s">
        <v>3825</v>
      </c>
      <c r="B1885" s="4" t="s">
        <v>3826</v>
      </c>
      <c r="C1885" s="4" t="s">
        <v>41</v>
      </c>
      <c r="D1885" s="2">
        <f>7575832576/(10^6)</f>
        <v>7575.832576</v>
      </c>
      <c r="E1885" s="5">
        <v>46.2337265014648</v>
      </c>
      <c r="F1885" s="5">
        <v>4.17219543457031</v>
      </c>
      <c r="G1885" s="5">
        <v>2.60925054550171</v>
      </c>
      <c r="H1885" s="5">
        <v>19.9048118591309</v>
      </c>
      <c r="I1885" t="s">
        <v>57</v>
      </c>
    </row>
    <row r="1886" spans="1:9">
      <c r="A1886" s="4" t="s">
        <v>3827</v>
      </c>
      <c r="B1886" s="4" t="s">
        <v>3828</v>
      </c>
      <c r="C1886" s="4" t="s">
        <v>31</v>
      </c>
      <c r="D1886" s="2">
        <f>7557944320/(10^6)</f>
        <v>7557.94432</v>
      </c>
      <c r="E1886" s="5">
        <v>11.3199367523193</v>
      </c>
      <c r="F1886" s="5">
        <v>4.76830720901489</v>
      </c>
      <c r="G1886" s="5">
        <v>0.863318800926208</v>
      </c>
      <c r="H1886" s="5">
        <v>8.79916191101074</v>
      </c>
      <c r="I1886" t="s">
        <v>57</v>
      </c>
    </row>
    <row r="1887" spans="1:9">
      <c r="A1887" s="4" t="s">
        <v>3829</v>
      </c>
      <c r="B1887" s="4" t="s">
        <v>3830</v>
      </c>
      <c r="C1887" s="4" t="s">
        <v>47</v>
      </c>
      <c r="D1887" s="2">
        <f>7527046144/(10^6)</f>
        <v>7527.046144</v>
      </c>
      <c r="E1887" s="5">
        <v>29.0317535400391</v>
      </c>
      <c r="F1887" s="5">
        <v>18.2677516937256</v>
      </c>
      <c r="G1887" s="5">
        <v>2.32772254943848</v>
      </c>
      <c r="H1887" s="5">
        <v>19.0147438049316</v>
      </c>
      <c r="I1887" t="s">
        <v>57</v>
      </c>
    </row>
    <row r="1888" spans="1:9">
      <c r="A1888" s="4" t="s">
        <v>3831</v>
      </c>
      <c r="B1888" s="4" t="s">
        <v>3832</v>
      </c>
      <c r="C1888" s="4" t="s">
        <v>43</v>
      </c>
      <c r="D1888" s="2">
        <f>7515299328/(10^6)</f>
        <v>7515.299328</v>
      </c>
      <c r="E1888" s="5">
        <v>8.54662132263184</v>
      </c>
      <c r="F1888" s="5">
        <v>1.29466140270233</v>
      </c>
      <c r="G1888" s="5">
        <v>2.56460952758789</v>
      </c>
      <c r="H1888" s="5">
        <v>5.44249153137207</v>
      </c>
      <c r="I1888" t="s">
        <v>57</v>
      </c>
    </row>
    <row r="1889" spans="1:9">
      <c r="A1889" s="4" t="s">
        <v>3833</v>
      </c>
      <c r="B1889" s="4" t="s">
        <v>3834</v>
      </c>
      <c r="C1889" s="4" t="s">
        <v>51</v>
      </c>
      <c r="D1889" s="2">
        <f>7481683456/(10^6)</f>
        <v>7481.683456</v>
      </c>
      <c r="E1889" s="5">
        <v>72.6195678710938</v>
      </c>
      <c r="F1889" s="5">
        <v>5.50755834579468</v>
      </c>
      <c r="G1889" s="5">
        <v>10.215217590332</v>
      </c>
      <c r="H1889" s="5">
        <v>40.6419639587402</v>
      </c>
      <c r="I1889" t="s">
        <v>57</v>
      </c>
    </row>
    <row r="1890" spans="1:9">
      <c r="A1890" s="4" t="s">
        <v>3835</v>
      </c>
      <c r="B1890" s="4" t="s">
        <v>3836</v>
      </c>
      <c r="C1890" s="4" t="s">
        <v>51</v>
      </c>
      <c r="D1890" s="2">
        <f>7467460096/(10^6)</f>
        <v>7467.460096</v>
      </c>
      <c r="E1890" s="5">
        <v>16.8230533599854</v>
      </c>
      <c r="F1890" s="5">
        <v>2.39163684844971</v>
      </c>
      <c r="G1890" s="5">
        <v>2.29322957992554</v>
      </c>
      <c r="H1890" s="5">
        <v>14.6890621185303</v>
      </c>
      <c r="I1890" t="s">
        <v>57</v>
      </c>
    </row>
    <row r="1891" spans="1:9">
      <c r="A1891" s="4" t="s">
        <v>3837</v>
      </c>
      <c r="B1891" s="4" t="s">
        <v>3838</v>
      </c>
      <c r="C1891" s="4" t="s">
        <v>51</v>
      </c>
      <c r="D1891" s="2">
        <f>7434668544/(10^6)</f>
        <v>7434.668544</v>
      </c>
      <c r="E1891" s="5" t="s">
        <v>86</v>
      </c>
      <c r="F1891" s="5">
        <v>9.15604972839355</v>
      </c>
      <c r="G1891" s="5">
        <v>4.4155592918396</v>
      </c>
      <c r="H1891" s="5">
        <v>38.5106735229492</v>
      </c>
      <c r="I1891" t="s">
        <v>57</v>
      </c>
    </row>
    <row r="1892" spans="1:9">
      <c r="A1892" s="4" t="s">
        <v>3839</v>
      </c>
      <c r="B1892" s="4" t="s">
        <v>3840</v>
      </c>
      <c r="C1892" s="4" t="s">
        <v>39</v>
      </c>
      <c r="D1892" s="2">
        <f>7403510272/(10^6)</f>
        <v>7403.510272</v>
      </c>
      <c r="E1892" s="5">
        <v>0.938295662403107</v>
      </c>
      <c r="F1892" s="5">
        <v>4.43777894973755</v>
      </c>
      <c r="G1892" s="5">
        <v>0.784549415111542</v>
      </c>
      <c r="H1892" s="5">
        <v>7.33089971542358</v>
      </c>
      <c r="I1892" t="s">
        <v>57</v>
      </c>
    </row>
    <row r="1893" spans="1:9">
      <c r="A1893" s="4" t="s">
        <v>3841</v>
      </c>
      <c r="B1893" s="4" t="s">
        <v>3842</v>
      </c>
      <c r="C1893" s="4" t="s">
        <v>51</v>
      </c>
      <c r="D1893" s="2">
        <f>7350831104/(10^6)</f>
        <v>7350.831104</v>
      </c>
      <c r="E1893" s="5" t="s">
        <v>86</v>
      </c>
      <c r="F1893" s="5">
        <v>16.0148277282715</v>
      </c>
      <c r="G1893" s="5">
        <v>8.79329776763916</v>
      </c>
      <c r="H1893" s="5" t="s">
        <v>86</v>
      </c>
      <c r="I1893" t="s">
        <v>57</v>
      </c>
    </row>
    <row r="1894" spans="1:9">
      <c r="A1894" s="4" t="s">
        <v>3843</v>
      </c>
      <c r="B1894" s="4" t="s">
        <v>3844</v>
      </c>
      <c r="C1894" s="4" t="s">
        <v>41</v>
      </c>
      <c r="D1894" s="2">
        <f>7345239040/(10^6)</f>
        <v>7345.23904</v>
      </c>
      <c r="E1894" s="5" t="s">
        <v>86</v>
      </c>
      <c r="F1894" s="5">
        <v>8.67828369140625</v>
      </c>
      <c r="G1894" s="5">
        <v>18.2633533477783</v>
      </c>
      <c r="H1894" s="5" t="s">
        <v>86</v>
      </c>
      <c r="I1894" t="s">
        <v>57</v>
      </c>
    </row>
    <row r="1895" spans="1:9">
      <c r="A1895" s="4" t="s">
        <v>3845</v>
      </c>
      <c r="B1895" s="4" t="s">
        <v>3846</v>
      </c>
      <c r="C1895" s="4" t="s">
        <v>47</v>
      </c>
      <c r="D1895" s="2">
        <f>7291765248/(10^6)</f>
        <v>7291.765248</v>
      </c>
      <c r="E1895" s="5" t="s">
        <v>86</v>
      </c>
      <c r="F1895" s="5">
        <v>4.71897840499878</v>
      </c>
      <c r="G1895" s="5" t="s">
        <v>86</v>
      </c>
      <c r="H1895" s="5" t="s">
        <v>86</v>
      </c>
      <c r="I1895" t="s">
        <v>57</v>
      </c>
    </row>
    <row r="1896" spans="1:9">
      <c r="A1896" s="4" t="s">
        <v>3847</v>
      </c>
      <c r="B1896" s="4" t="s">
        <v>3848</v>
      </c>
      <c r="C1896" s="4" t="s">
        <v>31</v>
      </c>
      <c r="D1896" s="2">
        <f>7271121920/(10^6)</f>
        <v>7271.12192</v>
      </c>
      <c r="E1896" s="5">
        <v>8.09382247924805</v>
      </c>
      <c r="F1896" s="5">
        <v>1.58598291873932</v>
      </c>
      <c r="G1896" s="5">
        <v>0.523978590965271</v>
      </c>
      <c r="H1896" s="5">
        <v>6.93282318115234</v>
      </c>
      <c r="I1896" t="s">
        <v>57</v>
      </c>
    </row>
    <row r="1897" spans="1:9">
      <c r="A1897" s="4" t="s">
        <v>3849</v>
      </c>
      <c r="B1897" s="4" t="s">
        <v>2992</v>
      </c>
      <c r="C1897" s="4" t="s">
        <v>43</v>
      </c>
      <c r="D1897" s="2">
        <f>7262269440/(10^6)</f>
        <v>7262.26944</v>
      </c>
      <c r="E1897" s="5">
        <v>6.23499250411987</v>
      </c>
      <c r="F1897" s="5">
        <v>1.34914469718933</v>
      </c>
      <c r="G1897" s="5">
        <v>0.850263297557831</v>
      </c>
      <c r="H1897" s="5" t="s">
        <v>86</v>
      </c>
      <c r="I1897" t="s">
        <v>57</v>
      </c>
    </row>
    <row r="1898" spans="1:9">
      <c r="A1898" s="4" t="s">
        <v>3850</v>
      </c>
      <c r="B1898" s="4" t="s">
        <v>3851</v>
      </c>
      <c r="C1898" s="4" t="s">
        <v>51</v>
      </c>
      <c r="D1898" s="2">
        <f>7212143616/(10^6)</f>
        <v>7212.143616</v>
      </c>
      <c r="E1898" s="5">
        <v>67.0190734863281</v>
      </c>
      <c r="F1898" s="5">
        <v>9.11802101135254</v>
      </c>
      <c r="G1898" s="5">
        <v>11.1202049255371</v>
      </c>
      <c r="H1898" s="5">
        <v>56.4821319580078</v>
      </c>
      <c r="I1898" t="s">
        <v>57</v>
      </c>
    </row>
    <row r="1899" spans="1:9">
      <c r="A1899" s="4" t="s">
        <v>3852</v>
      </c>
      <c r="B1899" s="4" t="s">
        <v>3853</v>
      </c>
      <c r="C1899" s="4" t="s">
        <v>47</v>
      </c>
      <c r="D1899" s="2">
        <f>7210500608/(10^6)</f>
        <v>7210.500608</v>
      </c>
      <c r="E1899" s="5">
        <v>3.70941281318665</v>
      </c>
      <c r="F1899" s="5">
        <v>0.592216789722443</v>
      </c>
      <c r="G1899" s="5">
        <v>0.659774780273438</v>
      </c>
      <c r="H1899" s="5">
        <v>5.58226537704468</v>
      </c>
      <c r="I1899" t="s">
        <v>57</v>
      </c>
    </row>
    <row r="1900" spans="1:9">
      <c r="A1900" s="4" t="s">
        <v>3854</v>
      </c>
      <c r="B1900" s="4" t="s">
        <v>3855</v>
      </c>
      <c r="C1900" s="4" t="s">
        <v>37</v>
      </c>
      <c r="D1900" s="2">
        <f>7208345088/(10^6)</f>
        <v>7208.345088</v>
      </c>
      <c r="E1900" s="5">
        <v>7.43203163146973</v>
      </c>
      <c r="F1900" s="5">
        <v>0.609442234039307</v>
      </c>
      <c r="G1900" s="5">
        <v>0.391026347875595</v>
      </c>
      <c r="H1900" s="5">
        <v>5.91200494766235</v>
      </c>
      <c r="I1900" t="s">
        <v>57</v>
      </c>
    </row>
    <row r="1901" spans="1:9">
      <c r="A1901" s="4" t="s">
        <v>3856</v>
      </c>
      <c r="B1901" s="4" t="s">
        <v>3857</v>
      </c>
      <c r="C1901" s="4" t="s">
        <v>41</v>
      </c>
      <c r="D1901" s="2">
        <f>7169525248/(10^6)</f>
        <v>7169.525248</v>
      </c>
      <c r="E1901" s="5">
        <v>14.2257509231567</v>
      </c>
      <c r="F1901" s="5">
        <v>2.39078307151794</v>
      </c>
      <c r="G1901" s="5">
        <v>0.739239573478699</v>
      </c>
      <c r="H1901" s="5">
        <v>9.05858707427979</v>
      </c>
      <c r="I1901" t="s">
        <v>57</v>
      </c>
    </row>
    <row r="1902" spans="1:9">
      <c r="A1902" s="4" t="s">
        <v>3858</v>
      </c>
      <c r="B1902" s="4" t="s">
        <v>3859</v>
      </c>
      <c r="C1902" s="4" t="s">
        <v>31</v>
      </c>
      <c r="D1902" s="2">
        <f>7152373248/(10^6)</f>
        <v>7152.373248</v>
      </c>
      <c r="E1902" s="5">
        <v>16.1221313476562</v>
      </c>
      <c r="F1902" s="5" t="s">
        <v>86</v>
      </c>
      <c r="G1902" s="5">
        <v>1.89655816555023</v>
      </c>
      <c r="H1902" s="5">
        <v>10.7527904510498</v>
      </c>
      <c r="I1902" t="s">
        <v>57</v>
      </c>
    </row>
    <row r="1903" spans="1:9">
      <c r="A1903" s="4" t="s">
        <v>3860</v>
      </c>
      <c r="B1903" s="4" t="s">
        <v>3861</v>
      </c>
      <c r="C1903" s="4" t="s">
        <v>41</v>
      </c>
      <c r="D1903" s="2">
        <f>7071664128/(10^6)</f>
        <v>7071.664128</v>
      </c>
      <c r="E1903" s="5">
        <v>71.6980895996094</v>
      </c>
      <c r="F1903" s="5">
        <v>5.3340950012207</v>
      </c>
      <c r="G1903" s="5">
        <v>9.39936637878418</v>
      </c>
      <c r="H1903" s="5">
        <v>29.9025096893311</v>
      </c>
      <c r="I1903" t="s">
        <v>57</v>
      </c>
    </row>
    <row r="1904" spans="1:9">
      <c r="A1904" s="4" t="s">
        <v>3862</v>
      </c>
      <c r="B1904" s="4" t="s">
        <v>3863</v>
      </c>
      <c r="C1904" s="4" t="s">
        <v>47</v>
      </c>
      <c r="D1904" s="2">
        <f>7001532928/(10^6)</f>
        <v>7001.532928</v>
      </c>
      <c r="E1904" s="5">
        <v>19.292652130127</v>
      </c>
      <c r="F1904" s="5">
        <v>3.8486499786377</v>
      </c>
      <c r="G1904" s="5">
        <v>2.18459582328796</v>
      </c>
      <c r="H1904" s="5">
        <v>11.3364372253418</v>
      </c>
      <c r="I1904" t="s">
        <v>57</v>
      </c>
    </row>
    <row r="1905" spans="1:9">
      <c r="A1905" s="4" t="s">
        <v>3864</v>
      </c>
      <c r="B1905" s="4" t="s">
        <v>3865</v>
      </c>
      <c r="C1905" s="4" t="s">
        <v>51</v>
      </c>
      <c r="D1905" s="2">
        <f>6979318784/(10^6)</f>
        <v>6979.318784</v>
      </c>
      <c r="E1905" s="5">
        <v>14.4416475296021</v>
      </c>
      <c r="F1905" s="5">
        <v>1.97477960586548</v>
      </c>
      <c r="G1905" s="5">
        <v>1.71501731872559</v>
      </c>
      <c r="H1905" s="5">
        <v>8.62724208831787</v>
      </c>
      <c r="I1905" t="s">
        <v>57</v>
      </c>
    </row>
    <row r="1906" spans="1:9">
      <c r="A1906" s="4" t="s">
        <v>3866</v>
      </c>
      <c r="B1906" s="4" t="s">
        <v>3867</v>
      </c>
      <c r="C1906" s="4" t="s">
        <v>51</v>
      </c>
      <c r="D1906" s="2">
        <f>6940762624/(10^6)</f>
        <v>6940.762624</v>
      </c>
      <c r="E1906" s="5">
        <v>224.829711914062</v>
      </c>
      <c r="F1906" s="5">
        <v>3.73182225227356</v>
      </c>
      <c r="G1906" s="5">
        <v>8.38705635070801</v>
      </c>
      <c r="H1906" s="5">
        <v>53.0227355957031</v>
      </c>
      <c r="I1906" t="s">
        <v>57</v>
      </c>
    </row>
    <row r="1907" spans="1:9">
      <c r="A1907" s="4" t="s">
        <v>3868</v>
      </c>
      <c r="B1907" s="4" t="s">
        <v>3869</v>
      </c>
      <c r="C1907" s="4" t="s">
        <v>43</v>
      </c>
      <c r="D1907" s="2">
        <f>6901860864/(10^6)</f>
        <v>6901.860864</v>
      </c>
      <c r="E1907" s="5">
        <v>5.1082592010498</v>
      </c>
      <c r="F1907" s="5">
        <v>0.540390908718109</v>
      </c>
      <c r="G1907" s="5">
        <v>0.763562440872192</v>
      </c>
      <c r="H1907" s="5" t="s">
        <v>86</v>
      </c>
      <c r="I1907" t="s">
        <v>57</v>
      </c>
    </row>
    <row r="1908" spans="1:9">
      <c r="A1908" s="4" t="s">
        <v>3870</v>
      </c>
      <c r="B1908" s="4" t="s">
        <v>3871</v>
      </c>
      <c r="C1908" s="4" t="s">
        <v>47</v>
      </c>
      <c r="D1908" s="2">
        <f>6896510976/(10^6)</f>
        <v>6896.510976</v>
      </c>
      <c r="E1908" s="5" t="s">
        <v>86</v>
      </c>
      <c r="F1908" s="5">
        <v>75.8383026123047</v>
      </c>
      <c r="G1908" s="5">
        <v>0.586215794086456</v>
      </c>
      <c r="H1908" s="5" t="s">
        <v>86</v>
      </c>
      <c r="I1908" t="s">
        <v>57</v>
      </c>
    </row>
    <row r="1909" spans="1:9">
      <c r="A1909" s="4" t="s">
        <v>3872</v>
      </c>
      <c r="B1909" s="4" t="s">
        <v>3873</v>
      </c>
      <c r="C1909" s="4" t="s">
        <v>31</v>
      </c>
      <c r="D1909" s="2">
        <f>6887680512/(10^6)</f>
        <v>6887.680512</v>
      </c>
      <c r="E1909" s="5">
        <v>27.0851783752441</v>
      </c>
      <c r="F1909" s="5">
        <v>5.13897323608398</v>
      </c>
      <c r="G1909" s="5">
        <v>2.01200413703919</v>
      </c>
      <c r="H1909" s="5">
        <v>14.1185150146484</v>
      </c>
      <c r="I1909" t="s">
        <v>57</v>
      </c>
    </row>
    <row r="1910" spans="1:9">
      <c r="A1910" s="4" t="s">
        <v>3874</v>
      </c>
      <c r="B1910" s="4" t="s">
        <v>3875</v>
      </c>
      <c r="C1910" s="4" t="s">
        <v>41</v>
      </c>
      <c r="D1910" s="2">
        <f>6878850048/(10^6)</f>
        <v>6878.850048</v>
      </c>
      <c r="E1910" s="5">
        <v>22.6278228759766</v>
      </c>
      <c r="F1910" s="5">
        <v>4.71362161636353</v>
      </c>
      <c r="G1910" s="5">
        <v>6.16793489456177</v>
      </c>
      <c r="H1910" s="5">
        <v>14.0060453414917</v>
      </c>
      <c r="I1910" t="s">
        <v>57</v>
      </c>
    </row>
    <row r="1911" spans="1:9">
      <c r="A1911" s="4" t="s">
        <v>3876</v>
      </c>
      <c r="B1911" s="4" t="s">
        <v>3877</v>
      </c>
      <c r="C1911" s="4" t="s">
        <v>51</v>
      </c>
      <c r="D1911" s="2">
        <f>6876598272/(10^6)</f>
        <v>6876.598272</v>
      </c>
      <c r="E1911" s="5" t="s">
        <v>86</v>
      </c>
      <c r="F1911" s="5">
        <v>7.64734888076782</v>
      </c>
      <c r="G1911" s="5" t="s">
        <v>86</v>
      </c>
      <c r="H1911" s="5" t="s">
        <v>86</v>
      </c>
      <c r="I1911" t="s">
        <v>57</v>
      </c>
    </row>
    <row r="1912" spans="1:9">
      <c r="A1912" s="4" t="s">
        <v>3878</v>
      </c>
      <c r="B1912" s="4" t="s">
        <v>3879</v>
      </c>
      <c r="C1912" s="4" t="s">
        <v>43</v>
      </c>
      <c r="D1912" s="2">
        <f>6876482048/(10^6)</f>
        <v>6876.482048</v>
      </c>
      <c r="E1912" s="5">
        <v>30.1491508483887</v>
      </c>
      <c r="F1912" s="5">
        <v>7.4709038734436</v>
      </c>
      <c r="G1912" s="5">
        <v>1.4750691652298</v>
      </c>
      <c r="H1912" s="5">
        <v>20.6706581115723</v>
      </c>
      <c r="I1912" t="s">
        <v>57</v>
      </c>
    </row>
    <row r="1913" spans="1:9">
      <c r="A1913" s="4" t="s">
        <v>3880</v>
      </c>
      <c r="B1913" s="4" t="s">
        <v>3881</v>
      </c>
      <c r="C1913" s="4" t="s">
        <v>51</v>
      </c>
      <c r="D1913" s="2">
        <f>6815328768/(10^6)</f>
        <v>6815.328768</v>
      </c>
      <c r="E1913" s="5">
        <v>173.301422119141</v>
      </c>
      <c r="F1913" s="5">
        <v>5.46177911758423</v>
      </c>
      <c r="G1913" s="5">
        <v>5.36445188522339</v>
      </c>
      <c r="H1913" s="5">
        <v>52.9899597167969</v>
      </c>
      <c r="I1913" t="s">
        <v>57</v>
      </c>
    </row>
    <row r="1914" spans="1:9">
      <c r="A1914" s="4" t="s">
        <v>3882</v>
      </c>
      <c r="B1914" s="4" t="s">
        <v>3883</v>
      </c>
      <c r="C1914" s="4" t="s">
        <v>47</v>
      </c>
      <c r="D1914" s="2">
        <f>6806845952/(10^6)</f>
        <v>6806.845952</v>
      </c>
      <c r="E1914" s="5">
        <v>28.1376781463623</v>
      </c>
      <c r="F1914" s="5">
        <v>3.89961886405945</v>
      </c>
      <c r="G1914" s="5">
        <v>1.02223169803619</v>
      </c>
      <c r="H1914" s="5">
        <v>9.65656471252441</v>
      </c>
      <c r="I1914" t="s">
        <v>57</v>
      </c>
    </row>
    <row r="1915" spans="1:9">
      <c r="A1915" s="4" t="s">
        <v>3884</v>
      </c>
      <c r="B1915" s="4" t="s">
        <v>3885</v>
      </c>
      <c r="C1915" s="4" t="s">
        <v>31</v>
      </c>
      <c r="D1915" s="2">
        <f>6746114560/(10^6)</f>
        <v>6746.11456</v>
      </c>
      <c r="E1915" s="5">
        <v>20.1124782562256</v>
      </c>
      <c r="F1915" s="5">
        <v>7.39650964736938</v>
      </c>
      <c r="G1915" s="5">
        <v>2.04386329650879</v>
      </c>
      <c r="H1915" s="5">
        <v>16.8438510894775</v>
      </c>
      <c r="I1915" t="s">
        <v>57</v>
      </c>
    </row>
    <row r="1916" spans="1:9">
      <c r="A1916" s="4" t="s">
        <v>3886</v>
      </c>
      <c r="B1916" s="4" t="s">
        <v>3887</v>
      </c>
      <c r="C1916" s="4" t="s">
        <v>51</v>
      </c>
      <c r="D1916" s="2">
        <f>6737093120/(10^6)</f>
        <v>6737.09312</v>
      </c>
      <c r="E1916" s="5">
        <v>14.2445220947266</v>
      </c>
      <c r="F1916" s="5">
        <v>3.4916398525238</v>
      </c>
      <c r="G1916" s="5">
        <v>2.93877983093262</v>
      </c>
      <c r="H1916" s="5">
        <v>9.95382881164551</v>
      </c>
      <c r="I1916" t="s">
        <v>57</v>
      </c>
    </row>
    <row r="1917" spans="1:9">
      <c r="A1917" s="4" t="s">
        <v>3888</v>
      </c>
      <c r="B1917" s="4" t="s">
        <v>3889</v>
      </c>
      <c r="C1917" s="4" t="s">
        <v>51</v>
      </c>
      <c r="D1917" s="2">
        <f>6700483072/(10^6)</f>
        <v>6700.483072</v>
      </c>
      <c r="E1917" s="5" t="s">
        <v>86</v>
      </c>
      <c r="F1917" s="5">
        <v>4.20667505264282</v>
      </c>
      <c r="G1917" s="5">
        <v>9.47218132019043</v>
      </c>
      <c r="H1917" s="5">
        <v>513.830017089844</v>
      </c>
      <c r="I1917" t="s">
        <v>57</v>
      </c>
    </row>
    <row r="1918" spans="1:9">
      <c r="A1918" s="4" t="s">
        <v>3890</v>
      </c>
      <c r="B1918" s="4" t="s">
        <v>3891</v>
      </c>
      <c r="C1918" s="4" t="s">
        <v>31</v>
      </c>
      <c r="D1918" s="2">
        <f>6678125056/(10^6)</f>
        <v>6678.125056</v>
      </c>
      <c r="E1918" s="5">
        <v>5.39706182479858</v>
      </c>
      <c r="F1918" s="5">
        <v>1.75032687187195</v>
      </c>
      <c r="G1918" s="5">
        <v>0.744649767875671</v>
      </c>
      <c r="H1918" s="5">
        <v>4.24997186660767</v>
      </c>
      <c r="I1918" t="s">
        <v>57</v>
      </c>
    </row>
    <row r="1919" spans="1:9">
      <c r="A1919" s="4" t="s">
        <v>3892</v>
      </c>
      <c r="B1919" s="4" t="s">
        <v>3893</v>
      </c>
      <c r="C1919" s="4" t="s">
        <v>41</v>
      </c>
      <c r="D1919" s="2">
        <f>6667605504/(10^6)</f>
        <v>6667.605504</v>
      </c>
      <c r="E1919" s="5">
        <v>26.7164287567139</v>
      </c>
      <c r="F1919" s="5">
        <v>4.11622428894043</v>
      </c>
      <c r="G1919" s="5">
        <v>2.29159259796143</v>
      </c>
      <c r="H1919" s="5">
        <v>16.2615756988525</v>
      </c>
      <c r="I1919" t="s">
        <v>57</v>
      </c>
    </row>
    <row r="1920" spans="1:9">
      <c r="A1920" s="4" t="s">
        <v>3894</v>
      </c>
      <c r="B1920" s="4" t="s">
        <v>3895</v>
      </c>
      <c r="C1920" s="4" t="s">
        <v>51</v>
      </c>
      <c r="D1920" s="2">
        <f>6645883392/(10^6)</f>
        <v>6645.883392</v>
      </c>
      <c r="E1920" s="5" t="s">
        <v>86</v>
      </c>
      <c r="F1920" s="5">
        <v>9.08176517486572</v>
      </c>
      <c r="G1920" s="5">
        <v>11.1938467025757</v>
      </c>
      <c r="H1920" s="5" t="s">
        <v>86</v>
      </c>
      <c r="I1920" t="s">
        <v>57</v>
      </c>
    </row>
    <row r="1921" spans="1:9">
      <c r="A1921" s="4" t="s">
        <v>3896</v>
      </c>
      <c r="B1921" s="4" t="s">
        <v>3897</v>
      </c>
      <c r="C1921" s="4" t="s">
        <v>41</v>
      </c>
      <c r="D1921" s="2">
        <f>6645702656/(10^6)</f>
        <v>6645.702656</v>
      </c>
      <c r="E1921" s="5" t="s">
        <v>86</v>
      </c>
      <c r="F1921" s="5" t="s">
        <v>86</v>
      </c>
      <c r="G1921" s="5">
        <v>0.770478308200836</v>
      </c>
      <c r="H1921" s="5">
        <v>14.4133052825928</v>
      </c>
      <c r="I1921" t="s">
        <v>57</v>
      </c>
    </row>
    <row r="1922" spans="1:9">
      <c r="A1922" s="4" t="s">
        <v>3898</v>
      </c>
      <c r="B1922" s="4" t="s">
        <v>3899</v>
      </c>
      <c r="C1922" s="4" t="s">
        <v>47</v>
      </c>
      <c r="D1922" s="2">
        <f>6641741824/(10^6)</f>
        <v>6641.741824</v>
      </c>
      <c r="E1922" s="5">
        <v>8.83209228515625</v>
      </c>
      <c r="F1922" s="5">
        <v>2.83689641952515</v>
      </c>
      <c r="G1922" s="5">
        <v>0.762942254543304</v>
      </c>
      <c r="H1922" s="5">
        <v>8.17727756500244</v>
      </c>
      <c r="I1922" t="s">
        <v>57</v>
      </c>
    </row>
    <row r="1923" spans="1:9">
      <c r="A1923" s="4" t="s">
        <v>3900</v>
      </c>
      <c r="B1923" s="4" t="s">
        <v>3901</v>
      </c>
      <c r="C1923" s="4" t="s">
        <v>31</v>
      </c>
      <c r="D1923" s="2">
        <f>6635960320/(10^6)</f>
        <v>6635.96032</v>
      </c>
      <c r="E1923" s="5">
        <v>14.2999687194824</v>
      </c>
      <c r="F1923" s="5">
        <v>2.50098061561585</v>
      </c>
      <c r="G1923" s="5">
        <v>1.4030100107193</v>
      </c>
      <c r="H1923" s="5">
        <v>9.0468921661377</v>
      </c>
      <c r="I1923" t="s">
        <v>57</v>
      </c>
    </row>
    <row r="1924" spans="1:9">
      <c r="A1924" s="4" t="s">
        <v>3902</v>
      </c>
      <c r="B1924" s="4" t="s">
        <v>3903</v>
      </c>
      <c r="C1924" s="4" t="s">
        <v>43</v>
      </c>
      <c r="D1924" s="2">
        <f>6634917376/(10^6)</f>
        <v>6634.917376</v>
      </c>
      <c r="E1924" s="5">
        <v>13.6803903579712</v>
      </c>
      <c r="F1924" s="5">
        <v>3.80998539924622</v>
      </c>
      <c r="G1924" s="5">
        <v>4.06249713897705</v>
      </c>
      <c r="H1924" s="5">
        <v>10.5208625793457</v>
      </c>
      <c r="I1924" t="s">
        <v>57</v>
      </c>
    </row>
    <row r="1925" spans="1:9">
      <c r="A1925" s="4" t="s">
        <v>3904</v>
      </c>
      <c r="B1925" s="4" t="s">
        <v>3905</v>
      </c>
      <c r="C1925" s="4" t="s">
        <v>47</v>
      </c>
      <c r="D1925" s="2">
        <f>6619788288/(10^6)</f>
        <v>6619.788288</v>
      </c>
      <c r="E1925" s="5">
        <v>6.76269388198853</v>
      </c>
      <c r="F1925" s="5">
        <v>1.21398878097534</v>
      </c>
      <c r="G1925" s="5">
        <v>0.658150970935822</v>
      </c>
      <c r="H1925" s="5">
        <v>6.00614976882935</v>
      </c>
      <c r="I1925" t="s">
        <v>57</v>
      </c>
    </row>
    <row r="1926" spans="1:9">
      <c r="A1926" s="4" t="s">
        <v>3906</v>
      </c>
      <c r="B1926" s="4" t="s">
        <v>3907</v>
      </c>
      <c r="C1926" s="4" t="s">
        <v>47</v>
      </c>
      <c r="D1926" s="2">
        <f>6619166208/(10^6)</f>
        <v>6619.166208</v>
      </c>
      <c r="E1926" s="5">
        <v>11.9857683181763</v>
      </c>
      <c r="F1926" s="5">
        <v>1.86487126350403</v>
      </c>
      <c r="G1926" s="5">
        <v>0.697882473468781</v>
      </c>
      <c r="H1926" s="5">
        <v>6.56455087661743</v>
      </c>
      <c r="I1926" t="s">
        <v>57</v>
      </c>
    </row>
    <row r="1927" spans="1:9">
      <c r="A1927" s="4" t="s">
        <v>3908</v>
      </c>
      <c r="B1927" s="4" t="s">
        <v>3909</v>
      </c>
      <c r="C1927" s="4" t="s">
        <v>51</v>
      </c>
      <c r="D1927" s="2">
        <f>6590712320/(10^6)</f>
        <v>6590.71232</v>
      </c>
      <c r="E1927" s="5">
        <v>17.6935863494873</v>
      </c>
      <c r="F1927" s="5">
        <v>1.45270597934723</v>
      </c>
      <c r="G1927" s="5">
        <v>1.53788065910339</v>
      </c>
      <c r="H1927" s="5">
        <v>9.27890205383301</v>
      </c>
      <c r="I1927" t="s">
        <v>57</v>
      </c>
    </row>
    <row r="1928" spans="1:9">
      <c r="A1928" s="4" t="s">
        <v>3910</v>
      </c>
      <c r="B1928" s="4" t="s">
        <v>3911</v>
      </c>
      <c r="C1928" s="4" t="s">
        <v>41</v>
      </c>
      <c r="D1928" s="2">
        <f>6579165696/(10^6)</f>
        <v>6579.165696</v>
      </c>
      <c r="E1928" s="5">
        <v>29.0721015930176</v>
      </c>
      <c r="F1928" s="5">
        <v>8.99143505096436</v>
      </c>
      <c r="G1928" s="5">
        <v>3.37577700614929</v>
      </c>
      <c r="H1928" s="5">
        <v>19.2677230834961</v>
      </c>
      <c r="I1928" t="s">
        <v>57</v>
      </c>
    </row>
    <row r="1929" spans="1:9">
      <c r="A1929" s="4" t="s">
        <v>3912</v>
      </c>
      <c r="B1929" s="4" t="s">
        <v>3913</v>
      </c>
      <c r="C1929" s="4" t="s">
        <v>47</v>
      </c>
      <c r="D1929" s="2">
        <f>6560683520/(10^6)</f>
        <v>6560.68352</v>
      </c>
      <c r="E1929" s="5">
        <v>10.4535913467407</v>
      </c>
      <c r="F1929" s="5">
        <v>1.30803430080414</v>
      </c>
      <c r="G1929" s="5">
        <v>0.529781222343445</v>
      </c>
      <c r="H1929" s="5">
        <v>7.54153680801392</v>
      </c>
      <c r="I1929" t="s">
        <v>57</v>
      </c>
    </row>
    <row r="1930" spans="1:9">
      <c r="A1930" s="4" t="s">
        <v>3914</v>
      </c>
      <c r="B1930" s="4" t="s">
        <v>3915</v>
      </c>
      <c r="C1930" s="4" t="s">
        <v>41</v>
      </c>
      <c r="D1930" s="2">
        <f>6544901632/(10^6)</f>
        <v>6544.901632</v>
      </c>
      <c r="E1930" s="5">
        <v>32.1335258483887</v>
      </c>
      <c r="F1930" s="5">
        <v>6.25887823104858</v>
      </c>
      <c r="G1930" s="5">
        <v>7.80142974853516</v>
      </c>
      <c r="H1930" s="5">
        <v>21.402400970459</v>
      </c>
      <c r="I1930" t="s">
        <v>57</v>
      </c>
    </row>
    <row r="1931" spans="1:9">
      <c r="A1931" s="4" t="s">
        <v>3916</v>
      </c>
      <c r="B1931" s="4" t="s">
        <v>3917</v>
      </c>
      <c r="C1931" s="4" t="s">
        <v>27</v>
      </c>
      <c r="D1931" s="2">
        <f>6472866304/(10^6)</f>
        <v>6472.866304</v>
      </c>
      <c r="E1931" s="5">
        <v>10.0446071624756</v>
      </c>
      <c r="F1931" s="5">
        <v>3.0036416053772</v>
      </c>
      <c r="G1931" s="5">
        <v>3.27250647544861</v>
      </c>
      <c r="H1931" s="5">
        <v>5.4832911491394</v>
      </c>
      <c r="I1931" t="s">
        <v>57</v>
      </c>
    </row>
    <row r="1932" spans="1:9">
      <c r="A1932" s="4" t="s">
        <v>3918</v>
      </c>
      <c r="B1932" s="4" t="s">
        <v>3919</v>
      </c>
      <c r="C1932" s="4" t="s">
        <v>51</v>
      </c>
      <c r="D1932" s="2">
        <f>6458416128/(10^6)</f>
        <v>6458.416128</v>
      </c>
      <c r="E1932" s="5">
        <v>26.2904872894287</v>
      </c>
      <c r="F1932" s="5">
        <v>16.4823017120361</v>
      </c>
      <c r="G1932" s="5">
        <v>10.8488073348999</v>
      </c>
      <c r="H1932" s="5">
        <v>23.7910079956055</v>
      </c>
      <c r="I1932" t="s">
        <v>57</v>
      </c>
    </row>
    <row r="1933" spans="1:9">
      <c r="A1933" s="4" t="s">
        <v>3920</v>
      </c>
      <c r="B1933" s="4" t="s">
        <v>3921</v>
      </c>
      <c r="C1933" s="4" t="s">
        <v>43</v>
      </c>
      <c r="D1933" s="2">
        <f>6415003136/(10^6)</f>
        <v>6415.003136</v>
      </c>
      <c r="E1933" s="5">
        <v>8.55187034606934</v>
      </c>
      <c r="F1933" s="5">
        <v>1.02288472652435</v>
      </c>
      <c r="G1933" s="5">
        <v>0.776838183403015</v>
      </c>
      <c r="H1933" s="5" t="s">
        <v>86</v>
      </c>
      <c r="I1933" t="s">
        <v>57</v>
      </c>
    </row>
    <row r="1934" spans="1:9">
      <c r="A1934" s="4" t="s">
        <v>3922</v>
      </c>
      <c r="B1934" s="4" t="s">
        <v>3923</v>
      </c>
      <c r="C1934" s="4" t="s">
        <v>39</v>
      </c>
      <c r="D1934" s="2">
        <f>6407677440/(10^6)</f>
        <v>6407.67744</v>
      </c>
      <c r="E1934" s="5">
        <v>14.7511510848999</v>
      </c>
      <c r="F1934" s="5">
        <v>1.54733681678772</v>
      </c>
      <c r="G1934" s="5">
        <v>2.8707160949707</v>
      </c>
      <c r="H1934" s="5">
        <v>11.3206653594971</v>
      </c>
      <c r="I1934" t="s">
        <v>57</v>
      </c>
    </row>
    <row r="1935" spans="1:9">
      <c r="A1935" s="4" t="s">
        <v>3924</v>
      </c>
      <c r="B1935" s="4" t="s">
        <v>3925</v>
      </c>
      <c r="C1935" s="4" t="s">
        <v>41</v>
      </c>
      <c r="D1935" s="2">
        <f>6398201856/(10^6)</f>
        <v>6398.201856</v>
      </c>
      <c r="E1935" s="5" t="s">
        <v>86</v>
      </c>
      <c r="F1935" s="5">
        <v>8.00355339050293</v>
      </c>
      <c r="G1935" s="5">
        <v>28.7971668243408</v>
      </c>
      <c r="H1935" s="5" t="s">
        <v>86</v>
      </c>
      <c r="I1935" t="s">
        <v>57</v>
      </c>
    </row>
    <row r="1936" spans="1:9">
      <c r="A1936" s="4" t="s">
        <v>3926</v>
      </c>
      <c r="B1936" s="4" t="s">
        <v>3927</v>
      </c>
      <c r="C1936" s="4" t="s">
        <v>33</v>
      </c>
      <c r="D1936" s="2">
        <f>6375389184/(10^6)</f>
        <v>6375.389184</v>
      </c>
      <c r="E1936" s="5" t="s">
        <v>86</v>
      </c>
      <c r="F1936" s="5">
        <v>3.22222566604614</v>
      </c>
      <c r="G1936" s="5">
        <v>4.7640209197998</v>
      </c>
      <c r="H1936" s="5" t="s">
        <v>86</v>
      </c>
      <c r="I1936" t="s">
        <v>57</v>
      </c>
    </row>
    <row r="1937" spans="1:9">
      <c r="A1937" s="4" t="s">
        <v>3928</v>
      </c>
      <c r="B1937" s="4" t="s">
        <v>3929</v>
      </c>
      <c r="C1937" s="4" t="s">
        <v>51</v>
      </c>
      <c r="D1937" s="2">
        <f>6325995520/(10^6)</f>
        <v>6325.99552</v>
      </c>
      <c r="E1937" s="5">
        <v>45.9109573364258</v>
      </c>
      <c r="F1937" s="5">
        <v>7.85981130599976</v>
      </c>
      <c r="G1937" s="5">
        <v>15.5381383895874</v>
      </c>
      <c r="H1937" s="5">
        <v>29.2365856170654</v>
      </c>
      <c r="I1937" t="s">
        <v>57</v>
      </c>
    </row>
    <row r="1938" spans="1:9">
      <c r="A1938" s="4" t="s">
        <v>3930</v>
      </c>
      <c r="B1938" s="4" t="s">
        <v>3931</v>
      </c>
      <c r="C1938" s="4" t="s">
        <v>37</v>
      </c>
      <c r="D1938" s="2">
        <f>6319597056/(10^6)</f>
        <v>6319.597056</v>
      </c>
      <c r="E1938" s="5">
        <v>6.52467584609985</v>
      </c>
      <c r="F1938" s="5">
        <v>1.0602947473526</v>
      </c>
      <c r="G1938" s="5">
        <v>0.688535034656525</v>
      </c>
      <c r="H1938" s="5">
        <v>6.74049711227417</v>
      </c>
      <c r="I1938" t="s">
        <v>57</v>
      </c>
    </row>
    <row r="1939" spans="1:9">
      <c r="A1939" s="4" t="s">
        <v>3932</v>
      </c>
      <c r="B1939" s="4" t="s">
        <v>3933</v>
      </c>
      <c r="C1939" s="4" t="s">
        <v>47</v>
      </c>
      <c r="D1939" s="2">
        <f>6265395200/(10^6)</f>
        <v>6265.3952</v>
      </c>
      <c r="E1939" s="5">
        <v>20.1874256134033</v>
      </c>
      <c r="F1939" s="5">
        <v>4.37726736068726</v>
      </c>
      <c r="G1939" s="5">
        <v>2.61846137046814</v>
      </c>
      <c r="H1939" s="5">
        <v>11.6557693481445</v>
      </c>
      <c r="I1939" t="s">
        <v>57</v>
      </c>
    </row>
    <row r="1940" spans="1:9">
      <c r="A1940" s="4" t="s">
        <v>3934</v>
      </c>
      <c r="B1940" s="4" t="s">
        <v>3935</v>
      </c>
      <c r="C1940" s="4" t="s">
        <v>43</v>
      </c>
      <c r="D1940" s="2">
        <f>6263546880/(10^6)</f>
        <v>6263.54688</v>
      </c>
      <c r="E1940" s="5">
        <v>11.9165754318237</v>
      </c>
      <c r="F1940" s="5">
        <v>1.17034661769867</v>
      </c>
      <c r="G1940" s="5">
        <v>0.642843842506409</v>
      </c>
      <c r="H1940" s="5" t="s">
        <v>86</v>
      </c>
      <c r="I1940" t="s">
        <v>57</v>
      </c>
    </row>
    <row r="1941" spans="1:9">
      <c r="A1941" s="4" t="s">
        <v>3936</v>
      </c>
      <c r="B1941" s="4" t="s">
        <v>3937</v>
      </c>
      <c r="C1941" s="4" t="s">
        <v>51</v>
      </c>
      <c r="D1941" s="2">
        <f>6201039360/(10^6)</f>
        <v>6201.03936</v>
      </c>
      <c r="E1941" s="5" t="s">
        <v>86</v>
      </c>
      <c r="F1941" s="5">
        <v>13.2759313583374</v>
      </c>
      <c r="G1941" s="5">
        <v>15.2454862594604</v>
      </c>
      <c r="H1941" s="5" t="s">
        <v>86</v>
      </c>
      <c r="I1941" t="s">
        <v>57</v>
      </c>
    </row>
    <row r="1942" spans="1:9">
      <c r="A1942" s="4" t="s">
        <v>3938</v>
      </c>
      <c r="B1942" s="4" t="s">
        <v>3939</v>
      </c>
      <c r="C1942" s="4" t="s">
        <v>41</v>
      </c>
      <c r="D1942" s="2">
        <f>6180167680/(10^6)</f>
        <v>6180.16768</v>
      </c>
      <c r="E1942" s="5">
        <v>22.3121891021729</v>
      </c>
      <c r="F1942" s="5">
        <v>3.7229950428009</v>
      </c>
      <c r="G1942" s="5">
        <v>2.34706616401672</v>
      </c>
      <c r="H1942" s="5">
        <v>13.9952049255371</v>
      </c>
      <c r="I1942" t="s">
        <v>57</v>
      </c>
    </row>
    <row r="1943" spans="1:9">
      <c r="A1943" s="4" t="s">
        <v>3940</v>
      </c>
      <c r="B1943" s="4" t="s">
        <v>3941</v>
      </c>
      <c r="C1943" s="4" t="s">
        <v>51</v>
      </c>
      <c r="D1943" s="2">
        <f>6105005056/(10^6)</f>
        <v>6105.005056</v>
      </c>
      <c r="E1943" s="5">
        <v>213.257415771484</v>
      </c>
      <c r="F1943" s="5">
        <v>14.3357677459717</v>
      </c>
      <c r="G1943" s="5">
        <v>14.2380819320679</v>
      </c>
      <c r="H1943" s="5">
        <v>118.985908508301</v>
      </c>
      <c r="I1943" t="s">
        <v>57</v>
      </c>
    </row>
    <row r="1944" spans="1:9">
      <c r="A1944" s="4" t="s">
        <v>3942</v>
      </c>
      <c r="B1944" s="4" t="s">
        <v>3943</v>
      </c>
      <c r="C1944" s="4" t="s">
        <v>31</v>
      </c>
      <c r="D1944" s="2">
        <f>6075858432/(10^6)</f>
        <v>6075.858432</v>
      </c>
      <c r="E1944" s="5">
        <v>7.12615633010864</v>
      </c>
      <c r="F1944" s="5">
        <v>1.10281264781952</v>
      </c>
      <c r="G1944" s="5">
        <v>0.453204423189163</v>
      </c>
      <c r="H1944" s="5">
        <v>4.14109134674072</v>
      </c>
      <c r="I1944" t="s">
        <v>57</v>
      </c>
    </row>
    <row r="1945" spans="1:9">
      <c r="A1945" s="4" t="s">
        <v>3944</v>
      </c>
      <c r="B1945" s="4" t="s">
        <v>3945</v>
      </c>
      <c r="C1945" s="4" t="s">
        <v>31</v>
      </c>
      <c r="D1945" s="2">
        <f>6068837888/(10^6)</f>
        <v>6068.837888</v>
      </c>
      <c r="E1945" s="5">
        <v>12.6593637466431</v>
      </c>
      <c r="F1945" s="5">
        <v>2.49826526641846</v>
      </c>
      <c r="G1945" s="5">
        <v>1.05714809894562</v>
      </c>
      <c r="H1945" s="5">
        <v>8.91081523895264</v>
      </c>
      <c r="I1945" t="s">
        <v>57</v>
      </c>
    </row>
    <row r="1946" spans="1:9">
      <c r="A1946" s="4" t="s">
        <v>3946</v>
      </c>
      <c r="B1946" s="4" t="s">
        <v>3947</v>
      </c>
      <c r="C1946" s="4" t="s">
        <v>51</v>
      </c>
      <c r="D1946" s="2">
        <f>6043004928/(10^6)</f>
        <v>6043.004928</v>
      </c>
      <c r="E1946" s="5">
        <v>29.5992393493652</v>
      </c>
      <c r="F1946" s="5">
        <v>5.18012952804565</v>
      </c>
      <c r="G1946" s="5">
        <v>3.80138397216797</v>
      </c>
      <c r="H1946" s="5">
        <v>17.1231346130371</v>
      </c>
      <c r="I1946" t="s">
        <v>57</v>
      </c>
    </row>
    <row r="1947" spans="1:9">
      <c r="A1947" s="4" t="s">
        <v>3948</v>
      </c>
      <c r="B1947" s="4" t="s">
        <v>3949</v>
      </c>
      <c r="C1947" s="4" t="s">
        <v>51</v>
      </c>
      <c r="D1947" s="2">
        <f>6038825984/(10^6)</f>
        <v>6038.825984</v>
      </c>
      <c r="E1947" s="5">
        <v>20.7013416290283</v>
      </c>
      <c r="F1947" s="5">
        <v>2.76081800460815</v>
      </c>
      <c r="G1947" s="5">
        <v>1.68373119831085</v>
      </c>
      <c r="H1947" s="5">
        <v>11.6079721450806</v>
      </c>
      <c r="I1947" t="s">
        <v>57</v>
      </c>
    </row>
    <row r="1948" spans="1:9">
      <c r="A1948" s="4" t="s">
        <v>3950</v>
      </c>
      <c r="B1948" s="4" t="s">
        <v>3951</v>
      </c>
      <c r="C1948" s="4" t="s">
        <v>41</v>
      </c>
      <c r="D1948" s="2">
        <f>6031839232/(10^6)</f>
        <v>6031.839232</v>
      </c>
      <c r="E1948" s="5" t="s">
        <v>86</v>
      </c>
      <c r="F1948" s="5">
        <v>8.62400054931641</v>
      </c>
      <c r="G1948" s="5">
        <v>16.8933181762695</v>
      </c>
      <c r="H1948" s="5" t="s">
        <v>86</v>
      </c>
      <c r="I1948" t="s">
        <v>57</v>
      </c>
    </row>
    <row r="1949" spans="1:9">
      <c r="A1949" s="4" t="s">
        <v>3952</v>
      </c>
      <c r="B1949" s="4" t="s">
        <v>3953</v>
      </c>
      <c r="C1949" s="4" t="s">
        <v>37</v>
      </c>
      <c r="D1949" s="2">
        <f>6021088768/(10^6)</f>
        <v>6021.088768</v>
      </c>
      <c r="E1949" s="5">
        <v>23.7771167755127</v>
      </c>
      <c r="F1949" s="5">
        <v>3.73747706413269</v>
      </c>
      <c r="G1949" s="5">
        <v>2.08903646469116</v>
      </c>
      <c r="H1949" s="5">
        <v>11.9510707855225</v>
      </c>
      <c r="I1949" t="s">
        <v>57</v>
      </c>
    </row>
    <row r="1950" spans="1:9">
      <c r="A1950" s="4" t="s">
        <v>3954</v>
      </c>
      <c r="B1950" s="4" t="s">
        <v>3955</v>
      </c>
      <c r="C1950" s="4" t="s">
        <v>47</v>
      </c>
      <c r="D1950" s="2">
        <f>6005902336/(10^6)</f>
        <v>6005.902336</v>
      </c>
      <c r="E1950" s="5">
        <v>43.4564056396484</v>
      </c>
      <c r="F1950" s="5">
        <v>0.793730974197388</v>
      </c>
      <c r="G1950" s="5">
        <v>0.49524137377739</v>
      </c>
      <c r="H1950" s="5">
        <v>4.50178861618042</v>
      </c>
      <c r="I1950" t="s">
        <v>57</v>
      </c>
    </row>
    <row r="1951" spans="1:9">
      <c r="A1951" s="4" t="s">
        <v>3956</v>
      </c>
      <c r="B1951" s="4" t="s">
        <v>3957</v>
      </c>
      <c r="C1951" s="4" t="s">
        <v>47</v>
      </c>
      <c r="D1951" s="2">
        <f>5995162624/(10^6)</f>
        <v>5995.162624</v>
      </c>
      <c r="E1951" s="5">
        <v>33.8187217712402</v>
      </c>
      <c r="F1951" s="5">
        <v>6.13901948928833</v>
      </c>
      <c r="G1951" s="5">
        <v>2.9031834602356</v>
      </c>
      <c r="H1951" s="5">
        <v>15.4610662460327</v>
      </c>
      <c r="I1951" t="s">
        <v>57</v>
      </c>
    </row>
    <row r="1952" spans="1:9">
      <c r="A1952" s="4" t="s">
        <v>3958</v>
      </c>
      <c r="B1952" s="4" t="s">
        <v>3959</v>
      </c>
      <c r="C1952" s="4" t="s">
        <v>51</v>
      </c>
      <c r="D1952" s="2">
        <f>5983673856/(10^6)</f>
        <v>5983.673856</v>
      </c>
      <c r="E1952" s="5" t="s">
        <v>86</v>
      </c>
      <c r="F1952" s="5">
        <v>10.0601634979248</v>
      </c>
      <c r="G1952" s="5">
        <v>6.60915422439575</v>
      </c>
      <c r="H1952" s="5">
        <v>3891.01513671875</v>
      </c>
      <c r="I1952" t="s">
        <v>57</v>
      </c>
    </row>
    <row r="1953" spans="1:9">
      <c r="A1953" s="4" t="s">
        <v>3960</v>
      </c>
      <c r="B1953" s="4" t="s">
        <v>3961</v>
      </c>
      <c r="C1953" s="4" t="s">
        <v>31</v>
      </c>
      <c r="D1953" s="2">
        <f>5981864960/(10^6)</f>
        <v>5981.86496</v>
      </c>
      <c r="E1953" s="5">
        <v>2.85368227958679</v>
      </c>
      <c r="F1953" s="5" t="s">
        <v>86</v>
      </c>
      <c r="G1953" s="5">
        <v>0.135941535234451</v>
      </c>
      <c r="H1953" s="5">
        <v>6.61338758468628</v>
      </c>
      <c r="I1953" t="s">
        <v>57</v>
      </c>
    </row>
    <row r="1954" spans="1:9">
      <c r="A1954" s="4" t="s">
        <v>3962</v>
      </c>
      <c r="B1954" s="4" t="s">
        <v>3963</v>
      </c>
      <c r="C1954" s="4" t="s">
        <v>41</v>
      </c>
      <c r="D1954" s="2">
        <f>5977857536/(10^6)</f>
        <v>5977.857536</v>
      </c>
      <c r="E1954" s="5">
        <v>17.1653118133545</v>
      </c>
      <c r="F1954" s="5">
        <v>4.4280047416687</v>
      </c>
      <c r="G1954" s="5">
        <v>1.29234409332275</v>
      </c>
      <c r="H1954" s="5">
        <v>10.0013837814331</v>
      </c>
      <c r="I1954" t="s">
        <v>57</v>
      </c>
    </row>
    <row r="1955" spans="1:9">
      <c r="A1955" s="4" t="s">
        <v>3964</v>
      </c>
      <c r="B1955" s="4" t="s">
        <v>3965</v>
      </c>
      <c r="C1955" s="4" t="s">
        <v>31</v>
      </c>
      <c r="D1955" s="2">
        <f>5969888768/(10^6)</f>
        <v>5969.888768</v>
      </c>
      <c r="E1955" s="5">
        <v>16.5246639251709</v>
      </c>
      <c r="F1955" s="5">
        <v>3.58974456787109</v>
      </c>
      <c r="G1955" s="5">
        <v>2.04127049446106</v>
      </c>
      <c r="H1955" s="5">
        <v>10.2717170715332</v>
      </c>
      <c r="I1955" t="s">
        <v>57</v>
      </c>
    </row>
    <row r="1956" spans="1:9">
      <c r="A1956" s="4" t="s">
        <v>3966</v>
      </c>
      <c r="B1956" s="4" t="s">
        <v>3967</v>
      </c>
      <c r="C1956" s="4" t="s">
        <v>37</v>
      </c>
      <c r="D1956" s="2">
        <f>5938288640/(10^6)</f>
        <v>5938.28864</v>
      </c>
      <c r="E1956" s="5">
        <v>42.8828086853027</v>
      </c>
      <c r="F1956" s="5">
        <v>2.67621421813965</v>
      </c>
      <c r="G1956" s="5">
        <v>12.6667137145996</v>
      </c>
      <c r="H1956" s="5">
        <v>17.3877487182617</v>
      </c>
      <c r="I1956" t="s">
        <v>57</v>
      </c>
    </row>
    <row r="1957" spans="1:9">
      <c r="A1957" s="4" t="s">
        <v>3968</v>
      </c>
      <c r="B1957" s="4" t="s">
        <v>3969</v>
      </c>
      <c r="C1957" s="4" t="s">
        <v>41</v>
      </c>
      <c r="D1957" s="2">
        <f>5925867008/(10^6)</f>
        <v>5925.867008</v>
      </c>
      <c r="E1957" s="5" t="s">
        <v>86</v>
      </c>
      <c r="F1957" s="5" t="s">
        <v>86</v>
      </c>
      <c r="G1957" s="5" t="s">
        <v>86</v>
      </c>
      <c r="H1957" s="5" t="s">
        <v>86</v>
      </c>
      <c r="I1957" t="s">
        <v>57</v>
      </c>
    </row>
    <row r="1958" spans="1:9">
      <c r="A1958" s="4" t="s">
        <v>3970</v>
      </c>
      <c r="B1958" s="4" t="s">
        <v>3971</v>
      </c>
      <c r="C1958" s="4" t="s">
        <v>43</v>
      </c>
      <c r="D1958" s="2">
        <f>5904188416/(10^6)</f>
        <v>5904.188416</v>
      </c>
      <c r="E1958" s="5">
        <v>3.97953867912292</v>
      </c>
      <c r="F1958" s="5">
        <v>0.409490555524826</v>
      </c>
      <c r="G1958" s="5">
        <v>0.533498466014862</v>
      </c>
      <c r="H1958" s="5">
        <v>5.3909330368042</v>
      </c>
      <c r="I1958" t="s">
        <v>57</v>
      </c>
    </row>
    <row r="1959" spans="1:9">
      <c r="A1959" s="4" t="s">
        <v>3972</v>
      </c>
      <c r="B1959" s="4" t="s">
        <v>3973</v>
      </c>
      <c r="C1959" s="4" t="s">
        <v>33</v>
      </c>
      <c r="D1959" s="2">
        <f>5898809856/(10^6)</f>
        <v>5898.809856</v>
      </c>
      <c r="E1959" s="5">
        <v>8.67095565795898</v>
      </c>
      <c r="F1959" s="5">
        <v>2.12049078941345</v>
      </c>
      <c r="G1959" s="5">
        <v>0.574577748775482</v>
      </c>
      <c r="H1959" s="5">
        <v>5.93040895462036</v>
      </c>
      <c r="I1959" t="s">
        <v>57</v>
      </c>
    </row>
    <row r="1960" spans="1:9">
      <c r="A1960" s="4" t="s">
        <v>3974</v>
      </c>
      <c r="B1960" s="4" t="s">
        <v>3975</v>
      </c>
      <c r="C1960" s="4" t="s">
        <v>31</v>
      </c>
      <c r="D1960" s="2">
        <f>5898043904/(10^6)</f>
        <v>5898.043904</v>
      </c>
      <c r="E1960" s="5">
        <v>8.78387832641602</v>
      </c>
      <c r="F1960" s="5">
        <v>1.72890985012054</v>
      </c>
      <c r="G1960" s="5">
        <v>1.46081614494324</v>
      </c>
      <c r="H1960" s="5">
        <v>6.44086313247681</v>
      </c>
      <c r="I1960" t="s">
        <v>57</v>
      </c>
    </row>
    <row r="1961" spans="1:9">
      <c r="A1961" s="4" t="s">
        <v>3976</v>
      </c>
      <c r="B1961" s="4" t="s">
        <v>3977</v>
      </c>
      <c r="C1961" s="4" t="s">
        <v>33</v>
      </c>
      <c r="D1961" s="2">
        <f>5851922944/(10^6)</f>
        <v>5851.922944</v>
      </c>
      <c r="E1961" s="5" t="s">
        <v>86</v>
      </c>
      <c r="F1961" s="5">
        <v>0.943968415260315</v>
      </c>
      <c r="G1961" s="5">
        <v>6.51643180847168</v>
      </c>
      <c r="H1961" s="5">
        <v>90.1965713500977</v>
      </c>
      <c r="I1961" t="s">
        <v>57</v>
      </c>
    </row>
    <row r="1962" spans="1:9">
      <c r="A1962" s="4" t="s">
        <v>3978</v>
      </c>
      <c r="B1962" s="4" t="s">
        <v>3979</v>
      </c>
      <c r="C1962" s="4" t="s">
        <v>33</v>
      </c>
      <c r="D1962" s="2">
        <f>5851922944/(10^6)</f>
        <v>5851.922944</v>
      </c>
      <c r="E1962" s="5" t="s">
        <v>86</v>
      </c>
      <c r="F1962" s="5">
        <v>0.943968415260315</v>
      </c>
      <c r="G1962" s="5">
        <v>6.51643180847168</v>
      </c>
      <c r="H1962" s="5">
        <v>90.1965713500977</v>
      </c>
      <c r="I1962" t="s">
        <v>57</v>
      </c>
    </row>
    <row r="1963" spans="1:9">
      <c r="A1963" s="4" t="s">
        <v>3980</v>
      </c>
      <c r="B1963" s="4" t="s">
        <v>3981</v>
      </c>
      <c r="C1963" s="4" t="s">
        <v>37</v>
      </c>
      <c r="D1963" s="2">
        <f>5843462656/(10^6)</f>
        <v>5843.462656</v>
      </c>
      <c r="E1963" s="5">
        <v>9.34787273406982</v>
      </c>
      <c r="F1963" s="5">
        <v>1.48371052742004</v>
      </c>
      <c r="G1963" s="5">
        <v>1.62409567832947</v>
      </c>
      <c r="H1963" s="5">
        <v>9.98196887969971</v>
      </c>
      <c r="I1963" t="s">
        <v>57</v>
      </c>
    </row>
    <row r="1964" spans="1:9">
      <c r="A1964" s="4" t="s">
        <v>3982</v>
      </c>
      <c r="B1964" s="4" t="s">
        <v>3983</v>
      </c>
      <c r="C1964" s="4" t="s">
        <v>31</v>
      </c>
      <c r="D1964" s="2">
        <f>5822838272/(10^6)</f>
        <v>5822.838272</v>
      </c>
      <c r="E1964" s="5">
        <v>13.736891746521</v>
      </c>
      <c r="F1964" s="5">
        <v>2.99490571022034</v>
      </c>
      <c r="G1964" s="5">
        <v>1.26573753356934</v>
      </c>
      <c r="H1964" s="5">
        <v>9.29545974731445</v>
      </c>
      <c r="I1964" t="s">
        <v>57</v>
      </c>
    </row>
    <row r="1965" spans="1:9">
      <c r="A1965" s="4" t="s">
        <v>3984</v>
      </c>
      <c r="B1965" s="4" t="s">
        <v>3985</v>
      </c>
      <c r="C1965" s="4" t="s">
        <v>51</v>
      </c>
      <c r="D1965" s="2">
        <f>5795873792/(10^6)</f>
        <v>5795.873792</v>
      </c>
      <c r="E1965" s="5" t="s">
        <v>86</v>
      </c>
      <c r="F1965" s="5">
        <v>10.7449283599854</v>
      </c>
      <c r="G1965" s="5">
        <v>6.31307506561279</v>
      </c>
      <c r="H1965" s="5" t="s">
        <v>86</v>
      </c>
      <c r="I1965" t="s">
        <v>57</v>
      </c>
    </row>
    <row r="1966" spans="1:9">
      <c r="A1966" s="4" t="s">
        <v>3986</v>
      </c>
      <c r="B1966" s="4" t="s">
        <v>3987</v>
      </c>
      <c r="C1966" s="4" t="s">
        <v>41</v>
      </c>
      <c r="D1966" s="2">
        <f>5792147968/(10^6)</f>
        <v>5792.147968</v>
      </c>
      <c r="E1966" s="5" t="s">
        <v>86</v>
      </c>
      <c r="F1966" s="5">
        <v>13.7437915802002</v>
      </c>
      <c r="G1966" s="5">
        <v>9.53703784942627</v>
      </c>
      <c r="H1966" s="5" t="s">
        <v>86</v>
      </c>
      <c r="I1966" t="s">
        <v>57</v>
      </c>
    </row>
    <row r="1967" spans="1:9">
      <c r="A1967" s="4" t="s">
        <v>3988</v>
      </c>
      <c r="B1967" s="4" t="s">
        <v>3989</v>
      </c>
      <c r="C1967" s="4" t="s">
        <v>51</v>
      </c>
      <c r="D1967" s="2">
        <f>5784992768/(10^6)</f>
        <v>5784.992768</v>
      </c>
      <c r="E1967" s="5">
        <v>26.2480010986328</v>
      </c>
      <c r="F1967" s="5">
        <v>2.40650916099548</v>
      </c>
      <c r="G1967" s="5">
        <v>4.39362478256226</v>
      </c>
      <c r="H1967" s="5">
        <v>13.2802705764771</v>
      </c>
      <c r="I1967" t="s">
        <v>57</v>
      </c>
    </row>
    <row r="1968" spans="1:9">
      <c r="A1968" s="4" t="s">
        <v>3990</v>
      </c>
      <c r="B1968" s="4" t="s">
        <v>3991</v>
      </c>
      <c r="C1968" s="4" t="s">
        <v>47</v>
      </c>
      <c r="D1968" s="2">
        <f>5763834880/(10^6)</f>
        <v>5763.83488</v>
      </c>
      <c r="E1968" s="5">
        <v>13.7690181732178</v>
      </c>
      <c r="F1968" s="5">
        <v>1.16129076480866</v>
      </c>
      <c r="G1968" s="5">
        <v>0.647089540958405</v>
      </c>
      <c r="H1968" s="5">
        <v>34.9835624694824</v>
      </c>
      <c r="I1968" t="s">
        <v>57</v>
      </c>
    </row>
    <row r="1969" spans="1:9">
      <c r="A1969" s="4" t="s">
        <v>3992</v>
      </c>
      <c r="B1969" s="4" t="s">
        <v>3993</v>
      </c>
      <c r="C1969" s="4" t="s">
        <v>51</v>
      </c>
      <c r="D1969" s="2">
        <f>5702303232/(10^6)</f>
        <v>5702.303232</v>
      </c>
      <c r="E1969" s="5" t="s">
        <v>86</v>
      </c>
      <c r="F1969" s="5">
        <v>8.70588874816895</v>
      </c>
      <c r="G1969" s="5">
        <v>8.21002578735352</v>
      </c>
      <c r="H1969" s="5">
        <v>469.147552490234</v>
      </c>
      <c r="I1969" t="s">
        <v>57</v>
      </c>
    </row>
    <row r="1970" spans="1:9">
      <c r="A1970" s="4" t="s">
        <v>3994</v>
      </c>
      <c r="B1970" s="4" t="s">
        <v>3995</v>
      </c>
      <c r="C1970" s="4" t="s">
        <v>37</v>
      </c>
      <c r="D1970" s="2">
        <f>5700265472/(10^6)</f>
        <v>5700.265472</v>
      </c>
      <c r="E1970" s="5">
        <v>12.4717779159546</v>
      </c>
      <c r="F1970" s="5">
        <v>9.15974044799805</v>
      </c>
      <c r="G1970" s="5">
        <v>1.76606106758118</v>
      </c>
      <c r="H1970" s="5">
        <v>14.8082828521729</v>
      </c>
      <c r="I1970" t="s">
        <v>57</v>
      </c>
    </row>
    <row r="1971" spans="1:9">
      <c r="A1971" s="4" t="s">
        <v>3996</v>
      </c>
      <c r="B1971" s="4" t="s">
        <v>3997</v>
      </c>
      <c r="C1971" s="4" t="s">
        <v>41</v>
      </c>
      <c r="D1971" s="2">
        <f>5677671936/(10^6)</f>
        <v>5677.671936</v>
      </c>
      <c r="E1971" s="5">
        <v>27.6409168243408</v>
      </c>
      <c r="F1971" s="5">
        <v>6.12536287307739</v>
      </c>
      <c r="G1971" s="5">
        <v>2.76033401489258</v>
      </c>
      <c r="H1971" s="5">
        <v>14.7063264846802</v>
      </c>
      <c r="I1971" t="s">
        <v>57</v>
      </c>
    </row>
    <row r="1972" spans="1:9">
      <c r="A1972" s="4" t="s">
        <v>3998</v>
      </c>
      <c r="B1972" s="4" t="s">
        <v>3999</v>
      </c>
      <c r="C1972" s="4" t="s">
        <v>33</v>
      </c>
      <c r="D1972" s="2">
        <f>5675392000/(10^6)</f>
        <v>5675.392</v>
      </c>
      <c r="E1972" s="5" t="s">
        <v>86</v>
      </c>
      <c r="F1972" s="5">
        <v>2.12585186958313</v>
      </c>
      <c r="G1972" s="5">
        <v>3.47274541854858</v>
      </c>
      <c r="H1972" s="5">
        <v>53.0297775268555</v>
      </c>
      <c r="I1972" t="s">
        <v>57</v>
      </c>
    </row>
    <row r="1973" spans="1:9">
      <c r="A1973" s="4" t="s">
        <v>4000</v>
      </c>
      <c r="B1973" s="4" t="s">
        <v>4001</v>
      </c>
      <c r="C1973" s="4" t="s">
        <v>31</v>
      </c>
      <c r="D1973" s="2">
        <f>5651748864/(10^6)</f>
        <v>5651.748864</v>
      </c>
      <c r="E1973" s="5">
        <v>19.1922817230225</v>
      </c>
      <c r="F1973" s="5">
        <v>1.37739455699921</v>
      </c>
      <c r="G1973" s="5">
        <v>1.45504796504974</v>
      </c>
      <c r="H1973" s="5">
        <v>5.90846872329712</v>
      </c>
      <c r="I1973" t="s">
        <v>57</v>
      </c>
    </row>
    <row r="1974" spans="1:9">
      <c r="A1974" s="4" t="s">
        <v>4002</v>
      </c>
      <c r="B1974" s="4" t="s">
        <v>4003</v>
      </c>
      <c r="C1974" s="4" t="s">
        <v>31</v>
      </c>
      <c r="D1974" s="2">
        <f>5643907584/(10^6)</f>
        <v>5643.907584</v>
      </c>
      <c r="E1974" s="5">
        <v>23.2041358947754</v>
      </c>
      <c r="F1974" s="5">
        <v>3.94332766532898</v>
      </c>
      <c r="G1974" s="5">
        <v>1.07624077796936</v>
      </c>
      <c r="H1974" s="5">
        <v>12.4205436706543</v>
      </c>
      <c r="I1974" t="s">
        <v>57</v>
      </c>
    </row>
    <row r="1975" spans="1:9">
      <c r="A1975" s="4" t="s">
        <v>4004</v>
      </c>
      <c r="B1975" s="4" t="s">
        <v>4005</v>
      </c>
      <c r="C1975" s="4" t="s">
        <v>31</v>
      </c>
      <c r="D1975" s="2">
        <f>5643907584/(10^6)</f>
        <v>5643.907584</v>
      </c>
      <c r="E1975" s="5">
        <v>23.2041358947754</v>
      </c>
      <c r="F1975" s="5">
        <v>3.94332766532898</v>
      </c>
      <c r="G1975" s="5">
        <v>1.07624077796936</v>
      </c>
      <c r="H1975" s="5">
        <v>12.4205436706543</v>
      </c>
      <c r="I1975" t="s">
        <v>57</v>
      </c>
    </row>
    <row r="1976" spans="1:9">
      <c r="A1976" s="4" t="s">
        <v>4006</v>
      </c>
      <c r="B1976" s="4" t="s">
        <v>4007</v>
      </c>
      <c r="C1976" s="4" t="s">
        <v>27</v>
      </c>
      <c r="D1976" s="2">
        <f>5622633984/(10^6)</f>
        <v>5622.633984</v>
      </c>
      <c r="E1976" s="5">
        <v>5.31367301940918</v>
      </c>
      <c r="F1976" s="5">
        <v>0.700252056121826</v>
      </c>
      <c r="G1976" s="5">
        <v>0.249566420912743</v>
      </c>
      <c r="H1976" s="5">
        <v>9.73846340179443</v>
      </c>
      <c r="I1976" t="s">
        <v>57</v>
      </c>
    </row>
    <row r="1977" spans="1:9">
      <c r="A1977" s="4" t="s">
        <v>4008</v>
      </c>
      <c r="B1977" s="4" t="s">
        <v>4009</v>
      </c>
      <c r="C1977" s="4" t="s">
        <v>47</v>
      </c>
      <c r="D1977" s="2">
        <f>5593342976/(10^6)</f>
        <v>5593.342976</v>
      </c>
      <c r="E1977" s="5">
        <v>7.44158315658569</v>
      </c>
      <c r="F1977" s="5">
        <v>0.688456952571869</v>
      </c>
      <c r="G1977" s="5">
        <v>0.564526855945587</v>
      </c>
      <c r="H1977" s="5">
        <v>5.90822696685791</v>
      </c>
      <c r="I1977" t="s">
        <v>57</v>
      </c>
    </row>
    <row r="1978" spans="1:9">
      <c r="A1978" s="4" t="s">
        <v>4010</v>
      </c>
      <c r="B1978" s="4" t="s">
        <v>4011</v>
      </c>
      <c r="C1978" s="4" t="s">
        <v>37</v>
      </c>
      <c r="D1978" s="2">
        <f>5577510400/(10^6)</f>
        <v>5577.5104</v>
      </c>
      <c r="E1978" s="5">
        <v>8.07505893707275</v>
      </c>
      <c r="F1978" s="5">
        <v>1.07113289833069</v>
      </c>
      <c r="G1978" s="5">
        <v>0.508545517921448</v>
      </c>
      <c r="H1978" s="5">
        <v>5.46705913543701</v>
      </c>
      <c r="I1978" t="s">
        <v>57</v>
      </c>
    </row>
    <row r="1979" spans="1:9">
      <c r="A1979" s="4" t="s">
        <v>4012</v>
      </c>
      <c r="B1979" s="4" t="s">
        <v>4013</v>
      </c>
      <c r="C1979" s="4" t="s">
        <v>31</v>
      </c>
      <c r="D1979" s="2">
        <f>5566006784/(10^6)</f>
        <v>5566.006784</v>
      </c>
      <c r="E1979" s="5">
        <v>21.177806854248</v>
      </c>
      <c r="F1979" s="5">
        <v>5.39118003845215</v>
      </c>
      <c r="G1979" s="5">
        <v>2.49961233139038</v>
      </c>
      <c r="H1979" s="5">
        <v>14.1726026535034</v>
      </c>
      <c r="I1979" t="s">
        <v>57</v>
      </c>
    </row>
    <row r="1980" spans="1:9">
      <c r="A1980" s="4" t="s">
        <v>4014</v>
      </c>
      <c r="B1980" s="4" t="s">
        <v>4015</v>
      </c>
      <c r="C1980" s="4" t="s">
        <v>35</v>
      </c>
      <c r="D1980" s="2">
        <f>5550772224/(10^6)</f>
        <v>5550.772224</v>
      </c>
      <c r="E1980" s="5" t="s">
        <v>86</v>
      </c>
      <c r="F1980" s="5" t="s">
        <v>86</v>
      </c>
      <c r="G1980" s="5" t="s">
        <v>86</v>
      </c>
      <c r="H1980" s="5" t="s">
        <v>86</v>
      </c>
      <c r="I1980" t="s">
        <v>57</v>
      </c>
    </row>
    <row r="1981" spans="1:9">
      <c r="A1981" s="4" t="s">
        <v>4016</v>
      </c>
      <c r="B1981" s="4" t="s">
        <v>4017</v>
      </c>
      <c r="C1981" s="4" t="s">
        <v>43</v>
      </c>
      <c r="D1981" s="2">
        <f>5546212864/(10^6)</f>
        <v>5546.212864</v>
      </c>
      <c r="E1981" s="5">
        <v>14.141077041626</v>
      </c>
      <c r="F1981" s="5">
        <v>1.85876488685608</v>
      </c>
      <c r="G1981" s="5">
        <v>3.86564445495606</v>
      </c>
      <c r="H1981" s="5" t="s">
        <v>86</v>
      </c>
      <c r="I1981" t="s">
        <v>57</v>
      </c>
    </row>
    <row r="1982" spans="1:9">
      <c r="A1982" s="4" t="s">
        <v>4018</v>
      </c>
      <c r="B1982" s="4" t="s">
        <v>4019</v>
      </c>
      <c r="C1982" s="4" t="s">
        <v>37</v>
      </c>
      <c r="D1982" s="2">
        <f>5523173376/(10^6)</f>
        <v>5523.173376</v>
      </c>
      <c r="E1982" s="5">
        <v>14.3752040863037</v>
      </c>
      <c r="F1982" s="5">
        <v>1.9052152633667</v>
      </c>
      <c r="G1982" s="5">
        <v>1.2261974811554</v>
      </c>
      <c r="H1982" s="5">
        <v>6.17602300643921</v>
      </c>
      <c r="I1982" t="s">
        <v>57</v>
      </c>
    </row>
    <row r="1983" spans="1:9">
      <c r="A1983" s="4" t="s">
        <v>4020</v>
      </c>
      <c r="B1983" s="4" t="s">
        <v>4021</v>
      </c>
      <c r="C1983" s="4" t="s">
        <v>51</v>
      </c>
      <c r="D1983" s="2">
        <f>5491104768/(10^6)</f>
        <v>5491.104768</v>
      </c>
      <c r="E1983" s="5">
        <v>17.9368076324463</v>
      </c>
      <c r="F1983" s="5">
        <v>3.2459762096405</v>
      </c>
      <c r="G1983" s="5">
        <v>1.5571825504303</v>
      </c>
      <c r="H1983" s="5">
        <v>10.8415365219116</v>
      </c>
      <c r="I1983" t="s">
        <v>57</v>
      </c>
    </row>
    <row r="1984" spans="1:9">
      <c r="A1984" s="4" t="s">
        <v>4022</v>
      </c>
      <c r="B1984" s="4" t="s">
        <v>4023</v>
      </c>
      <c r="C1984" s="4" t="s">
        <v>47</v>
      </c>
      <c r="D1984" s="2">
        <f>5477780480/(10^6)</f>
        <v>5477.78048</v>
      </c>
      <c r="E1984" s="5">
        <v>13.2133455276489</v>
      </c>
      <c r="F1984" s="5">
        <v>2.82641959190369</v>
      </c>
      <c r="G1984" s="5">
        <v>2.97017598152161</v>
      </c>
      <c r="H1984" s="5">
        <v>8.49965190887451</v>
      </c>
      <c r="I1984" t="s">
        <v>57</v>
      </c>
    </row>
    <row r="1985" spans="1:9">
      <c r="A1985" s="4" t="s">
        <v>4024</v>
      </c>
      <c r="B1985" s="4" t="s">
        <v>4025</v>
      </c>
      <c r="C1985" s="4" t="s">
        <v>31</v>
      </c>
      <c r="D1985" s="2">
        <f>5462566400/(10^6)</f>
        <v>5462.5664</v>
      </c>
      <c r="E1985" s="5">
        <v>17.5297183990479</v>
      </c>
      <c r="F1985" s="5">
        <v>0.963058352470398</v>
      </c>
      <c r="G1985" s="5">
        <v>1.13222622871399</v>
      </c>
      <c r="H1985" s="5">
        <v>6.33513641357422</v>
      </c>
      <c r="I1985" t="s">
        <v>57</v>
      </c>
    </row>
    <row r="1986" spans="1:9">
      <c r="A1986" s="4" t="s">
        <v>4026</v>
      </c>
      <c r="B1986" s="4" t="s">
        <v>4027</v>
      </c>
      <c r="C1986" s="4" t="s">
        <v>51</v>
      </c>
      <c r="D1986" s="2">
        <f>5446266880/(10^6)</f>
        <v>5446.26688</v>
      </c>
      <c r="E1986" s="5">
        <v>22.2003440856934</v>
      </c>
      <c r="F1986" s="5">
        <v>2.33207368850708</v>
      </c>
      <c r="G1986" s="5">
        <v>4.42861938476562</v>
      </c>
      <c r="H1986" s="5">
        <v>14.0793867111206</v>
      </c>
      <c r="I1986" t="s">
        <v>57</v>
      </c>
    </row>
    <row r="1987" spans="1:9">
      <c r="A1987" s="4" t="s">
        <v>4028</v>
      </c>
      <c r="B1987" s="4" t="s">
        <v>4029</v>
      </c>
      <c r="C1987" s="4" t="s">
        <v>41</v>
      </c>
      <c r="D1987" s="2">
        <f>5446066176/(10^6)</f>
        <v>5446.066176</v>
      </c>
      <c r="E1987" s="5">
        <v>156.176956176758</v>
      </c>
      <c r="F1987" s="5">
        <v>11.1921892166138</v>
      </c>
      <c r="G1987" s="5">
        <v>9.86480331420898</v>
      </c>
      <c r="H1987" s="5">
        <v>84.8691711425781</v>
      </c>
      <c r="I1987" t="s">
        <v>57</v>
      </c>
    </row>
    <row r="1988" spans="1:9">
      <c r="A1988" s="4" t="s">
        <v>4030</v>
      </c>
      <c r="B1988" s="4" t="s">
        <v>4031</v>
      </c>
      <c r="C1988" s="4" t="s">
        <v>39</v>
      </c>
      <c r="D1988" s="2">
        <f>5434769408/(10^6)</f>
        <v>5434.769408</v>
      </c>
      <c r="E1988" s="5">
        <v>9.74120044708252</v>
      </c>
      <c r="F1988" s="5">
        <v>1.36025655269623</v>
      </c>
      <c r="G1988" s="5">
        <v>0.679112136363983</v>
      </c>
      <c r="H1988" s="5">
        <v>9.15104007720947</v>
      </c>
      <c r="I1988" t="s">
        <v>57</v>
      </c>
    </row>
    <row r="1989" spans="1:9">
      <c r="A1989" s="4" t="s">
        <v>4032</v>
      </c>
      <c r="B1989" s="4" t="s">
        <v>4033</v>
      </c>
      <c r="C1989" s="4" t="s">
        <v>51</v>
      </c>
      <c r="D1989" s="2">
        <f>5413234176/(10^6)</f>
        <v>5413.234176</v>
      </c>
      <c r="E1989" s="5">
        <v>20.4085311889648</v>
      </c>
      <c r="F1989" s="5">
        <v>2.15794229507446</v>
      </c>
      <c r="G1989" s="5">
        <v>0.997071444988251</v>
      </c>
      <c r="H1989" s="5">
        <v>13.8125457763672</v>
      </c>
      <c r="I1989" t="s">
        <v>57</v>
      </c>
    </row>
    <row r="1990" spans="1:9">
      <c r="A1990" s="4" t="s">
        <v>4034</v>
      </c>
      <c r="B1990" s="4" t="s">
        <v>4035</v>
      </c>
      <c r="C1990" s="4" t="s">
        <v>47</v>
      </c>
      <c r="D1990" s="2">
        <f>5384442880/(10^6)</f>
        <v>5384.44288</v>
      </c>
      <c r="E1990" s="5">
        <v>5.8432559967041</v>
      </c>
      <c r="F1990" s="5">
        <v>1.23713719844818</v>
      </c>
      <c r="G1990" s="5">
        <v>0.27764755487442</v>
      </c>
      <c r="H1990" s="5">
        <v>4.08545541763306</v>
      </c>
      <c r="I1990" t="s">
        <v>57</v>
      </c>
    </row>
    <row r="1991" spans="1:9">
      <c r="A1991" s="4" t="s">
        <v>4036</v>
      </c>
      <c r="B1991" s="4" t="s">
        <v>4037</v>
      </c>
      <c r="C1991" s="4" t="s">
        <v>43</v>
      </c>
      <c r="D1991" s="2">
        <f>5364903424/(10^6)</f>
        <v>5364.903424</v>
      </c>
      <c r="E1991" s="5">
        <v>4.13557243347168</v>
      </c>
      <c r="F1991" s="5">
        <v>0.287114173173904</v>
      </c>
      <c r="G1991" s="5">
        <v>0.319033473730087</v>
      </c>
      <c r="H1991" s="5" t="s">
        <v>86</v>
      </c>
      <c r="I1991" t="s">
        <v>57</v>
      </c>
    </row>
    <row r="1992" spans="1:9">
      <c r="A1992" s="4" t="s">
        <v>4038</v>
      </c>
      <c r="B1992" s="4" t="s">
        <v>4039</v>
      </c>
      <c r="C1992" s="4" t="s">
        <v>41</v>
      </c>
      <c r="D1992" s="2">
        <f>5364444160/(10^6)</f>
        <v>5364.44416</v>
      </c>
      <c r="E1992" s="5">
        <v>39.0603828430176</v>
      </c>
      <c r="F1992" s="5">
        <v>8.36829566955566</v>
      </c>
      <c r="G1992" s="5">
        <v>2.72858572006226</v>
      </c>
      <c r="H1992" s="5">
        <v>24.4231796264648</v>
      </c>
      <c r="I1992" t="s">
        <v>57</v>
      </c>
    </row>
    <row r="1993" spans="1:9">
      <c r="A1993" s="4" t="s">
        <v>4040</v>
      </c>
      <c r="B1993" s="4" t="s">
        <v>4041</v>
      </c>
      <c r="C1993" s="4" t="s">
        <v>33</v>
      </c>
      <c r="D1993" s="2">
        <f>5351326720/(10^6)</f>
        <v>5351.32672</v>
      </c>
      <c r="E1993" s="5">
        <v>35.8287773132324</v>
      </c>
      <c r="F1993" s="5">
        <v>4.55279397964478</v>
      </c>
      <c r="G1993" s="5">
        <v>2.94239783287048</v>
      </c>
      <c r="H1993" s="5">
        <v>18.6598300933838</v>
      </c>
      <c r="I1993" t="s">
        <v>57</v>
      </c>
    </row>
    <row r="1994" spans="1:9">
      <c r="A1994" s="4" t="s">
        <v>4042</v>
      </c>
      <c r="B1994" s="4" t="s">
        <v>4043</v>
      </c>
      <c r="C1994" s="4" t="s">
        <v>47</v>
      </c>
      <c r="D1994" s="2">
        <f>5335464960/(10^6)</f>
        <v>5335.46496</v>
      </c>
      <c r="E1994" s="5">
        <v>12.9938106536865</v>
      </c>
      <c r="F1994" s="5">
        <v>1.5323052406311</v>
      </c>
      <c r="G1994" s="5">
        <v>0.322611719369888</v>
      </c>
      <c r="H1994" s="5">
        <v>9.10790729522705</v>
      </c>
      <c r="I1994" t="s">
        <v>57</v>
      </c>
    </row>
    <row r="1995" spans="1:9">
      <c r="A1995" s="4" t="s">
        <v>4044</v>
      </c>
      <c r="B1995" s="4" t="s">
        <v>4045</v>
      </c>
      <c r="C1995" s="4" t="s">
        <v>35</v>
      </c>
      <c r="D1995" s="2">
        <f>5302973952/(10^6)</f>
        <v>5302.973952</v>
      </c>
      <c r="E1995" s="5">
        <v>15.769627571106</v>
      </c>
      <c r="F1995" s="5">
        <v>1.5980818271637</v>
      </c>
      <c r="G1995" s="5">
        <v>0.963250994682312</v>
      </c>
      <c r="H1995" s="5">
        <v>10.4223890304565</v>
      </c>
      <c r="I1995" t="s">
        <v>57</v>
      </c>
    </row>
    <row r="1996" spans="1:9">
      <c r="A1996" s="4" t="s">
        <v>4046</v>
      </c>
      <c r="B1996" s="4" t="s">
        <v>4047</v>
      </c>
      <c r="C1996" s="4" t="s">
        <v>51</v>
      </c>
      <c r="D1996" s="2">
        <f>5298636288/(10^6)</f>
        <v>5298.636288</v>
      </c>
      <c r="E1996" s="5">
        <v>11.047290802002</v>
      </c>
      <c r="F1996" s="5">
        <v>1.60578489303589</v>
      </c>
      <c r="G1996" s="5">
        <v>0.959917008876801</v>
      </c>
      <c r="H1996" s="5">
        <v>7.67517280578613</v>
      </c>
      <c r="I1996" t="s">
        <v>57</v>
      </c>
    </row>
    <row r="1997" spans="1:9">
      <c r="A1997" s="4" t="s">
        <v>4048</v>
      </c>
      <c r="B1997" s="4" t="s">
        <v>4049</v>
      </c>
      <c r="C1997" s="4" t="s">
        <v>47</v>
      </c>
      <c r="D1997" s="2">
        <f>5281227776/(10^6)</f>
        <v>5281.227776</v>
      </c>
      <c r="E1997" s="5">
        <v>4.56421232223511</v>
      </c>
      <c r="F1997" s="5">
        <v>1.6614648103714</v>
      </c>
      <c r="G1997" s="5">
        <v>0.262712270021439</v>
      </c>
      <c r="H1997" s="5">
        <v>4.29562711715698</v>
      </c>
      <c r="I1997" t="s">
        <v>57</v>
      </c>
    </row>
    <row r="1998" spans="1:9">
      <c r="A1998" s="4" t="s">
        <v>4050</v>
      </c>
      <c r="B1998" s="4" t="s">
        <v>4051</v>
      </c>
      <c r="C1998" s="4" t="s">
        <v>41</v>
      </c>
      <c r="D1998" s="2">
        <f>5261925376/(10^6)</f>
        <v>5261.925376</v>
      </c>
      <c r="E1998" s="5">
        <v>16.8921566009521</v>
      </c>
      <c r="F1998" s="5">
        <v>3.1152617931366</v>
      </c>
      <c r="G1998" s="5">
        <v>5.38834047317505</v>
      </c>
      <c r="H1998" s="5">
        <v>11.730357170105</v>
      </c>
      <c r="I1998" t="s">
        <v>57</v>
      </c>
    </row>
    <row r="1999" spans="1:9">
      <c r="A1999" s="4" t="s">
        <v>4052</v>
      </c>
      <c r="B1999" s="4" t="s">
        <v>4053</v>
      </c>
      <c r="C1999" s="4" t="s">
        <v>43</v>
      </c>
      <c r="D1999" s="2">
        <f>5251088384/(10^6)</f>
        <v>5251.088384</v>
      </c>
      <c r="E1999" s="5">
        <v>9.4464111328125</v>
      </c>
      <c r="F1999" s="5">
        <v>0.597823917865753</v>
      </c>
      <c r="G1999" s="5">
        <v>0.652043879032135</v>
      </c>
      <c r="H1999" s="5" t="s">
        <v>86</v>
      </c>
      <c r="I1999" t="s">
        <v>57</v>
      </c>
    </row>
    <row r="2000" spans="1:9">
      <c r="A2000" s="4" t="s">
        <v>4054</v>
      </c>
      <c r="B2000" s="4" t="s">
        <v>4055</v>
      </c>
      <c r="C2000" s="4" t="s">
        <v>41</v>
      </c>
      <c r="D2000" s="2">
        <f>5234991104/(10^6)</f>
        <v>5234.991104</v>
      </c>
      <c r="E2000" s="5">
        <v>63.545337677002</v>
      </c>
      <c r="F2000" s="5">
        <v>2.36844992637634</v>
      </c>
      <c r="G2000" s="5">
        <v>3.88209319114685</v>
      </c>
      <c r="H2000" s="5">
        <v>15.2242259979248</v>
      </c>
      <c r="I2000" t="s">
        <v>57</v>
      </c>
    </row>
    <row r="2001" spans="1:9">
      <c r="A2001" s="4" t="s">
        <v>4056</v>
      </c>
      <c r="B2001" s="4" t="s">
        <v>4057</v>
      </c>
      <c r="C2001" s="4" t="s">
        <v>51</v>
      </c>
      <c r="D2001" s="2">
        <f>5229000192/(10^6)</f>
        <v>5229.000192</v>
      </c>
      <c r="E2001" s="5">
        <v>41.6846542358398</v>
      </c>
      <c r="F2001" s="5">
        <v>3.11022138595581</v>
      </c>
      <c r="G2001" s="5">
        <v>3.0726842880249</v>
      </c>
      <c r="H2001" s="5">
        <v>19.9434642791748</v>
      </c>
      <c r="I2001" t="s">
        <v>57</v>
      </c>
    </row>
    <row r="2002" spans="1:9">
      <c r="A2002" s="4" t="s">
        <v>4058</v>
      </c>
      <c r="B2002" s="4" t="s">
        <v>4059</v>
      </c>
      <c r="C2002" s="4" t="s">
        <v>43</v>
      </c>
      <c r="D2002" s="2">
        <f>5178506752/(10^6)</f>
        <v>5178.506752</v>
      </c>
      <c r="E2002" s="5">
        <v>8.17744731903076</v>
      </c>
      <c r="F2002" s="5">
        <v>2.22309160232544</v>
      </c>
      <c r="G2002" s="5">
        <v>3.62104272842407</v>
      </c>
      <c r="H2002" s="5">
        <v>8.87231922149658</v>
      </c>
      <c r="I2002" t="s">
        <v>57</v>
      </c>
    </row>
    <row r="2003" spans="1:9">
      <c r="A2003" s="4" t="s">
        <v>4060</v>
      </c>
      <c r="B2003" s="4" t="s">
        <v>4061</v>
      </c>
      <c r="C2003" s="4" t="s">
        <v>45</v>
      </c>
      <c r="D2003" s="2">
        <f>5142607360/(10^6)</f>
        <v>5142.60736</v>
      </c>
      <c r="E2003" s="5">
        <v>7.67223930358887</v>
      </c>
      <c r="F2003" s="5">
        <v>1.00448346138001</v>
      </c>
      <c r="G2003" s="5">
        <v>0.270320385694504</v>
      </c>
      <c r="H2003" s="5">
        <v>6.95902538299561</v>
      </c>
      <c r="I2003" t="s">
        <v>57</v>
      </c>
    </row>
    <row r="2004" spans="1:9">
      <c r="A2004" s="4" t="s">
        <v>4062</v>
      </c>
      <c r="B2004" s="4" t="s">
        <v>4063</v>
      </c>
      <c r="C2004" s="4" t="s">
        <v>51</v>
      </c>
      <c r="D2004" s="2">
        <f>5141446144/(10^6)</f>
        <v>5141.446144</v>
      </c>
      <c r="E2004" s="5" t="s">
        <v>86</v>
      </c>
      <c r="F2004" s="5">
        <v>10.0016460418701</v>
      </c>
      <c r="G2004" s="5">
        <v>18.1951427459717</v>
      </c>
      <c r="H2004" s="5" t="s">
        <v>86</v>
      </c>
      <c r="I2004" t="s">
        <v>57</v>
      </c>
    </row>
    <row r="2005" spans="1:9">
      <c r="A2005" s="4" t="s">
        <v>4064</v>
      </c>
      <c r="B2005" s="4" t="s">
        <v>4065</v>
      </c>
      <c r="C2005" s="4" t="s">
        <v>35</v>
      </c>
      <c r="D2005" s="2">
        <f>5133709824/(10^6)</f>
        <v>5133.709824</v>
      </c>
      <c r="E2005" s="5">
        <v>7.89823532104492</v>
      </c>
      <c r="F2005" s="5">
        <v>0.982612729072571</v>
      </c>
      <c r="G2005" s="5">
        <v>0.124463297426701</v>
      </c>
      <c r="H2005" s="5" t="s">
        <v>86</v>
      </c>
      <c r="I2005" t="s">
        <v>57</v>
      </c>
    </row>
    <row r="2006" spans="1:9">
      <c r="A2006" s="4" t="s">
        <v>4066</v>
      </c>
      <c r="B2006" s="4" t="s">
        <v>4067</v>
      </c>
      <c r="C2006" s="4" t="s">
        <v>51</v>
      </c>
      <c r="D2006" s="2">
        <f>5101864448/(10^6)</f>
        <v>5101.864448</v>
      </c>
      <c r="E2006" s="5">
        <v>76.307991027832</v>
      </c>
      <c r="F2006" s="5">
        <v>4.35220575332642</v>
      </c>
      <c r="G2006" s="5">
        <v>5.01781034469604</v>
      </c>
      <c r="H2006" s="5">
        <v>27.9384860992432</v>
      </c>
      <c r="I2006" t="s">
        <v>57</v>
      </c>
    </row>
    <row r="2007" spans="1:9">
      <c r="A2007" s="4" t="s">
        <v>4068</v>
      </c>
      <c r="B2007" s="4" t="s">
        <v>4069</v>
      </c>
      <c r="C2007" s="4" t="s">
        <v>47</v>
      </c>
      <c r="D2007" s="2">
        <f>5092874240/(10^6)</f>
        <v>5092.87424</v>
      </c>
      <c r="E2007" s="5">
        <v>11.4302406311035</v>
      </c>
      <c r="F2007" s="5">
        <v>3.21343231201172</v>
      </c>
      <c r="G2007" s="5">
        <v>0.861490607261658</v>
      </c>
      <c r="H2007" s="5">
        <v>7.38511800765991</v>
      </c>
      <c r="I2007" t="s">
        <v>57</v>
      </c>
    </row>
    <row r="2008" spans="1:9">
      <c r="A2008" s="4" t="s">
        <v>4070</v>
      </c>
      <c r="B2008" s="4" t="s">
        <v>4071</v>
      </c>
      <c r="C2008" s="4" t="s">
        <v>39</v>
      </c>
      <c r="D2008" s="2">
        <f>5080839168/(10^6)</f>
        <v>5080.839168</v>
      </c>
      <c r="E2008" s="5">
        <v>2.12722969055176</v>
      </c>
      <c r="F2008" s="5">
        <v>0.989227533340454</v>
      </c>
      <c r="G2008" s="5">
        <v>0.295929253101349</v>
      </c>
      <c r="H2008" s="5" t="s">
        <v>86</v>
      </c>
      <c r="I2008" t="s">
        <v>57</v>
      </c>
    </row>
    <row r="2009" spans="1:9">
      <c r="A2009" s="4" t="s">
        <v>4072</v>
      </c>
      <c r="B2009" s="4" t="s">
        <v>4073</v>
      </c>
      <c r="C2009" s="4" t="s">
        <v>41</v>
      </c>
      <c r="D2009" s="2">
        <f>5077587968/(10^6)</f>
        <v>5077.587968</v>
      </c>
      <c r="E2009" s="5">
        <v>40.1935958862305</v>
      </c>
      <c r="F2009" s="5">
        <v>8.85330581665039</v>
      </c>
      <c r="G2009" s="5">
        <v>5.1375675201416</v>
      </c>
      <c r="H2009" s="5">
        <v>24.3691539764404</v>
      </c>
      <c r="I2009" t="s">
        <v>57</v>
      </c>
    </row>
    <row r="2010" spans="1:9">
      <c r="A2010" s="4" t="s">
        <v>4074</v>
      </c>
      <c r="B2010" s="4" t="s">
        <v>4075</v>
      </c>
      <c r="C2010" s="4" t="s">
        <v>43</v>
      </c>
      <c r="D2010" s="2">
        <f>5044088320/(10^6)</f>
        <v>5044.08832</v>
      </c>
      <c r="E2010" s="5">
        <v>5.2175440788269</v>
      </c>
      <c r="F2010" s="5">
        <v>0.689191401004791</v>
      </c>
      <c r="G2010" s="5">
        <v>0.652684926986694</v>
      </c>
      <c r="H2010" s="5">
        <v>6.75288438796997</v>
      </c>
      <c r="I2010" t="s">
        <v>57</v>
      </c>
    </row>
    <row r="2011" spans="1:9">
      <c r="A2011" s="4" t="s">
        <v>4076</v>
      </c>
      <c r="B2011" s="4" t="s">
        <v>4077</v>
      </c>
      <c r="C2011" s="4" t="s">
        <v>43</v>
      </c>
      <c r="D2011" s="2">
        <f>5022699008/(10^6)</f>
        <v>5022.699008</v>
      </c>
      <c r="E2011" s="5">
        <v>8.37327766418457</v>
      </c>
      <c r="F2011" s="5">
        <v>0.658554971218109</v>
      </c>
      <c r="G2011" s="5">
        <v>1.97322714328766</v>
      </c>
      <c r="H2011" s="5" t="s">
        <v>86</v>
      </c>
      <c r="I2011" t="s">
        <v>57</v>
      </c>
    </row>
    <row r="2012" spans="1:9">
      <c r="A2012" s="4" t="s">
        <v>4078</v>
      </c>
      <c r="B2012" s="4" t="s">
        <v>4079</v>
      </c>
      <c r="C2012" s="4" t="s">
        <v>43</v>
      </c>
      <c r="D2012" s="2">
        <f>5017240064/(10^6)</f>
        <v>5017.240064</v>
      </c>
      <c r="E2012" s="5">
        <v>35.8244400024414</v>
      </c>
      <c r="F2012" s="5">
        <v>4.62964773178101</v>
      </c>
      <c r="G2012" s="5">
        <v>4.24354887008667</v>
      </c>
      <c r="H2012" s="5">
        <v>15.6428489685059</v>
      </c>
      <c r="I2012" t="s">
        <v>57</v>
      </c>
    </row>
    <row r="2013" spans="1:9">
      <c r="A2013" s="4" t="s">
        <v>4080</v>
      </c>
      <c r="B2013" s="4" t="s">
        <v>4081</v>
      </c>
      <c r="C2013" s="4" t="s">
        <v>47</v>
      </c>
      <c r="D2013" s="2">
        <f>5013792768/(10^6)</f>
        <v>5013.792768</v>
      </c>
      <c r="E2013" s="5">
        <v>8.48514175415039</v>
      </c>
      <c r="F2013" s="5">
        <v>1.60784947872162</v>
      </c>
      <c r="G2013" s="5">
        <v>0.819037020206451</v>
      </c>
      <c r="H2013" s="5">
        <v>5.20663547515869</v>
      </c>
      <c r="I2013" t="s">
        <v>57</v>
      </c>
    </row>
    <row r="2014" spans="1:9">
      <c r="A2014" s="4" t="s">
        <v>4082</v>
      </c>
      <c r="B2014" s="4" t="s">
        <v>4083</v>
      </c>
      <c r="C2014" s="4" t="s">
        <v>41</v>
      </c>
      <c r="D2014" s="2">
        <f>5012367872/(10^6)</f>
        <v>5012.367872</v>
      </c>
      <c r="E2014" s="5" t="s">
        <v>86</v>
      </c>
      <c r="F2014" s="5">
        <v>19.3850059509277</v>
      </c>
      <c r="G2014" s="5">
        <v>170.611465454102</v>
      </c>
      <c r="H2014" s="5" t="s">
        <v>86</v>
      </c>
      <c r="I2014" t="s">
        <v>57</v>
      </c>
    </row>
    <row r="2015" spans="1:9">
      <c r="A2015" s="4" t="s">
        <v>4084</v>
      </c>
      <c r="B2015" s="4" t="s">
        <v>4085</v>
      </c>
      <c r="C2015" s="4" t="s">
        <v>33</v>
      </c>
      <c r="D2015" s="2">
        <f>4995951104/(10^6)</f>
        <v>4995.951104</v>
      </c>
      <c r="E2015" s="5">
        <v>16.5376415252686</v>
      </c>
      <c r="F2015" s="5">
        <v>0.560126841068268</v>
      </c>
      <c r="G2015" s="5">
        <v>0.513243854045868</v>
      </c>
      <c r="H2015" s="5">
        <v>10.5832653045654</v>
      </c>
      <c r="I2015" t="s">
        <v>57</v>
      </c>
    </row>
    <row r="2016" spans="1:9">
      <c r="A2016" s="4" t="s">
        <v>4086</v>
      </c>
      <c r="B2016" s="4" t="s">
        <v>4087</v>
      </c>
      <c r="C2016" s="4" t="s">
        <v>33</v>
      </c>
      <c r="D2016" s="2">
        <f>4995951104/(10^6)</f>
        <v>4995.951104</v>
      </c>
      <c r="E2016" s="5">
        <v>16.5376415252686</v>
      </c>
      <c r="F2016" s="5">
        <v>0.560126841068268</v>
      </c>
      <c r="G2016" s="5">
        <v>0.513243854045868</v>
      </c>
      <c r="H2016" s="5">
        <v>10.5832653045654</v>
      </c>
      <c r="I2016" t="s">
        <v>57</v>
      </c>
    </row>
    <row r="2017" spans="1:9">
      <c r="A2017" s="4" t="s">
        <v>4088</v>
      </c>
      <c r="B2017" s="4" t="s">
        <v>4089</v>
      </c>
      <c r="C2017" s="4" t="s">
        <v>41</v>
      </c>
      <c r="D2017" s="2">
        <f>4990322688/(10^6)</f>
        <v>4990.322688</v>
      </c>
      <c r="E2017" s="5">
        <v>22.2956924438477</v>
      </c>
      <c r="F2017" s="5">
        <v>4.57317686080933</v>
      </c>
      <c r="G2017" s="5">
        <v>1.65059447288513</v>
      </c>
      <c r="H2017" s="5">
        <v>11.9527387619019</v>
      </c>
      <c r="I2017" t="s">
        <v>57</v>
      </c>
    </row>
    <row r="2018" spans="1:9">
      <c r="A2018" s="4" t="s">
        <v>4090</v>
      </c>
      <c r="B2018" s="4" t="s">
        <v>4091</v>
      </c>
      <c r="C2018" s="4" t="s">
        <v>37</v>
      </c>
      <c r="D2018" s="2">
        <f>4989342208/(10^6)</f>
        <v>4989.342208</v>
      </c>
      <c r="E2018" s="5">
        <v>9.96345615386963</v>
      </c>
      <c r="F2018" s="5">
        <v>0.851370692253113</v>
      </c>
      <c r="G2018" s="5">
        <v>0.614862263202667</v>
      </c>
      <c r="H2018" s="5">
        <v>5.81373119354248</v>
      </c>
      <c r="I2018" t="s">
        <v>57</v>
      </c>
    </row>
    <row r="2019" spans="1:9">
      <c r="A2019" s="4" t="s">
        <v>4092</v>
      </c>
      <c r="B2019" s="4" t="s">
        <v>4093</v>
      </c>
      <c r="C2019" s="4" t="s">
        <v>47</v>
      </c>
      <c r="D2019" s="2">
        <f>4978105856/(10^6)</f>
        <v>4978.105856</v>
      </c>
      <c r="E2019" s="5">
        <v>26.1239147186279</v>
      </c>
      <c r="F2019" s="5">
        <v>1.25978553295135</v>
      </c>
      <c r="G2019" s="5">
        <v>1.02366054058075</v>
      </c>
      <c r="H2019" s="5">
        <v>8.31521320343018</v>
      </c>
      <c r="I2019" t="s">
        <v>57</v>
      </c>
    </row>
    <row r="2020" spans="1:9">
      <c r="A2020" s="4" t="s">
        <v>4094</v>
      </c>
      <c r="B2020" s="4" t="s">
        <v>4095</v>
      </c>
      <c r="C2020" s="4" t="s">
        <v>43</v>
      </c>
      <c r="D2020" s="2">
        <f>4934745088/(10^6)</f>
        <v>4934.745088</v>
      </c>
      <c r="E2020" s="5">
        <v>5.99363899230957</v>
      </c>
      <c r="F2020" s="5">
        <v>0.425862729549408</v>
      </c>
      <c r="G2020" s="5">
        <v>0.347274214029312</v>
      </c>
      <c r="H2020" s="5" t="s">
        <v>86</v>
      </c>
      <c r="I2020" t="s">
        <v>57</v>
      </c>
    </row>
    <row r="2021" spans="1:9">
      <c r="A2021" s="4" t="s">
        <v>4096</v>
      </c>
      <c r="B2021" s="4" t="s">
        <v>4097</v>
      </c>
      <c r="C2021" s="4" t="s">
        <v>51</v>
      </c>
      <c r="D2021" s="2">
        <f>4934178304/(10^6)</f>
        <v>4934.178304</v>
      </c>
      <c r="E2021" s="5">
        <v>82.0707092285156</v>
      </c>
      <c r="F2021" s="5">
        <v>14.7332735061646</v>
      </c>
      <c r="G2021" s="5">
        <v>9.43302917480469</v>
      </c>
      <c r="H2021" s="5">
        <v>49.6257705688477</v>
      </c>
      <c r="I2021" t="s">
        <v>57</v>
      </c>
    </row>
    <row r="2022" spans="1:9">
      <c r="A2022" s="4" t="s">
        <v>4098</v>
      </c>
      <c r="B2022" s="4" t="s">
        <v>4099</v>
      </c>
      <c r="C2022" s="4" t="s">
        <v>35</v>
      </c>
      <c r="D2022" s="2">
        <f>4930529792/(10^6)</f>
        <v>4930.529792</v>
      </c>
      <c r="E2022" s="5">
        <v>11.0342617034912</v>
      </c>
      <c r="F2022" s="5">
        <v>1.81096422672272</v>
      </c>
      <c r="G2022" s="5">
        <v>0.841642439365387</v>
      </c>
      <c r="H2022" s="5">
        <v>7.12729454040527</v>
      </c>
      <c r="I2022" t="s">
        <v>57</v>
      </c>
    </row>
    <row r="2023" spans="1:9">
      <c r="A2023" s="4" t="s">
        <v>4100</v>
      </c>
      <c r="B2023" s="4" t="s">
        <v>4101</v>
      </c>
      <c r="C2023" s="4" t="s">
        <v>43</v>
      </c>
      <c r="D2023" s="2">
        <f>4930001920/(10^6)</f>
        <v>4930.00192</v>
      </c>
      <c r="E2023" s="5">
        <v>7.59875106811523</v>
      </c>
      <c r="F2023" s="5">
        <v>1.11496806144714</v>
      </c>
      <c r="G2023" s="5">
        <v>0.798933982849121</v>
      </c>
      <c r="H2023" s="5" t="s">
        <v>86</v>
      </c>
      <c r="I2023" t="s">
        <v>57</v>
      </c>
    </row>
    <row r="2024" spans="1:9">
      <c r="A2024" s="4" t="s">
        <v>4102</v>
      </c>
      <c r="B2024" s="4" t="s">
        <v>4103</v>
      </c>
      <c r="C2024" s="4" t="s">
        <v>27</v>
      </c>
      <c r="D2024" s="2">
        <f>4914059776/(10^6)</f>
        <v>4914.059776</v>
      </c>
      <c r="E2024" s="5">
        <v>12.3759479522705</v>
      </c>
      <c r="F2024" s="5">
        <v>1.73822712898254</v>
      </c>
      <c r="G2024" s="5">
        <v>3.5116617679596</v>
      </c>
      <c r="H2024" s="5">
        <v>17.9199256896973</v>
      </c>
      <c r="I2024" t="s">
        <v>57</v>
      </c>
    </row>
    <row r="2025" spans="1:9">
      <c r="A2025" s="4" t="s">
        <v>4104</v>
      </c>
      <c r="B2025" s="4" t="s">
        <v>4105</v>
      </c>
      <c r="C2025" s="4" t="s">
        <v>47</v>
      </c>
      <c r="D2025" s="2">
        <f>4898886656/(10^6)</f>
        <v>4898.886656</v>
      </c>
      <c r="E2025" s="5">
        <v>5.72893285751343</v>
      </c>
      <c r="F2025" s="5">
        <v>1.03949403762817</v>
      </c>
      <c r="G2025" s="5">
        <v>0.480395674705505</v>
      </c>
      <c r="H2025" s="5">
        <v>3.53787469863892</v>
      </c>
      <c r="I2025" t="s">
        <v>57</v>
      </c>
    </row>
    <row r="2026" spans="1:9">
      <c r="A2026" s="4" t="s">
        <v>4106</v>
      </c>
      <c r="B2026" s="4" t="s">
        <v>4107</v>
      </c>
      <c r="C2026" s="4" t="s">
        <v>31</v>
      </c>
      <c r="D2026" s="2">
        <f>4887560704/(10^6)</f>
        <v>4887.560704</v>
      </c>
      <c r="E2026" s="5">
        <v>15.9910306930542</v>
      </c>
      <c r="F2026" s="5">
        <v>1.80186533927918</v>
      </c>
      <c r="G2026" s="5">
        <v>0.302956402301788</v>
      </c>
      <c r="H2026" s="5">
        <v>5.41425561904907</v>
      </c>
      <c r="I2026" t="s">
        <v>57</v>
      </c>
    </row>
    <row r="2027" spans="1:9">
      <c r="A2027" s="4" t="s">
        <v>4108</v>
      </c>
      <c r="B2027" s="4" t="s">
        <v>4109</v>
      </c>
      <c r="C2027" s="4" t="s">
        <v>51</v>
      </c>
      <c r="D2027" s="2">
        <f>4868701184/(10^6)</f>
        <v>4868.701184</v>
      </c>
      <c r="E2027" s="5">
        <v>15.468523979187</v>
      </c>
      <c r="F2027" s="5">
        <v>3.12325239181519</v>
      </c>
      <c r="G2027" s="5">
        <v>1.78293943405151</v>
      </c>
      <c r="H2027" s="5">
        <v>6.82645177841187</v>
      </c>
      <c r="I2027" t="s">
        <v>57</v>
      </c>
    </row>
    <row r="2028" spans="1:9">
      <c r="A2028" s="4" t="s">
        <v>4110</v>
      </c>
      <c r="B2028" s="4" t="s">
        <v>4111</v>
      </c>
      <c r="C2028" s="4" t="s">
        <v>43</v>
      </c>
      <c r="D2028" s="2">
        <f>4866851328/(10^6)</f>
        <v>4866.851328</v>
      </c>
      <c r="E2028" s="5">
        <v>6.35195684432983</v>
      </c>
      <c r="F2028" s="5">
        <v>0.651666045188904</v>
      </c>
      <c r="G2028" s="5">
        <v>3.09420347213745</v>
      </c>
      <c r="H2028" s="5" t="s">
        <v>86</v>
      </c>
      <c r="I2028" t="s">
        <v>57</v>
      </c>
    </row>
    <row r="2029" spans="1:9">
      <c r="A2029" s="4" t="s">
        <v>4112</v>
      </c>
      <c r="B2029" s="4" t="s">
        <v>4113</v>
      </c>
      <c r="C2029" s="4" t="s">
        <v>35</v>
      </c>
      <c r="D2029" s="2">
        <f>4865582080/(10^6)</f>
        <v>4865.58208</v>
      </c>
      <c r="E2029" s="5">
        <v>21.4682140350342</v>
      </c>
      <c r="F2029" s="5">
        <v>3.06283068656921</v>
      </c>
      <c r="G2029" s="5">
        <v>0.510973989963531</v>
      </c>
      <c r="H2029" s="5">
        <v>10.4344501495361</v>
      </c>
      <c r="I2029" t="s">
        <v>57</v>
      </c>
    </row>
    <row r="2030" spans="1:9">
      <c r="A2030" s="4" t="s">
        <v>4114</v>
      </c>
      <c r="B2030" s="4" t="s">
        <v>4115</v>
      </c>
      <c r="C2030" s="4" t="s">
        <v>31</v>
      </c>
      <c r="D2030" s="2">
        <f>4822992384/(10^6)</f>
        <v>4822.992384</v>
      </c>
      <c r="E2030" s="5">
        <v>33.4042053222656</v>
      </c>
      <c r="F2030" s="5">
        <v>10.7437553405762</v>
      </c>
      <c r="G2030" s="5">
        <v>6.49626302719116</v>
      </c>
      <c r="H2030" s="5">
        <v>21.7372360229492</v>
      </c>
      <c r="I2030" t="s">
        <v>57</v>
      </c>
    </row>
    <row r="2031" spans="1:9">
      <c r="A2031" s="4" t="s">
        <v>4116</v>
      </c>
      <c r="B2031" s="4" t="s">
        <v>4117</v>
      </c>
      <c r="C2031" s="4" t="s">
        <v>41</v>
      </c>
      <c r="D2031" s="2">
        <f>4820333568/(10^6)</f>
        <v>4820.333568</v>
      </c>
      <c r="E2031" s="5">
        <v>129.780532836914</v>
      </c>
      <c r="F2031" s="5">
        <v>4.5480170249939</v>
      </c>
      <c r="G2031" s="5">
        <v>16.5158596038818</v>
      </c>
      <c r="H2031" s="5">
        <v>67.8179016113281</v>
      </c>
      <c r="I2031" t="s">
        <v>57</v>
      </c>
    </row>
    <row r="2032" spans="1:9">
      <c r="A2032" s="4" t="s">
        <v>4118</v>
      </c>
      <c r="B2032" s="4" t="s">
        <v>4119</v>
      </c>
      <c r="C2032" s="4" t="s">
        <v>35</v>
      </c>
      <c r="D2032" s="2">
        <f>4799075840/(10^6)</f>
        <v>4799.07584</v>
      </c>
      <c r="E2032" s="5">
        <v>16.0606784820557</v>
      </c>
      <c r="F2032" s="5">
        <v>1.07316279411316</v>
      </c>
      <c r="G2032" s="5">
        <v>0.566785931587219</v>
      </c>
      <c r="H2032" s="5" t="s">
        <v>86</v>
      </c>
      <c r="I2032" t="s">
        <v>57</v>
      </c>
    </row>
    <row r="2033" spans="1:9">
      <c r="A2033" s="4" t="s">
        <v>4120</v>
      </c>
      <c r="B2033" s="4" t="s">
        <v>4121</v>
      </c>
      <c r="C2033" s="4" t="s">
        <v>43</v>
      </c>
      <c r="D2033" s="2">
        <f>4775184896/(10^6)</f>
        <v>4775.184896</v>
      </c>
      <c r="E2033" s="5" t="s">
        <v>86</v>
      </c>
      <c r="F2033" s="5" t="s">
        <v>86</v>
      </c>
      <c r="G2033" s="5">
        <v>0.06352523714304</v>
      </c>
      <c r="H2033" s="5" t="s">
        <v>86</v>
      </c>
      <c r="I2033" t="s">
        <v>57</v>
      </c>
    </row>
    <row r="2034" spans="1:9">
      <c r="A2034" s="4" t="s">
        <v>4122</v>
      </c>
      <c r="B2034" s="4" t="s">
        <v>4123</v>
      </c>
      <c r="C2034" s="4" t="s">
        <v>51</v>
      </c>
      <c r="D2034" s="2">
        <f>4757632000/(10^6)</f>
        <v>4757.632</v>
      </c>
      <c r="E2034" s="5">
        <v>147.838531494141</v>
      </c>
      <c r="F2034" s="5">
        <v>1.77793407440186</v>
      </c>
      <c r="G2034" s="5">
        <v>5.02709293365479</v>
      </c>
      <c r="H2034" s="5">
        <v>15.8239650726318</v>
      </c>
      <c r="I2034" t="s">
        <v>57</v>
      </c>
    </row>
    <row r="2035" spans="1:9">
      <c r="A2035" s="4" t="s">
        <v>4124</v>
      </c>
      <c r="B2035" s="4" t="s">
        <v>4125</v>
      </c>
      <c r="C2035" s="4" t="s">
        <v>43</v>
      </c>
      <c r="D2035" s="2">
        <f>4751440384/(10^6)</f>
        <v>4751.440384</v>
      </c>
      <c r="E2035" s="5">
        <v>10.835916519165</v>
      </c>
      <c r="F2035" s="5">
        <v>1.19610238075256</v>
      </c>
      <c r="G2035" s="5">
        <v>0.931594967842102</v>
      </c>
      <c r="H2035" s="5" t="s">
        <v>86</v>
      </c>
      <c r="I2035" t="s">
        <v>57</v>
      </c>
    </row>
    <row r="2036" spans="1:9">
      <c r="A2036" s="4" t="s">
        <v>4126</v>
      </c>
      <c r="B2036" s="4" t="s">
        <v>4127</v>
      </c>
      <c r="C2036" s="4" t="s">
        <v>51</v>
      </c>
      <c r="D2036" s="2">
        <f>4714741248/(10^6)</f>
        <v>4714.741248</v>
      </c>
      <c r="E2036" s="5">
        <v>28.0908012390137</v>
      </c>
      <c r="F2036" s="5">
        <v>2.44555687904358</v>
      </c>
      <c r="G2036" s="5">
        <v>2.73384380340576</v>
      </c>
      <c r="H2036" s="5">
        <v>11.0030612945557</v>
      </c>
      <c r="I2036" t="s">
        <v>57</v>
      </c>
    </row>
    <row r="2037" spans="1:9">
      <c r="A2037" s="4" t="s">
        <v>4128</v>
      </c>
      <c r="B2037" s="4" t="s">
        <v>4129</v>
      </c>
      <c r="C2037" s="4" t="s">
        <v>47</v>
      </c>
      <c r="D2037" s="2">
        <f>4673540608/(10^6)</f>
        <v>4673.540608</v>
      </c>
      <c r="E2037" s="5" t="s">
        <v>86</v>
      </c>
      <c r="F2037" s="5">
        <v>2.03796315193176</v>
      </c>
      <c r="G2037" s="5">
        <v>0.528264999389648</v>
      </c>
      <c r="H2037" s="5">
        <v>12.9833869934082</v>
      </c>
      <c r="I2037" t="s">
        <v>57</v>
      </c>
    </row>
    <row r="2038" spans="1:9">
      <c r="A2038" s="4" t="s">
        <v>4130</v>
      </c>
      <c r="B2038" s="4" t="s">
        <v>4131</v>
      </c>
      <c r="C2038" s="4" t="s">
        <v>43</v>
      </c>
      <c r="D2038" s="2">
        <f>4668960768/(10^6)</f>
        <v>4668.960768</v>
      </c>
      <c r="E2038" s="5">
        <v>9.85782337188721</v>
      </c>
      <c r="F2038" s="5">
        <v>0.781981706619263</v>
      </c>
      <c r="G2038" s="5">
        <v>3.80684494972229</v>
      </c>
      <c r="H2038" s="5" t="s">
        <v>86</v>
      </c>
      <c r="I2038" t="s">
        <v>57</v>
      </c>
    </row>
    <row r="2039" spans="1:9">
      <c r="A2039" s="4" t="s">
        <v>4132</v>
      </c>
      <c r="B2039" s="4" t="s">
        <v>4133</v>
      </c>
      <c r="C2039" s="4" t="s">
        <v>41</v>
      </c>
      <c r="D2039" s="2">
        <f>4643011584/(10^6)</f>
        <v>4643.011584</v>
      </c>
      <c r="E2039" s="5" t="s">
        <v>86</v>
      </c>
      <c r="F2039" s="5">
        <v>10.2884397506714</v>
      </c>
      <c r="G2039" s="5">
        <v>62.1768417358398</v>
      </c>
      <c r="H2039" s="5" t="s">
        <v>86</v>
      </c>
      <c r="I2039" t="s">
        <v>57</v>
      </c>
    </row>
    <row r="2040" spans="1:9">
      <c r="A2040" s="4" t="s">
        <v>4134</v>
      </c>
      <c r="B2040" s="4" t="s">
        <v>4135</v>
      </c>
      <c r="C2040" s="4" t="s">
        <v>51</v>
      </c>
      <c r="D2040" s="2">
        <f>4637560320/(10^6)</f>
        <v>4637.56032</v>
      </c>
      <c r="E2040" s="5">
        <v>12.3786754608154</v>
      </c>
      <c r="F2040" s="5">
        <v>1.48362421989441</v>
      </c>
      <c r="G2040" s="5">
        <v>0.127630457282066</v>
      </c>
      <c r="H2040" s="5">
        <v>6.681809425354</v>
      </c>
      <c r="I2040" t="s">
        <v>57</v>
      </c>
    </row>
    <row r="2041" spans="1:9">
      <c r="A2041" s="4" t="s">
        <v>4136</v>
      </c>
      <c r="B2041" s="4" t="s">
        <v>4137</v>
      </c>
      <c r="C2041" s="4" t="s">
        <v>31</v>
      </c>
      <c r="D2041" s="2">
        <f>4632795648/(10^6)</f>
        <v>4632.795648</v>
      </c>
      <c r="E2041" s="5">
        <v>54.6680145263672</v>
      </c>
      <c r="F2041" s="5">
        <v>2.10931587219238</v>
      </c>
      <c r="G2041" s="5">
        <v>0.711686789989471</v>
      </c>
      <c r="H2041" s="5">
        <v>16.8081684112549</v>
      </c>
      <c r="I2041" t="s">
        <v>57</v>
      </c>
    </row>
    <row r="2042" spans="1:9">
      <c r="A2042" s="4" t="s">
        <v>4138</v>
      </c>
      <c r="B2042" s="4" t="s">
        <v>4139</v>
      </c>
      <c r="C2042" s="4" t="s">
        <v>31</v>
      </c>
      <c r="D2042" s="2">
        <f>4619552256/(10^6)</f>
        <v>4619.552256</v>
      </c>
      <c r="E2042" s="5">
        <v>16.5376720428467</v>
      </c>
      <c r="F2042" s="5">
        <v>4.94157075881958</v>
      </c>
      <c r="G2042" s="5">
        <v>1.67551863193512</v>
      </c>
      <c r="H2042" s="5">
        <v>10.9727916717529</v>
      </c>
      <c r="I2042" t="s">
        <v>57</v>
      </c>
    </row>
    <row r="2043" spans="1:9">
      <c r="A2043" s="4" t="s">
        <v>4140</v>
      </c>
      <c r="B2043" s="4" t="s">
        <v>4141</v>
      </c>
      <c r="C2043" s="4" t="s">
        <v>43</v>
      </c>
      <c r="D2043" s="2">
        <f>4613092352/(10^6)</f>
        <v>4613.092352</v>
      </c>
      <c r="E2043" s="5">
        <v>4.22125291824341</v>
      </c>
      <c r="F2043" s="5">
        <v>0.637461721897125</v>
      </c>
      <c r="G2043" s="5">
        <v>1.28981292247772</v>
      </c>
      <c r="H2043" s="5" t="s">
        <v>86</v>
      </c>
      <c r="I2043" t="s">
        <v>57</v>
      </c>
    </row>
    <row r="2044" spans="1:9">
      <c r="A2044" s="4" t="s">
        <v>4142</v>
      </c>
      <c r="B2044" s="4" t="s">
        <v>4143</v>
      </c>
      <c r="C2044" s="4" t="s">
        <v>43</v>
      </c>
      <c r="D2044" s="2">
        <f>4604756480/(10^6)</f>
        <v>4604.75648</v>
      </c>
      <c r="E2044" s="5">
        <v>7.83221197128296</v>
      </c>
      <c r="F2044" s="5">
        <v>0.956993639469147</v>
      </c>
      <c r="G2044" s="5">
        <v>2.36436486244202</v>
      </c>
      <c r="H2044" s="5" t="s">
        <v>86</v>
      </c>
      <c r="I2044" t="s">
        <v>57</v>
      </c>
    </row>
    <row r="2045" spans="1:9">
      <c r="A2045" s="4" t="s">
        <v>4144</v>
      </c>
      <c r="B2045" s="4" t="s">
        <v>4145</v>
      </c>
      <c r="C2045" s="4" t="s">
        <v>31</v>
      </c>
      <c r="D2045" s="2">
        <f>4592799744/(10^6)</f>
        <v>4592.799744</v>
      </c>
      <c r="E2045" s="5">
        <v>10.9660654067993</v>
      </c>
      <c r="F2045" s="5">
        <v>1.83544182777405</v>
      </c>
      <c r="G2045" s="5">
        <v>1.35733079910278</v>
      </c>
      <c r="H2045" s="5">
        <v>8.53914356231689</v>
      </c>
      <c r="I2045" t="s">
        <v>57</v>
      </c>
    </row>
    <row r="2046" spans="1:9">
      <c r="A2046" s="4" t="s">
        <v>4146</v>
      </c>
      <c r="B2046" s="4" t="s">
        <v>4147</v>
      </c>
      <c r="C2046" s="4" t="s">
        <v>47</v>
      </c>
      <c r="D2046" s="2">
        <f>4565912576/(10^6)</f>
        <v>4565.912576</v>
      </c>
      <c r="E2046" s="5">
        <v>14.1277933120728</v>
      </c>
      <c r="F2046" s="5">
        <v>2.47456789016724</v>
      </c>
      <c r="G2046" s="5">
        <v>1.50920641422272</v>
      </c>
      <c r="H2046" s="5">
        <v>7.24630498886108</v>
      </c>
      <c r="I2046" t="s">
        <v>57</v>
      </c>
    </row>
    <row r="2047" spans="1:9">
      <c r="A2047" s="4" t="s">
        <v>4148</v>
      </c>
      <c r="B2047" s="4" t="s">
        <v>4149</v>
      </c>
      <c r="C2047" s="4" t="s">
        <v>43</v>
      </c>
      <c r="D2047" s="2">
        <f>4562966016/(10^6)</f>
        <v>4562.966016</v>
      </c>
      <c r="E2047" s="5">
        <v>7.43371534347534</v>
      </c>
      <c r="F2047" s="5">
        <v>0.760118246078491</v>
      </c>
      <c r="G2047" s="5">
        <v>0.623708188533783</v>
      </c>
      <c r="H2047" s="5" t="s">
        <v>86</v>
      </c>
      <c r="I2047" t="s">
        <v>57</v>
      </c>
    </row>
    <row r="2048" spans="1:9">
      <c r="A2048" s="4" t="s">
        <v>4150</v>
      </c>
      <c r="B2048" s="4" t="s">
        <v>4151</v>
      </c>
      <c r="C2048" s="4" t="s">
        <v>47</v>
      </c>
      <c r="D2048" s="2">
        <f>4561090048/(10^6)</f>
        <v>4561.090048</v>
      </c>
      <c r="E2048" s="5">
        <v>51.2171173095703</v>
      </c>
      <c r="F2048" s="5">
        <v>11.2541360855103</v>
      </c>
      <c r="G2048" s="5">
        <v>5.64802885055542</v>
      </c>
      <c r="H2048" s="5">
        <v>32.47119140625</v>
      </c>
      <c r="I2048" t="s">
        <v>57</v>
      </c>
    </row>
    <row r="2049" spans="1:9">
      <c r="A2049" s="4" t="s">
        <v>4152</v>
      </c>
      <c r="B2049" s="4" t="s">
        <v>4153</v>
      </c>
      <c r="C2049" s="4" t="s">
        <v>31</v>
      </c>
      <c r="D2049" s="2">
        <f>4560404480/(10^6)</f>
        <v>4560.40448</v>
      </c>
      <c r="E2049" s="5">
        <v>9.09632205963135</v>
      </c>
      <c r="F2049" s="5">
        <v>1.2382310628891</v>
      </c>
      <c r="G2049" s="5">
        <v>0.246111780405045</v>
      </c>
      <c r="H2049" s="5">
        <v>25.4169216156006</v>
      </c>
      <c r="I2049" t="s">
        <v>57</v>
      </c>
    </row>
    <row r="2050" spans="1:9">
      <c r="A2050" s="4" t="s">
        <v>4154</v>
      </c>
      <c r="B2050" s="4" t="s">
        <v>4155</v>
      </c>
      <c r="C2050" s="4" t="s">
        <v>41</v>
      </c>
      <c r="D2050" s="2">
        <f>4553173504/(10^6)</f>
        <v>4553.173504</v>
      </c>
      <c r="E2050" s="5" t="s">
        <v>86</v>
      </c>
      <c r="F2050" s="5">
        <v>14.2699842453003</v>
      </c>
      <c r="G2050" s="5">
        <v>239.85774230957</v>
      </c>
      <c r="H2050" s="5" t="s">
        <v>86</v>
      </c>
      <c r="I2050" t="s">
        <v>57</v>
      </c>
    </row>
    <row r="2051" spans="1:9">
      <c r="A2051" s="4" t="s">
        <v>4156</v>
      </c>
      <c r="B2051" s="4" t="s">
        <v>4157</v>
      </c>
      <c r="C2051" s="4" t="s">
        <v>39</v>
      </c>
      <c r="D2051" s="2">
        <f>4552458240/(10^6)</f>
        <v>4552.45824</v>
      </c>
      <c r="E2051" s="5">
        <v>20.8549995422363</v>
      </c>
      <c r="F2051" s="5">
        <v>1.99331545829773</v>
      </c>
      <c r="G2051" s="5">
        <v>1.58085381984711</v>
      </c>
      <c r="H2051" s="5">
        <v>7.41228294372559</v>
      </c>
      <c r="I2051" t="s">
        <v>57</v>
      </c>
    </row>
    <row r="2052" spans="1:9">
      <c r="A2052" s="4" t="s">
        <v>4158</v>
      </c>
      <c r="B2052" s="4" t="s">
        <v>4159</v>
      </c>
      <c r="C2052" s="4" t="s">
        <v>37</v>
      </c>
      <c r="D2052" s="2">
        <f>4547721216/(10^6)</f>
        <v>4547.721216</v>
      </c>
      <c r="E2052" s="5">
        <v>15.447338104248</v>
      </c>
      <c r="F2052" s="5">
        <v>2.54836225509644</v>
      </c>
      <c r="G2052" s="5">
        <v>0.465484112501144</v>
      </c>
      <c r="H2052" s="5">
        <v>9.21591186523438</v>
      </c>
      <c r="I2052" t="s">
        <v>57</v>
      </c>
    </row>
    <row r="2053" spans="1:9">
      <c r="A2053" s="4" t="s">
        <v>4160</v>
      </c>
      <c r="B2053" s="4" t="s">
        <v>4161</v>
      </c>
      <c r="C2053" s="4" t="s">
        <v>51</v>
      </c>
      <c r="D2053" s="2">
        <f>4546003456/(10^6)</f>
        <v>4546.003456</v>
      </c>
      <c r="E2053" s="5">
        <v>20.1482219696045</v>
      </c>
      <c r="F2053" s="5">
        <v>3.67738938331604</v>
      </c>
      <c r="G2053" s="5">
        <v>2.62462949752808</v>
      </c>
      <c r="H2053" s="5">
        <v>20.1484050750732</v>
      </c>
      <c r="I2053" t="s">
        <v>57</v>
      </c>
    </row>
    <row r="2054" spans="1:9">
      <c r="A2054" s="4" t="s">
        <v>4162</v>
      </c>
      <c r="B2054" s="4" t="s">
        <v>4163</v>
      </c>
      <c r="C2054" s="4" t="s">
        <v>39</v>
      </c>
      <c r="D2054" s="2">
        <f>4540923904/(10^6)</f>
        <v>4540.923904</v>
      </c>
      <c r="E2054" s="5">
        <v>19.5922603607178</v>
      </c>
      <c r="F2054" s="5">
        <v>1.84200346469879</v>
      </c>
      <c r="G2054" s="5">
        <v>3.3788480758667</v>
      </c>
      <c r="H2054" s="5">
        <v>13.0606107711792</v>
      </c>
      <c r="I2054" t="s">
        <v>57</v>
      </c>
    </row>
    <row r="2055" spans="1:9">
      <c r="A2055" s="4" t="s">
        <v>4164</v>
      </c>
      <c r="B2055" s="4" t="s">
        <v>4165</v>
      </c>
      <c r="C2055" s="4" t="s">
        <v>51</v>
      </c>
      <c r="D2055" s="2">
        <f>4528234496/(10^6)</f>
        <v>4528.234496</v>
      </c>
      <c r="E2055" s="5" t="s">
        <v>86</v>
      </c>
      <c r="F2055" s="5">
        <v>23.034595489502</v>
      </c>
      <c r="G2055" s="5">
        <v>13.543004989624</v>
      </c>
      <c r="H2055" s="5">
        <v>167.698837280273</v>
      </c>
      <c r="I2055" t="s">
        <v>57</v>
      </c>
    </row>
    <row r="2056" spans="1:9">
      <c r="A2056" s="4" t="s">
        <v>4166</v>
      </c>
      <c r="B2056" s="4" t="s">
        <v>4167</v>
      </c>
      <c r="C2056" s="4" t="s">
        <v>43</v>
      </c>
      <c r="D2056" s="2">
        <f>4526157312/(10^6)</f>
        <v>4526.157312</v>
      </c>
      <c r="E2056" s="5">
        <v>7.17735242843628</v>
      </c>
      <c r="F2056" s="5">
        <v>0.751814067363739</v>
      </c>
      <c r="G2056" s="5">
        <v>4.98894453048706</v>
      </c>
      <c r="H2056" s="5" t="s">
        <v>86</v>
      </c>
      <c r="I2056" t="s">
        <v>57</v>
      </c>
    </row>
    <row r="2057" spans="1:9">
      <c r="A2057" s="4" t="s">
        <v>4168</v>
      </c>
      <c r="B2057" s="4" t="s">
        <v>4169</v>
      </c>
      <c r="C2057" s="4" t="s">
        <v>43</v>
      </c>
      <c r="D2057" s="2">
        <f>4523480064/(10^6)</f>
        <v>4523.480064</v>
      </c>
      <c r="E2057" s="5">
        <v>6.34545230865479</v>
      </c>
      <c r="F2057" s="5">
        <v>0.670701801776886</v>
      </c>
      <c r="G2057" s="5">
        <v>1.49425315856934</v>
      </c>
      <c r="H2057" s="5" t="s">
        <v>86</v>
      </c>
      <c r="I2057" t="s">
        <v>57</v>
      </c>
    </row>
    <row r="2058" spans="1:9">
      <c r="A2058" s="4" t="s">
        <v>4170</v>
      </c>
      <c r="B2058" s="4" t="s">
        <v>4171</v>
      </c>
      <c r="C2058" s="4" t="s">
        <v>35</v>
      </c>
      <c r="D2058" s="2">
        <f>4497289728/(10^6)</f>
        <v>4497.289728</v>
      </c>
      <c r="E2058" s="5">
        <v>11.9598093032837</v>
      </c>
      <c r="F2058" s="5">
        <v>1.78063714504242</v>
      </c>
      <c r="G2058" s="5">
        <v>0.393918752670288</v>
      </c>
      <c r="H2058" s="5">
        <v>6.51383399963379</v>
      </c>
      <c r="I2058" t="s">
        <v>57</v>
      </c>
    </row>
    <row r="2059" spans="1:9">
      <c r="A2059" s="4" t="s">
        <v>4172</v>
      </c>
      <c r="B2059" s="4" t="s">
        <v>4173</v>
      </c>
      <c r="C2059" s="4" t="s">
        <v>31</v>
      </c>
      <c r="D2059" s="2">
        <f>4491932160/(10^6)</f>
        <v>4491.93216</v>
      </c>
      <c r="E2059" s="5">
        <v>18.0904579162598</v>
      </c>
      <c r="F2059" s="5">
        <v>11.1255340576172</v>
      </c>
      <c r="G2059" s="5">
        <v>2.37436270713806</v>
      </c>
      <c r="H2059" s="5">
        <v>13.0898609161377</v>
      </c>
      <c r="I2059" t="s">
        <v>57</v>
      </c>
    </row>
    <row r="2060" spans="1:9">
      <c r="A2060" s="4" t="s">
        <v>4174</v>
      </c>
      <c r="B2060" s="4" t="s">
        <v>4175</v>
      </c>
      <c r="C2060" s="4" t="s">
        <v>31</v>
      </c>
      <c r="D2060" s="2">
        <f>4490846720/(10^6)</f>
        <v>4490.84672</v>
      </c>
      <c r="E2060" s="5">
        <v>10.0025634765625</v>
      </c>
      <c r="F2060" s="5">
        <v>3.92665362358093</v>
      </c>
      <c r="G2060" s="5">
        <v>0.742607116699219</v>
      </c>
      <c r="H2060" s="5">
        <v>5.88465690612793</v>
      </c>
      <c r="I2060" t="s">
        <v>57</v>
      </c>
    </row>
    <row r="2061" spans="1:9">
      <c r="A2061" s="4" t="s">
        <v>4176</v>
      </c>
      <c r="B2061" s="4" t="s">
        <v>4177</v>
      </c>
      <c r="C2061" s="4" t="s">
        <v>43</v>
      </c>
      <c r="D2061" s="2">
        <f>4439364096/(10^6)</f>
        <v>4439.364096</v>
      </c>
      <c r="E2061" s="5">
        <v>12.4825897216797</v>
      </c>
      <c r="F2061" s="5">
        <v>0.716477930545807</v>
      </c>
      <c r="G2061" s="5">
        <v>2.33996939659119</v>
      </c>
      <c r="H2061" s="5" t="s">
        <v>86</v>
      </c>
      <c r="I2061" t="s">
        <v>57</v>
      </c>
    </row>
    <row r="2062" spans="1:9">
      <c r="A2062" s="4" t="s">
        <v>4178</v>
      </c>
      <c r="B2062" s="4" t="s">
        <v>4179</v>
      </c>
      <c r="C2062" s="4" t="s">
        <v>31</v>
      </c>
      <c r="D2062" s="2">
        <f>4429493248/(10^6)</f>
        <v>4429.493248</v>
      </c>
      <c r="E2062" s="5">
        <v>1669.6962890625</v>
      </c>
      <c r="F2062" s="5">
        <v>8.14584922790527</v>
      </c>
      <c r="G2062" s="5">
        <v>8.29938220977783</v>
      </c>
      <c r="H2062" s="5">
        <v>440.042846679688</v>
      </c>
      <c r="I2062" t="s">
        <v>57</v>
      </c>
    </row>
    <row r="2063" spans="1:9">
      <c r="A2063" s="4" t="s">
        <v>4180</v>
      </c>
      <c r="B2063" s="4" t="s">
        <v>4181</v>
      </c>
      <c r="C2063" s="4" t="s">
        <v>47</v>
      </c>
      <c r="D2063" s="2">
        <f>4419732480/(10^6)</f>
        <v>4419.73248</v>
      </c>
      <c r="E2063" s="5" t="s">
        <v>86</v>
      </c>
      <c r="F2063" s="5">
        <v>8.83796977996826</v>
      </c>
      <c r="G2063" s="5">
        <v>10.5266265869141</v>
      </c>
      <c r="H2063" s="5">
        <v>86.1457366943359</v>
      </c>
      <c r="I2063" t="s">
        <v>57</v>
      </c>
    </row>
    <row r="2064" spans="1:9">
      <c r="A2064" s="4" t="s">
        <v>4182</v>
      </c>
      <c r="B2064" s="4" t="s">
        <v>4183</v>
      </c>
      <c r="C2064" s="4" t="s">
        <v>31</v>
      </c>
      <c r="D2064" s="2">
        <f>4415706624/(10^6)</f>
        <v>4415.706624</v>
      </c>
      <c r="E2064" s="5">
        <v>9.3932638168335</v>
      </c>
      <c r="F2064" s="5">
        <v>3.25068163871765</v>
      </c>
      <c r="G2064" s="5">
        <v>0.737427353858948</v>
      </c>
      <c r="H2064" s="5">
        <v>7.33903121948242</v>
      </c>
      <c r="I2064" t="s">
        <v>57</v>
      </c>
    </row>
    <row r="2065" spans="1:9">
      <c r="A2065" s="4" t="s">
        <v>4184</v>
      </c>
      <c r="B2065" s="4" t="s">
        <v>4185</v>
      </c>
      <c r="C2065" s="4" t="s">
        <v>51</v>
      </c>
      <c r="D2065" s="2">
        <f>4387675136/(10^6)</f>
        <v>4387.675136</v>
      </c>
      <c r="E2065" s="5">
        <v>24.0016078948975</v>
      </c>
      <c r="F2065" s="5">
        <v>2.15784215927124</v>
      </c>
      <c r="G2065" s="5">
        <v>2.30378079414368</v>
      </c>
      <c r="H2065" s="5">
        <v>13.8441314697266</v>
      </c>
      <c r="I2065" t="s">
        <v>57</v>
      </c>
    </row>
    <row r="2066" spans="1:9">
      <c r="A2066" s="4" t="s">
        <v>4186</v>
      </c>
      <c r="B2066" s="4" t="s">
        <v>4187</v>
      </c>
      <c r="C2066" s="4" t="s">
        <v>51</v>
      </c>
      <c r="D2066" s="2">
        <f>4381858816/(10^6)</f>
        <v>4381.858816</v>
      </c>
      <c r="E2066" s="5" t="s">
        <v>86</v>
      </c>
      <c r="F2066" s="5">
        <v>10.4531602859497</v>
      </c>
      <c r="G2066" s="5">
        <v>10.6847400665283</v>
      </c>
      <c r="H2066" s="5" t="s">
        <v>86</v>
      </c>
      <c r="I2066" t="s">
        <v>57</v>
      </c>
    </row>
    <row r="2067" spans="1:9">
      <c r="A2067" s="4" t="s">
        <v>4188</v>
      </c>
      <c r="B2067" s="4" t="s">
        <v>4189</v>
      </c>
      <c r="C2067" s="4" t="s">
        <v>51</v>
      </c>
      <c r="D2067" s="2">
        <f>4379777536/(10^6)</f>
        <v>4379.777536</v>
      </c>
      <c r="E2067" s="5" t="s">
        <v>86</v>
      </c>
      <c r="F2067" s="5">
        <v>15.0163135528564</v>
      </c>
      <c r="G2067" s="5">
        <v>12.251690864563</v>
      </c>
      <c r="H2067" s="5" t="s">
        <v>86</v>
      </c>
      <c r="I2067" t="s">
        <v>57</v>
      </c>
    </row>
    <row r="2068" spans="1:9">
      <c r="A2068" s="4" t="s">
        <v>4190</v>
      </c>
      <c r="B2068" s="4" t="s">
        <v>4191</v>
      </c>
      <c r="C2068" s="4" t="s">
        <v>51</v>
      </c>
      <c r="D2068" s="2">
        <f>4372494336/(10^6)</f>
        <v>4372.494336</v>
      </c>
      <c r="E2068" s="5">
        <v>17.1664943695068</v>
      </c>
      <c r="F2068" s="5">
        <v>2.33537244796753</v>
      </c>
      <c r="G2068" s="5">
        <v>2.3266282081604</v>
      </c>
      <c r="H2068" s="5">
        <v>12.3714809417725</v>
      </c>
      <c r="I2068" t="s">
        <v>57</v>
      </c>
    </row>
    <row r="2069" spans="1:9">
      <c r="A2069" s="4" t="s">
        <v>4192</v>
      </c>
      <c r="B2069" s="4" t="s">
        <v>4193</v>
      </c>
      <c r="C2069" s="4" t="s">
        <v>39</v>
      </c>
      <c r="D2069" s="2">
        <f>4370499584/(10^6)</f>
        <v>4370.499584</v>
      </c>
      <c r="E2069" s="5">
        <v>12.9821424484253</v>
      </c>
      <c r="F2069" s="5">
        <v>1.53494715690613</v>
      </c>
      <c r="G2069" s="5">
        <v>0.812209367752075</v>
      </c>
      <c r="H2069" s="5">
        <v>8.53543186187744</v>
      </c>
      <c r="I2069" t="s">
        <v>57</v>
      </c>
    </row>
    <row r="2070" spans="1:9">
      <c r="A2070" s="4" t="s">
        <v>4194</v>
      </c>
      <c r="B2070" s="4" t="s">
        <v>4195</v>
      </c>
      <c r="C2070" s="4" t="s">
        <v>47</v>
      </c>
      <c r="D2070" s="2">
        <f>4357866496/(10^6)</f>
        <v>4357.866496</v>
      </c>
      <c r="E2070" s="5" t="s">
        <v>86</v>
      </c>
      <c r="F2070" s="5" t="s">
        <v>86</v>
      </c>
      <c r="G2070" s="5">
        <v>0.467989057302475</v>
      </c>
      <c r="H2070" s="5" t="s">
        <v>86</v>
      </c>
      <c r="I2070" t="s">
        <v>57</v>
      </c>
    </row>
    <row r="2071" spans="1:9">
      <c r="A2071" s="4" t="s">
        <v>4196</v>
      </c>
      <c r="B2071" s="4" t="s">
        <v>4197</v>
      </c>
      <c r="C2071" s="4" t="s">
        <v>47</v>
      </c>
      <c r="D2071" s="2">
        <f>4357767168/(10^6)</f>
        <v>4357.767168</v>
      </c>
      <c r="E2071" s="5">
        <v>33.6991081237793</v>
      </c>
      <c r="F2071" s="5" t="s">
        <v>86</v>
      </c>
      <c r="G2071" s="5">
        <v>6.06739568710327</v>
      </c>
      <c r="H2071" s="5">
        <v>19.4420967102051</v>
      </c>
      <c r="I2071" t="s">
        <v>57</v>
      </c>
    </row>
    <row r="2072" spans="1:9">
      <c r="A2072" s="4" t="s">
        <v>4198</v>
      </c>
      <c r="B2072" s="4" t="s">
        <v>4199</v>
      </c>
      <c r="C2072" s="4" t="s">
        <v>43</v>
      </c>
      <c r="D2072" s="2">
        <f>4343184896/(10^6)</f>
        <v>4343.184896</v>
      </c>
      <c r="E2072" s="5">
        <v>16.8609657287598</v>
      </c>
      <c r="F2072" s="5">
        <v>4.6403865814209</v>
      </c>
      <c r="G2072" s="5">
        <v>1.68178772926331</v>
      </c>
      <c r="H2072" s="5">
        <v>25.8475151062012</v>
      </c>
      <c r="I2072" t="s">
        <v>57</v>
      </c>
    </row>
    <row r="2073" spans="1:9">
      <c r="A2073" s="4" t="s">
        <v>4200</v>
      </c>
      <c r="B2073" s="4" t="s">
        <v>4201</v>
      </c>
      <c r="C2073" s="4" t="s">
        <v>35</v>
      </c>
      <c r="D2073" s="2">
        <f>4339461632/(10^6)</f>
        <v>4339.461632</v>
      </c>
      <c r="E2073" s="5">
        <v>11.0532484054565</v>
      </c>
      <c r="F2073" s="5" t="s">
        <v>86</v>
      </c>
      <c r="G2073" s="5">
        <v>0.827422857284546</v>
      </c>
      <c r="H2073" s="5">
        <v>7.64243745803833</v>
      </c>
      <c r="I2073" t="s">
        <v>57</v>
      </c>
    </row>
    <row r="2074" spans="1:9">
      <c r="A2074" s="4" t="s">
        <v>4202</v>
      </c>
      <c r="B2074" s="4" t="s">
        <v>4203</v>
      </c>
      <c r="C2074" s="4" t="s">
        <v>41</v>
      </c>
      <c r="D2074" s="2">
        <f>4336657408/(10^6)</f>
        <v>4336.657408</v>
      </c>
      <c r="E2074" s="5">
        <v>23.1160678863525</v>
      </c>
      <c r="F2074" s="5">
        <v>1.42617785930634</v>
      </c>
      <c r="G2074" s="5">
        <v>0.921908378601074</v>
      </c>
      <c r="H2074" s="5">
        <v>12.445912361145</v>
      </c>
      <c r="I2074" t="s">
        <v>57</v>
      </c>
    </row>
    <row r="2075" spans="1:9">
      <c r="A2075" s="4" t="s">
        <v>4204</v>
      </c>
      <c r="B2075" s="4" t="s">
        <v>4205</v>
      </c>
      <c r="C2075" s="4" t="s">
        <v>31</v>
      </c>
      <c r="D2075" s="2">
        <f>4327150080/(10^6)</f>
        <v>4327.15008</v>
      </c>
      <c r="E2075" s="5">
        <v>22.902193069458</v>
      </c>
      <c r="F2075" s="5" t="s">
        <v>86</v>
      </c>
      <c r="G2075" s="5">
        <v>2.99887323379517</v>
      </c>
      <c r="H2075" s="5">
        <v>10.8115262985229</v>
      </c>
      <c r="I2075" t="s">
        <v>57</v>
      </c>
    </row>
    <row r="2076" spans="1:9">
      <c r="A2076" s="4" t="s">
        <v>4206</v>
      </c>
      <c r="B2076" s="4" t="s">
        <v>4207</v>
      </c>
      <c r="C2076" s="4" t="s">
        <v>39</v>
      </c>
      <c r="D2076" s="2">
        <f>4316616192/(10^6)</f>
        <v>4316.616192</v>
      </c>
      <c r="E2076" s="5">
        <v>20.1925182342529</v>
      </c>
      <c r="F2076" s="5">
        <v>1.66458070278168</v>
      </c>
      <c r="G2076" s="5">
        <v>2.03073310852051</v>
      </c>
      <c r="H2076" s="5">
        <v>9.21406555175781</v>
      </c>
      <c r="I2076" t="s">
        <v>57</v>
      </c>
    </row>
    <row r="2077" spans="1:9">
      <c r="A2077" s="4" t="s">
        <v>4208</v>
      </c>
      <c r="B2077" s="4" t="s">
        <v>4209</v>
      </c>
      <c r="C2077" s="4" t="s">
        <v>37</v>
      </c>
      <c r="D2077" s="2">
        <f>4315254272/(10^6)</f>
        <v>4315.254272</v>
      </c>
      <c r="E2077" s="5">
        <v>6.67787027359009</v>
      </c>
      <c r="F2077" s="5">
        <v>1.06782042980194</v>
      </c>
      <c r="G2077" s="5">
        <v>0.425371408462524</v>
      </c>
      <c r="H2077" s="5">
        <v>4.12002611160278</v>
      </c>
      <c r="I2077" t="s">
        <v>57</v>
      </c>
    </row>
    <row r="2078" spans="1:9">
      <c r="A2078" s="4" t="s">
        <v>4210</v>
      </c>
      <c r="B2078" s="4" t="s">
        <v>4211</v>
      </c>
      <c r="C2078" s="4" t="s">
        <v>35</v>
      </c>
      <c r="D2078" s="2">
        <f>4313845760/(10^6)</f>
        <v>4313.84576</v>
      </c>
      <c r="E2078" s="5">
        <v>38.3657836914062</v>
      </c>
      <c r="F2078" s="5">
        <v>5.81059408187866</v>
      </c>
      <c r="G2078" s="5">
        <v>3.3500714302063</v>
      </c>
      <c r="H2078" s="5">
        <v>20.5917720794678</v>
      </c>
      <c r="I2078" t="s">
        <v>57</v>
      </c>
    </row>
    <row r="2079" spans="1:9">
      <c r="A2079" s="4" t="s">
        <v>4212</v>
      </c>
      <c r="B2079" s="4" t="s">
        <v>4213</v>
      </c>
      <c r="C2079" s="4" t="s">
        <v>31</v>
      </c>
      <c r="D2079" s="2">
        <f>4301299712/(10^6)</f>
        <v>4301.299712</v>
      </c>
      <c r="E2079" s="5">
        <v>20.2242298126221</v>
      </c>
      <c r="F2079" s="5">
        <v>2.88043785095215</v>
      </c>
      <c r="G2079" s="5">
        <v>1.79298627376556</v>
      </c>
      <c r="H2079" s="5">
        <v>11.5086116790771</v>
      </c>
      <c r="I2079" t="s">
        <v>57</v>
      </c>
    </row>
    <row r="2080" spans="1:9">
      <c r="A2080" s="4" t="s">
        <v>4214</v>
      </c>
      <c r="B2080" s="4" t="s">
        <v>4215</v>
      </c>
      <c r="C2080" s="4" t="s">
        <v>31</v>
      </c>
      <c r="D2080" s="2">
        <f>4266970368/(10^6)</f>
        <v>4266.970368</v>
      </c>
      <c r="E2080" s="5">
        <v>10.8531742095947</v>
      </c>
      <c r="F2080" s="5">
        <v>1.04855585098267</v>
      </c>
      <c r="G2080" s="5">
        <v>0.359006732702255</v>
      </c>
      <c r="H2080" s="5">
        <v>6.02167272567749</v>
      </c>
      <c r="I2080" t="s">
        <v>57</v>
      </c>
    </row>
    <row r="2081" spans="1:9">
      <c r="A2081" s="4" t="s">
        <v>4216</v>
      </c>
      <c r="B2081" s="4" t="s">
        <v>4217</v>
      </c>
      <c r="C2081" s="4" t="s">
        <v>37</v>
      </c>
      <c r="D2081" s="2">
        <f>4256326400/(10^6)</f>
        <v>4256.3264</v>
      </c>
      <c r="E2081" s="5">
        <v>12.0869359970093</v>
      </c>
      <c r="F2081" s="5">
        <v>2.35781955718994</v>
      </c>
      <c r="G2081" s="5">
        <v>0.79620087146759</v>
      </c>
      <c r="H2081" s="5">
        <v>7.95955991744995</v>
      </c>
      <c r="I2081" t="s">
        <v>57</v>
      </c>
    </row>
    <row r="2082" spans="1:9">
      <c r="A2082" s="4" t="s">
        <v>4218</v>
      </c>
      <c r="B2082" s="4" t="s">
        <v>4219</v>
      </c>
      <c r="C2082" s="4" t="s">
        <v>43</v>
      </c>
      <c r="D2082" s="2">
        <f>4248404736/(10^6)</f>
        <v>4248.404736</v>
      </c>
      <c r="E2082" s="5">
        <v>3.93104839324951</v>
      </c>
      <c r="F2082" s="5">
        <v>0.306396484375</v>
      </c>
      <c r="G2082" s="5">
        <v>0.67336630821228</v>
      </c>
      <c r="H2082" s="5">
        <v>10.5625829696655</v>
      </c>
      <c r="I2082" t="s">
        <v>57</v>
      </c>
    </row>
    <row r="2083" spans="1:9">
      <c r="A2083" s="4" t="s">
        <v>4220</v>
      </c>
      <c r="B2083" s="4" t="s">
        <v>4221</v>
      </c>
      <c r="C2083" s="4" t="s">
        <v>43</v>
      </c>
      <c r="D2083" s="2">
        <f>4227149568/(10^6)</f>
        <v>4227.149568</v>
      </c>
      <c r="E2083" s="5">
        <v>50.4819030761719</v>
      </c>
      <c r="F2083" s="5">
        <v>2.44490694999695</v>
      </c>
      <c r="G2083" s="5">
        <v>8.12500762939453</v>
      </c>
      <c r="H2083" s="5" t="s">
        <v>86</v>
      </c>
      <c r="I2083" t="s">
        <v>57</v>
      </c>
    </row>
    <row r="2084" spans="1:9">
      <c r="A2084" s="4" t="s">
        <v>4222</v>
      </c>
      <c r="B2084" s="4" t="s">
        <v>4223</v>
      </c>
      <c r="C2084" s="4" t="s">
        <v>31</v>
      </c>
      <c r="D2084" s="2">
        <f>4213934848/(10^6)</f>
        <v>4213.934848</v>
      </c>
      <c r="E2084" s="5">
        <v>8.43790626525879</v>
      </c>
      <c r="F2084" s="5">
        <v>0.916296660900116</v>
      </c>
      <c r="G2084" s="5">
        <v>0.593952238559723</v>
      </c>
      <c r="H2084" s="5">
        <v>5.33255290985107</v>
      </c>
      <c r="I2084" t="s">
        <v>57</v>
      </c>
    </row>
    <row r="2085" spans="1:9">
      <c r="A2085" s="4" t="s">
        <v>4224</v>
      </c>
      <c r="B2085" s="4" t="s">
        <v>4225</v>
      </c>
      <c r="C2085" s="4" t="s">
        <v>43</v>
      </c>
      <c r="D2085" s="2">
        <f>4212666880/(10^6)</f>
        <v>4212.66688</v>
      </c>
      <c r="E2085" s="5">
        <v>7.98021125793457</v>
      </c>
      <c r="F2085" s="5">
        <v>4.14620065689087</v>
      </c>
      <c r="G2085" s="5">
        <v>0.776159584522247</v>
      </c>
      <c r="H2085" s="5">
        <v>6.24895668029785</v>
      </c>
      <c r="I2085" t="s">
        <v>57</v>
      </c>
    </row>
    <row r="2086" spans="1:9">
      <c r="A2086" s="4" t="s">
        <v>4226</v>
      </c>
      <c r="B2086" s="4" t="s">
        <v>4227</v>
      </c>
      <c r="C2086" s="4" t="s">
        <v>43</v>
      </c>
      <c r="D2086" s="2">
        <f>4200109312/(10^6)</f>
        <v>4200.109312</v>
      </c>
      <c r="E2086" s="5">
        <v>13.835563659668</v>
      </c>
      <c r="F2086" s="5">
        <v>1.10263586044312</v>
      </c>
      <c r="G2086" s="5">
        <v>1.4420063495636</v>
      </c>
      <c r="H2086" s="5">
        <v>11.9756183624268</v>
      </c>
      <c r="I2086" t="s">
        <v>57</v>
      </c>
    </row>
    <row r="2087" spans="1:9">
      <c r="A2087" s="4" t="s">
        <v>4228</v>
      </c>
      <c r="B2087" s="4" t="s">
        <v>4229</v>
      </c>
      <c r="C2087" s="4" t="s">
        <v>39</v>
      </c>
      <c r="D2087" s="2">
        <f>4196451584/(10^6)</f>
        <v>4196.451584</v>
      </c>
      <c r="E2087" s="5">
        <v>21.5014457702637</v>
      </c>
      <c r="F2087" s="5">
        <v>1.96748805046081</v>
      </c>
      <c r="G2087" s="5">
        <v>2.54024529457092</v>
      </c>
      <c r="H2087" s="5">
        <v>12.5193614959717</v>
      </c>
      <c r="I2087" t="s">
        <v>57</v>
      </c>
    </row>
    <row r="2088" spans="1:9">
      <c r="A2088" s="4" t="s">
        <v>4230</v>
      </c>
      <c r="B2088" s="4" t="s">
        <v>4231</v>
      </c>
      <c r="C2088" s="4" t="s">
        <v>47</v>
      </c>
      <c r="D2088" s="2">
        <f>4195702528/(10^6)</f>
        <v>4195.702528</v>
      </c>
      <c r="E2088" s="5">
        <v>16.8985443115234</v>
      </c>
      <c r="F2088" s="5" t="s">
        <v>86</v>
      </c>
      <c r="G2088" s="5">
        <v>3.07753181457519</v>
      </c>
      <c r="H2088" s="5">
        <v>12.7235631942749</v>
      </c>
      <c r="I2088" t="s">
        <v>57</v>
      </c>
    </row>
    <row r="2089" spans="1:9">
      <c r="A2089" s="4" t="s">
        <v>4232</v>
      </c>
      <c r="B2089" s="4" t="s">
        <v>4233</v>
      </c>
      <c r="C2089" s="4" t="s">
        <v>31</v>
      </c>
      <c r="D2089" s="2">
        <f>4167075328/(10^6)</f>
        <v>4167.075328</v>
      </c>
      <c r="E2089" s="5">
        <v>14.7269659042358</v>
      </c>
      <c r="F2089" s="5">
        <v>5.1299901008606</v>
      </c>
      <c r="G2089" s="5">
        <v>1.42918527126312</v>
      </c>
      <c r="H2089" s="5">
        <v>10.1046123504639</v>
      </c>
      <c r="I2089" t="s">
        <v>57</v>
      </c>
    </row>
    <row r="2090" spans="1:9">
      <c r="A2090" s="4" t="s">
        <v>4234</v>
      </c>
      <c r="B2090" s="4" t="s">
        <v>4235</v>
      </c>
      <c r="C2090" s="4" t="s">
        <v>37</v>
      </c>
      <c r="D2090" s="2">
        <f>4161607936/(10^6)</f>
        <v>4161.607936</v>
      </c>
      <c r="E2090" s="5">
        <v>9.79771041870117</v>
      </c>
      <c r="F2090" s="5">
        <v>3.26707220077515</v>
      </c>
      <c r="G2090" s="5">
        <v>0.923301100730896</v>
      </c>
      <c r="H2090" s="5">
        <v>8.15963077545166</v>
      </c>
      <c r="I2090" t="s">
        <v>57</v>
      </c>
    </row>
    <row r="2091" spans="1:9">
      <c r="A2091" s="4" t="s">
        <v>4236</v>
      </c>
      <c r="B2091" s="4" t="s">
        <v>4237</v>
      </c>
      <c r="C2091" s="4" t="s">
        <v>41</v>
      </c>
      <c r="D2091" s="2">
        <f>4150723584/(10^6)</f>
        <v>4150.723584</v>
      </c>
      <c r="E2091" s="5">
        <v>26.3084144592285</v>
      </c>
      <c r="F2091" s="5">
        <v>2.95961904525757</v>
      </c>
      <c r="G2091" s="5">
        <v>5.24999475479126</v>
      </c>
      <c r="H2091" s="5">
        <v>15.2730407714844</v>
      </c>
      <c r="I2091" t="s">
        <v>57</v>
      </c>
    </row>
    <row r="2092" spans="1:9">
      <c r="A2092" s="4" t="s">
        <v>4238</v>
      </c>
      <c r="B2092" s="4" t="s">
        <v>4239</v>
      </c>
      <c r="C2092" s="4" t="s">
        <v>51</v>
      </c>
      <c r="D2092" s="2">
        <f>4143990528/(10^6)</f>
        <v>4143.990528</v>
      </c>
      <c r="E2092" s="5">
        <v>16.4087333679199</v>
      </c>
      <c r="F2092" s="5">
        <v>2.93847584724426</v>
      </c>
      <c r="G2092" s="5">
        <v>0.656642317771912</v>
      </c>
      <c r="H2092" s="5">
        <v>10.9981775283813</v>
      </c>
      <c r="I2092" t="s">
        <v>57</v>
      </c>
    </row>
    <row r="2093" spans="1:9">
      <c r="A2093" s="4" t="s">
        <v>4240</v>
      </c>
      <c r="B2093" s="4" t="s">
        <v>4241</v>
      </c>
      <c r="C2093" s="4" t="s">
        <v>35</v>
      </c>
      <c r="D2093" s="2">
        <f>4133932288/(10^6)</f>
        <v>4133.932288</v>
      </c>
      <c r="E2093" s="5">
        <v>20.4038391113281</v>
      </c>
      <c r="F2093" s="5">
        <v>3.27124190330505</v>
      </c>
      <c r="G2093" s="5">
        <v>1.00296664237976</v>
      </c>
      <c r="H2093" s="5">
        <v>12.2817230224609</v>
      </c>
      <c r="I2093" t="s">
        <v>57</v>
      </c>
    </row>
    <row r="2094" spans="1:9">
      <c r="A2094" s="4" t="s">
        <v>4242</v>
      </c>
      <c r="B2094" s="4" t="s">
        <v>4243</v>
      </c>
      <c r="C2094" s="4" t="s">
        <v>37</v>
      </c>
      <c r="D2094" s="2">
        <f>4121553408/(10^6)</f>
        <v>4121.553408</v>
      </c>
      <c r="E2094" s="5">
        <v>16.1978893280029</v>
      </c>
      <c r="F2094" s="5">
        <v>6.03308773040771</v>
      </c>
      <c r="G2094" s="5">
        <v>1.8778190612793</v>
      </c>
      <c r="H2094" s="5">
        <v>10.6152305603027</v>
      </c>
      <c r="I2094" t="s">
        <v>57</v>
      </c>
    </row>
    <row r="2095" spans="1:9">
      <c r="A2095" s="4" t="s">
        <v>4244</v>
      </c>
      <c r="B2095" s="4" t="s">
        <v>4245</v>
      </c>
      <c r="C2095" s="4" t="s">
        <v>51</v>
      </c>
      <c r="D2095" s="2">
        <f>4112404480/(10^6)</f>
        <v>4112.40448</v>
      </c>
      <c r="E2095" s="5">
        <v>26.8326854705811</v>
      </c>
      <c r="F2095" s="5">
        <v>3.48907041549683</v>
      </c>
      <c r="G2095" s="5">
        <v>3.05812549591064</v>
      </c>
      <c r="H2095" s="5">
        <v>13.7882528305054</v>
      </c>
      <c r="I2095" t="s">
        <v>57</v>
      </c>
    </row>
    <row r="2096" spans="1:9">
      <c r="A2096" s="4" t="s">
        <v>4246</v>
      </c>
      <c r="B2096" s="4" t="s">
        <v>4247</v>
      </c>
      <c r="C2096" s="4" t="s">
        <v>43</v>
      </c>
      <c r="D2096" s="2">
        <f>4102272256/(10^6)</f>
        <v>4102.272256</v>
      </c>
      <c r="E2096" s="5">
        <v>5.80922365188599</v>
      </c>
      <c r="F2096" s="5">
        <v>0.817572832107544</v>
      </c>
      <c r="G2096" s="5">
        <v>1.95952951908112</v>
      </c>
      <c r="H2096" s="5" t="s">
        <v>86</v>
      </c>
      <c r="I2096" t="s">
        <v>57</v>
      </c>
    </row>
    <row r="2097" spans="1:9">
      <c r="A2097" s="4" t="s">
        <v>4248</v>
      </c>
      <c r="B2097" s="4" t="s">
        <v>4249</v>
      </c>
      <c r="C2097" s="4" t="s">
        <v>35</v>
      </c>
      <c r="D2097" s="2">
        <f>4089197824/(10^6)</f>
        <v>4089.197824</v>
      </c>
      <c r="E2097" s="5" t="s">
        <v>86</v>
      </c>
      <c r="F2097" s="5">
        <v>10.6002197265625</v>
      </c>
      <c r="G2097" s="5">
        <v>6.22823810577393</v>
      </c>
      <c r="H2097" s="5">
        <v>504.022308349609</v>
      </c>
      <c r="I2097" t="s">
        <v>57</v>
      </c>
    </row>
    <row r="2098" spans="1:9">
      <c r="A2098" s="4" t="s">
        <v>4250</v>
      </c>
      <c r="B2098" s="4" t="s">
        <v>4251</v>
      </c>
      <c r="C2098" s="4" t="s">
        <v>41</v>
      </c>
      <c r="D2098" s="2">
        <f>4085888000/(10^6)</f>
        <v>4085.888</v>
      </c>
      <c r="E2098" s="5" t="s">
        <v>86</v>
      </c>
      <c r="F2098" s="5">
        <v>20.83957862854</v>
      </c>
      <c r="G2098" s="5">
        <v>11.0617074966431</v>
      </c>
      <c r="H2098" s="5" t="s">
        <v>86</v>
      </c>
      <c r="I2098" t="s">
        <v>57</v>
      </c>
    </row>
    <row r="2099" spans="1:9">
      <c r="A2099" s="4" t="s">
        <v>4252</v>
      </c>
      <c r="B2099" s="4" t="s">
        <v>4253</v>
      </c>
      <c r="C2099" s="4" t="s">
        <v>41</v>
      </c>
      <c r="D2099" s="2">
        <f>4068190720/(10^6)</f>
        <v>4068.19072</v>
      </c>
      <c r="E2099" s="5" t="s">
        <v>86</v>
      </c>
      <c r="F2099" s="5">
        <v>14.4282474517822</v>
      </c>
      <c r="G2099" s="5" t="s">
        <v>86</v>
      </c>
      <c r="H2099" s="5" t="s">
        <v>86</v>
      </c>
      <c r="I2099" t="s">
        <v>57</v>
      </c>
    </row>
    <row r="2100" spans="1:9">
      <c r="A2100" s="4" t="s">
        <v>4254</v>
      </c>
      <c r="B2100" s="4" t="s">
        <v>4255</v>
      </c>
      <c r="C2100" s="4" t="s">
        <v>51</v>
      </c>
      <c r="D2100" s="2">
        <f>4062007552/(10^6)</f>
        <v>4062.007552</v>
      </c>
      <c r="E2100" s="5">
        <v>249.687088012695</v>
      </c>
      <c r="F2100" s="5">
        <v>1.48144817352295</v>
      </c>
      <c r="G2100" s="5">
        <v>3.28749918937683</v>
      </c>
      <c r="H2100" s="5">
        <v>13.026554107666</v>
      </c>
      <c r="I2100" t="s">
        <v>57</v>
      </c>
    </row>
    <row r="2101" spans="1:9">
      <c r="A2101" s="4" t="s">
        <v>4256</v>
      </c>
      <c r="B2101" s="4" t="s">
        <v>4257</v>
      </c>
      <c r="C2101" s="4" t="s">
        <v>51</v>
      </c>
      <c r="D2101" s="2">
        <f>4057132800/(10^6)</f>
        <v>4057.1328</v>
      </c>
      <c r="E2101" s="5">
        <v>8.47537899017334</v>
      </c>
      <c r="F2101" s="5">
        <v>1.40003979206085</v>
      </c>
      <c r="G2101" s="5">
        <v>0.16565465927124</v>
      </c>
      <c r="H2101" s="5">
        <v>4.81949853897095</v>
      </c>
      <c r="I2101" t="s">
        <v>57</v>
      </c>
    </row>
    <row r="2102" spans="1:9">
      <c r="A2102" s="4" t="s">
        <v>4258</v>
      </c>
      <c r="B2102" s="4" t="s">
        <v>4259</v>
      </c>
      <c r="C2102" s="4" t="s">
        <v>51</v>
      </c>
      <c r="D2102" s="2">
        <f>4050634496/(10^6)</f>
        <v>4050.634496</v>
      </c>
      <c r="E2102" s="5">
        <v>6.30592060089111</v>
      </c>
      <c r="F2102" s="5">
        <v>0.841565012931824</v>
      </c>
      <c r="G2102" s="5">
        <v>0.145153924822807</v>
      </c>
      <c r="H2102" s="5">
        <v>20.3884754180908</v>
      </c>
      <c r="I2102" t="s">
        <v>57</v>
      </c>
    </row>
    <row r="2103" spans="1:9">
      <c r="A2103" s="4" t="s">
        <v>4260</v>
      </c>
      <c r="B2103" s="4" t="s">
        <v>4261</v>
      </c>
      <c r="C2103" s="4" t="s">
        <v>43</v>
      </c>
      <c r="D2103" s="2">
        <f>4013425920/(10^6)</f>
        <v>4013.42592</v>
      </c>
      <c r="E2103" s="5">
        <v>10.0719518661499</v>
      </c>
      <c r="F2103" s="5">
        <v>0.436566412448883</v>
      </c>
      <c r="G2103" s="5">
        <v>1.01576673984528</v>
      </c>
      <c r="H2103" s="5">
        <v>12.594630241394</v>
      </c>
      <c r="I2103" t="s">
        <v>57</v>
      </c>
    </row>
    <row r="2104" spans="1:9">
      <c r="A2104" s="4" t="s">
        <v>4262</v>
      </c>
      <c r="B2104" s="4" t="s">
        <v>4263</v>
      </c>
      <c r="C2104" s="4" t="s">
        <v>41</v>
      </c>
      <c r="D2104" s="2">
        <f>4007577344/(10^6)</f>
        <v>4007.577344</v>
      </c>
      <c r="E2104" s="5">
        <v>7.54705953598022</v>
      </c>
      <c r="F2104" s="5">
        <v>1.44135308265686</v>
      </c>
      <c r="G2104" s="5">
        <v>2.762291431427</v>
      </c>
      <c r="H2104" s="5" t="s">
        <v>86</v>
      </c>
      <c r="I2104" t="s">
        <v>57</v>
      </c>
    </row>
    <row r="2105" spans="1:9">
      <c r="A2105" s="4" t="s">
        <v>4264</v>
      </c>
      <c r="B2105" s="4" t="s">
        <v>4265</v>
      </c>
      <c r="C2105" s="4" t="s">
        <v>51</v>
      </c>
      <c r="D2105" s="2">
        <f>4001941760/(10^6)</f>
        <v>4001.94176</v>
      </c>
      <c r="E2105" s="5">
        <v>10.6282606124878</v>
      </c>
      <c r="F2105" s="5" t="s">
        <v>86</v>
      </c>
      <c r="G2105" s="5">
        <v>1.93123698234558</v>
      </c>
      <c r="H2105" s="5">
        <v>11.1797399520874</v>
      </c>
      <c r="I2105" t="s">
        <v>57</v>
      </c>
    </row>
    <row r="2106" spans="1:9">
      <c r="A2106" s="4" t="s">
        <v>4266</v>
      </c>
      <c r="B2106" s="4" t="s">
        <v>4267</v>
      </c>
      <c r="C2106" s="4" t="s">
        <v>47</v>
      </c>
      <c r="D2106" s="2">
        <f>3989391104/(10^6)</f>
        <v>3989.391104</v>
      </c>
      <c r="E2106" s="5">
        <v>33.8222732543945</v>
      </c>
      <c r="F2106" s="5">
        <v>1.98349368572235</v>
      </c>
      <c r="G2106" s="5">
        <v>0.808310925960541</v>
      </c>
      <c r="H2106" s="5">
        <v>7.63327550888062</v>
      </c>
      <c r="I2106" t="s">
        <v>57</v>
      </c>
    </row>
    <row r="2107" spans="1:9">
      <c r="A2107" s="4" t="s">
        <v>4268</v>
      </c>
      <c r="B2107" s="4" t="s">
        <v>4269</v>
      </c>
      <c r="C2107" s="4" t="s">
        <v>47</v>
      </c>
      <c r="D2107" s="2">
        <f>3989391104/(10^6)</f>
        <v>3989.391104</v>
      </c>
      <c r="E2107" s="5">
        <v>33.8222732543945</v>
      </c>
      <c r="F2107" s="5">
        <v>1.98349368572235</v>
      </c>
      <c r="G2107" s="5">
        <v>0.808310925960541</v>
      </c>
      <c r="H2107" s="5">
        <v>7.63327550888062</v>
      </c>
      <c r="I2107" t="s">
        <v>57</v>
      </c>
    </row>
    <row r="2108" spans="1:9">
      <c r="A2108" s="4" t="s">
        <v>4270</v>
      </c>
      <c r="B2108" s="4" t="s">
        <v>4271</v>
      </c>
      <c r="C2108" s="4" t="s">
        <v>51</v>
      </c>
      <c r="D2108" s="2">
        <f>3988545024/(10^6)</f>
        <v>3988.545024</v>
      </c>
      <c r="E2108" s="5">
        <v>46.7395629882812</v>
      </c>
      <c r="F2108" s="5">
        <v>14.6439895629883</v>
      </c>
      <c r="G2108" s="5">
        <v>6.11824321746826</v>
      </c>
      <c r="H2108" s="5">
        <v>32.0737342834473</v>
      </c>
      <c r="I2108" t="s">
        <v>57</v>
      </c>
    </row>
    <row r="2109" spans="1:9">
      <c r="A2109" s="4" t="s">
        <v>4272</v>
      </c>
      <c r="B2109" s="4" t="s">
        <v>4273</v>
      </c>
      <c r="C2109" s="4" t="s">
        <v>31</v>
      </c>
      <c r="D2109" s="2">
        <f>3985559296/(10^6)</f>
        <v>3985.559296</v>
      </c>
      <c r="E2109" s="5">
        <v>13.2832469940186</v>
      </c>
      <c r="F2109" s="5">
        <v>2.25455355644226</v>
      </c>
      <c r="G2109" s="5">
        <v>1.61003625392914</v>
      </c>
      <c r="H2109" s="5">
        <v>8.34970855712891</v>
      </c>
      <c r="I2109" t="s">
        <v>57</v>
      </c>
    </row>
    <row r="2110" spans="1:9">
      <c r="A2110" s="4" t="s">
        <v>4274</v>
      </c>
      <c r="B2110" s="4" t="s">
        <v>4275</v>
      </c>
      <c r="C2110" s="4" t="s">
        <v>47</v>
      </c>
      <c r="D2110" s="2">
        <f>3971724800/(10^6)</f>
        <v>3971.7248</v>
      </c>
      <c r="E2110" s="5">
        <v>22.894229888916</v>
      </c>
      <c r="F2110" s="5">
        <v>5.23773145675659</v>
      </c>
      <c r="G2110" s="5">
        <v>2.15781164169312</v>
      </c>
      <c r="H2110" s="5">
        <v>11.1642360687256</v>
      </c>
      <c r="I2110" t="s">
        <v>57</v>
      </c>
    </row>
    <row r="2111" spans="1:9">
      <c r="A2111" s="4" t="s">
        <v>4276</v>
      </c>
      <c r="B2111" s="4" t="s">
        <v>4277</v>
      </c>
      <c r="C2111" s="4" t="s">
        <v>51</v>
      </c>
      <c r="D2111" s="2">
        <f>3964060160/(10^6)</f>
        <v>3964.06016</v>
      </c>
      <c r="E2111" s="5" t="s">
        <v>86</v>
      </c>
      <c r="F2111" s="5">
        <v>1.99004483222961</v>
      </c>
      <c r="G2111" s="5">
        <v>3.85905146598816</v>
      </c>
      <c r="H2111" s="5" t="s">
        <v>86</v>
      </c>
      <c r="I2111" t="s">
        <v>57</v>
      </c>
    </row>
    <row r="2112" spans="1:9">
      <c r="A2112" s="4" t="s">
        <v>4278</v>
      </c>
      <c r="B2112" s="4" t="s">
        <v>4279</v>
      </c>
      <c r="C2112" s="4" t="s">
        <v>35</v>
      </c>
      <c r="D2112" s="2">
        <f>3961850624/(10^6)</f>
        <v>3961.850624</v>
      </c>
      <c r="E2112" s="5">
        <v>8.90633487701416</v>
      </c>
      <c r="F2112" s="5">
        <v>1.06885957717896</v>
      </c>
      <c r="G2112" s="5">
        <v>0.151432514190674</v>
      </c>
      <c r="H2112" s="5">
        <v>8.25766086578369</v>
      </c>
      <c r="I2112" t="s">
        <v>57</v>
      </c>
    </row>
    <row r="2113" spans="1:9">
      <c r="A2113" s="4" t="s">
        <v>4280</v>
      </c>
      <c r="B2113" s="4" t="s">
        <v>4281</v>
      </c>
      <c r="C2113" s="4" t="s">
        <v>39</v>
      </c>
      <c r="D2113" s="2">
        <f>3959563776/(10^6)</f>
        <v>3959.563776</v>
      </c>
      <c r="E2113" s="5">
        <v>16.6820621490479</v>
      </c>
      <c r="F2113" s="5">
        <v>1.64224290847778</v>
      </c>
      <c r="G2113" s="5">
        <v>2.203861951828</v>
      </c>
      <c r="H2113" s="5">
        <v>12.2420425415039</v>
      </c>
      <c r="I2113" t="s">
        <v>57</v>
      </c>
    </row>
    <row r="2114" spans="1:9">
      <c r="A2114" s="4" t="s">
        <v>4282</v>
      </c>
      <c r="B2114" s="4" t="s">
        <v>4283</v>
      </c>
      <c r="C2114" s="4" t="s">
        <v>31</v>
      </c>
      <c r="D2114" s="2">
        <f>3956501760/(10^6)</f>
        <v>3956.50176</v>
      </c>
      <c r="E2114" s="5">
        <v>7.51884269714355</v>
      </c>
      <c r="F2114" s="5">
        <v>1.47458553314209</v>
      </c>
      <c r="G2114" s="5">
        <v>0.484024941921234</v>
      </c>
      <c r="H2114" s="5">
        <v>5.36102724075317</v>
      </c>
      <c r="I2114" t="s">
        <v>57</v>
      </c>
    </row>
    <row r="2115" spans="1:9">
      <c r="A2115" s="4" t="s">
        <v>4284</v>
      </c>
      <c r="B2115" s="4" t="s">
        <v>4285</v>
      </c>
      <c r="C2115" s="4" t="s">
        <v>41</v>
      </c>
      <c r="D2115" s="2">
        <f>3949701376/(10^6)</f>
        <v>3949.701376</v>
      </c>
      <c r="E2115" s="5">
        <v>46.3542060852051</v>
      </c>
      <c r="F2115" s="5">
        <v>7.05328702926636</v>
      </c>
      <c r="G2115" s="5">
        <v>7.20434093475342</v>
      </c>
      <c r="H2115" s="5">
        <v>25.9580516815186</v>
      </c>
      <c r="I2115" t="s">
        <v>57</v>
      </c>
    </row>
    <row r="2116" spans="1:9">
      <c r="A2116" s="4" t="s">
        <v>4286</v>
      </c>
      <c r="B2116" s="4" t="s">
        <v>4287</v>
      </c>
      <c r="C2116" s="4" t="s">
        <v>27</v>
      </c>
      <c r="D2116" s="2">
        <f>3925677056/(10^6)</f>
        <v>3925.677056</v>
      </c>
      <c r="E2116" s="5">
        <v>4.5515923500061</v>
      </c>
      <c r="F2116" s="5">
        <v>0.656515777111053</v>
      </c>
      <c r="G2116" s="5">
        <v>0.230437844991684</v>
      </c>
      <c r="H2116" s="5">
        <v>3.42307710647583</v>
      </c>
      <c r="I2116" t="s">
        <v>57</v>
      </c>
    </row>
    <row r="2117" spans="1:9">
      <c r="A2117" s="4" t="s">
        <v>4288</v>
      </c>
      <c r="B2117" s="4" t="s">
        <v>4289</v>
      </c>
      <c r="C2117" s="4" t="s">
        <v>41</v>
      </c>
      <c r="D2117" s="2">
        <f>3922100992/(10^6)</f>
        <v>3922.100992</v>
      </c>
      <c r="E2117" s="5">
        <v>27.5658130645752</v>
      </c>
      <c r="F2117" s="5">
        <v>2.72815442085266</v>
      </c>
      <c r="G2117" s="5">
        <v>1.85023617744446</v>
      </c>
      <c r="H2117" s="5" t="s">
        <v>86</v>
      </c>
      <c r="I2117" t="s">
        <v>57</v>
      </c>
    </row>
    <row r="2118" spans="1:9">
      <c r="A2118" s="4" t="s">
        <v>4290</v>
      </c>
      <c r="B2118" s="4" t="s">
        <v>4291</v>
      </c>
      <c r="C2118" s="4" t="s">
        <v>41</v>
      </c>
      <c r="D2118" s="2">
        <f>3898826752/(10^6)</f>
        <v>3898.826752</v>
      </c>
      <c r="E2118" s="5">
        <v>25.6955547332764</v>
      </c>
      <c r="F2118" s="5">
        <v>2.82640624046326</v>
      </c>
      <c r="G2118" s="5">
        <v>3.05696964263916</v>
      </c>
      <c r="H2118" s="5">
        <v>18.7478656768799</v>
      </c>
      <c r="I2118" t="s">
        <v>57</v>
      </c>
    </row>
    <row r="2119" spans="1:9">
      <c r="A2119" s="4" t="s">
        <v>4292</v>
      </c>
      <c r="B2119" s="4" t="s">
        <v>4293</v>
      </c>
      <c r="C2119" s="4" t="s">
        <v>47</v>
      </c>
      <c r="D2119" s="2">
        <f>3891259648/(10^6)</f>
        <v>3891.259648</v>
      </c>
      <c r="E2119" s="5">
        <v>10.9734506607056</v>
      </c>
      <c r="F2119" s="5">
        <v>1.64472961425781</v>
      </c>
      <c r="G2119" s="5">
        <v>0.72874641418457</v>
      </c>
      <c r="H2119" s="5">
        <v>5.08315467834473</v>
      </c>
      <c r="I2119" t="s">
        <v>57</v>
      </c>
    </row>
    <row r="2120" spans="1:9">
      <c r="A2120" s="4" t="s">
        <v>4294</v>
      </c>
      <c r="B2120" s="4" t="s">
        <v>4295</v>
      </c>
      <c r="C2120" s="4" t="s">
        <v>27</v>
      </c>
      <c r="D2120" s="2">
        <f>3882625280/(10^6)</f>
        <v>3882.62528</v>
      </c>
      <c r="E2120" s="5" t="s">
        <v>86</v>
      </c>
      <c r="F2120" s="5">
        <v>0.499102652072906</v>
      </c>
      <c r="G2120" s="5">
        <v>0.452682882547379</v>
      </c>
      <c r="H2120" s="5" t="s">
        <v>86</v>
      </c>
      <c r="I2120" t="s">
        <v>57</v>
      </c>
    </row>
    <row r="2121" spans="1:9">
      <c r="A2121" s="4" t="s">
        <v>4296</v>
      </c>
      <c r="B2121" s="4" t="s">
        <v>4297</v>
      </c>
      <c r="C2121" s="4" t="s">
        <v>31</v>
      </c>
      <c r="D2121" s="2">
        <f>3873159168/(10^6)</f>
        <v>3873.159168</v>
      </c>
      <c r="E2121" s="5">
        <v>6.68994092941284</v>
      </c>
      <c r="F2121" s="5">
        <v>5.3167781829834</v>
      </c>
      <c r="G2121" s="5">
        <v>1.48731100559235</v>
      </c>
      <c r="H2121" s="5">
        <v>5.84789371490479</v>
      </c>
      <c r="I2121" t="s">
        <v>57</v>
      </c>
    </row>
    <row r="2122" spans="1:9">
      <c r="A2122" s="4" t="s">
        <v>4298</v>
      </c>
      <c r="B2122" s="4" t="s">
        <v>4299</v>
      </c>
      <c r="C2122" s="4" t="s">
        <v>31</v>
      </c>
      <c r="D2122" s="2">
        <f>3858030592/(10^6)</f>
        <v>3858.030592</v>
      </c>
      <c r="E2122" s="5">
        <v>12.7883987426758</v>
      </c>
      <c r="F2122" s="5">
        <v>2.13517999649048</v>
      </c>
      <c r="G2122" s="5">
        <v>1.29537904262543</v>
      </c>
      <c r="H2122" s="5">
        <v>10.6898393630981</v>
      </c>
      <c r="I2122" t="s">
        <v>57</v>
      </c>
    </row>
    <row r="2123" spans="1:9">
      <c r="A2123" s="4" t="s">
        <v>4300</v>
      </c>
      <c r="B2123" s="4" t="s">
        <v>4301</v>
      </c>
      <c r="C2123" s="4" t="s">
        <v>47</v>
      </c>
      <c r="D2123" s="2">
        <f>3839560704/(10^6)</f>
        <v>3839.560704</v>
      </c>
      <c r="E2123" s="5">
        <v>5.5376935005188</v>
      </c>
      <c r="F2123" s="5">
        <v>1.15553820133209</v>
      </c>
      <c r="G2123" s="5">
        <v>0.656712532043457</v>
      </c>
      <c r="H2123" s="5">
        <v>5.58695793151855</v>
      </c>
      <c r="I2123" t="s">
        <v>57</v>
      </c>
    </row>
    <row r="2124" spans="1:9">
      <c r="A2124" s="4" t="s">
        <v>4302</v>
      </c>
      <c r="B2124" s="4" t="s">
        <v>4303</v>
      </c>
      <c r="C2124" s="4" t="s">
        <v>31</v>
      </c>
      <c r="D2124" s="2">
        <f>3834302464/(10^6)</f>
        <v>3834.302464</v>
      </c>
      <c r="E2124" s="5">
        <v>29.8338279724121</v>
      </c>
      <c r="F2124" s="5">
        <v>1.64370501041412</v>
      </c>
      <c r="G2124" s="5">
        <v>1.15531480312347</v>
      </c>
      <c r="H2124" s="5">
        <v>39.5122947692871</v>
      </c>
      <c r="I2124" t="s">
        <v>57</v>
      </c>
    </row>
    <row r="2125" spans="1:9">
      <c r="A2125" s="4" t="s">
        <v>4304</v>
      </c>
      <c r="B2125" s="4" t="s">
        <v>4305</v>
      </c>
      <c r="C2125" s="4" t="s">
        <v>31</v>
      </c>
      <c r="D2125" s="2">
        <f>3826533376/(10^6)</f>
        <v>3826.533376</v>
      </c>
      <c r="E2125" s="5">
        <v>16.6670455932617</v>
      </c>
      <c r="F2125" s="5">
        <v>10.4875583648682</v>
      </c>
      <c r="G2125" s="5">
        <v>3.75591635704041</v>
      </c>
      <c r="H2125" s="5">
        <v>11.1716718673706</v>
      </c>
      <c r="I2125" t="s">
        <v>57</v>
      </c>
    </row>
    <row r="2126" spans="1:9">
      <c r="A2126" s="4" t="s">
        <v>4306</v>
      </c>
      <c r="B2126" s="4" t="s">
        <v>4307</v>
      </c>
      <c r="C2126" s="4" t="s">
        <v>37</v>
      </c>
      <c r="D2126" s="2">
        <f>3823460608/(10^6)</f>
        <v>3823.460608</v>
      </c>
      <c r="E2126" s="5">
        <v>8.80472278594971</v>
      </c>
      <c r="F2126" s="5" t="s">
        <v>86</v>
      </c>
      <c r="G2126" s="5">
        <v>0.79615318775177</v>
      </c>
      <c r="H2126" s="5">
        <v>9.79685211181641</v>
      </c>
      <c r="I2126" t="s">
        <v>57</v>
      </c>
    </row>
    <row r="2127" spans="1:9">
      <c r="A2127" s="4" t="s">
        <v>4308</v>
      </c>
      <c r="B2127" s="4" t="s">
        <v>4309</v>
      </c>
      <c r="C2127" s="4" t="s">
        <v>43</v>
      </c>
      <c r="D2127" s="2">
        <f>3802416896/(10^6)</f>
        <v>3802.416896</v>
      </c>
      <c r="E2127" s="5">
        <v>22.9254989624023</v>
      </c>
      <c r="F2127" s="5">
        <v>3.81576037406921</v>
      </c>
      <c r="G2127" s="5">
        <v>3.78477358818054</v>
      </c>
      <c r="H2127" s="5" t="s">
        <v>86</v>
      </c>
      <c r="I2127" t="s">
        <v>57</v>
      </c>
    </row>
    <row r="2128" spans="1:9">
      <c r="A2128" s="4" t="s">
        <v>4310</v>
      </c>
      <c r="B2128" s="4" t="s">
        <v>4311</v>
      </c>
      <c r="C2128" s="4" t="s">
        <v>31</v>
      </c>
      <c r="D2128" s="2">
        <f>3783026176/(10^6)</f>
        <v>3783.026176</v>
      </c>
      <c r="E2128" s="5">
        <v>21.436014175415</v>
      </c>
      <c r="F2128" s="5">
        <v>3.68801498413086</v>
      </c>
      <c r="G2128" s="5">
        <v>1.54658842086792</v>
      </c>
      <c r="H2128" s="5">
        <v>17.4375419616699</v>
      </c>
      <c r="I2128" t="s">
        <v>57</v>
      </c>
    </row>
    <row r="2129" spans="1:9">
      <c r="A2129" s="4" t="s">
        <v>4312</v>
      </c>
      <c r="B2129" s="4" t="s">
        <v>4313</v>
      </c>
      <c r="C2129" s="4" t="s">
        <v>27</v>
      </c>
      <c r="D2129" s="2">
        <f>3778250752/(10^6)</f>
        <v>3778.250752</v>
      </c>
      <c r="E2129" s="5">
        <v>3.69207119941711</v>
      </c>
      <c r="F2129" s="5">
        <v>0.28646582365036</v>
      </c>
      <c r="G2129" s="5">
        <v>0.963539958000183</v>
      </c>
      <c r="H2129" s="5">
        <v>4.75900840759277</v>
      </c>
      <c r="I2129" t="s">
        <v>57</v>
      </c>
    </row>
    <row r="2130" spans="1:9">
      <c r="A2130" s="4" t="s">
        <v>4314</v>
      </c>
      <c r="B2130" s="4" t="s">
        <v>4315</v>
      </c>
      <c r="C2130" s="4" t="s">
        <v>31</v>
      </c>
      <c r="D2130" s="2">
        <f>3770582016/(10^6)</f>
        <v>3770.582016</v>
      </c>
      <c r="E2130" s="5">
        <v>57.3147506713867</v>
      </c>
      <c r="F2130" s="5">
        <v>2.80978083610535</v>
      </c>
      <c r="G2130" s="5">
        <v>4.82389831542969</v>
      </c>
      <c r="H2130" s="5">
        <v>27.3960800170898</v>
      </c>
      <c r="I2130" t="s">
        <v>57</v>
      </c>
    </row>
    <row r="2131" spans="1:9">
      <c r="A2131" s="4" t="s">
        <v>4316</v>
      </c>
      <c r="B2131" s="4" t="s">
        <v>4317</v>
      </c>
      <c r="C2131" s="4" t="s">
        <v>41</v>
      </c>
      <c r="D2131" s="2">
        <f>3766125824/(10^6)</f>
        <v>3766.125824</v>
      </c>
      <c r="E2131" s="5" t="s">
        <v>86</v>
      </c>
      <c r="F2131" s="5">
        <v>8.70958232879639</v>
      </c>
      <c r="G2131" s="5">
        <v>128.661987304688</v>
      </c>
      <c r="H2131" s="5" t="s">
        <v>86</v>
      </c>
      <c r="I2131" t="s">
        <v>57</v>
      </c>
    </row>
    <row r="2132" spans="1:9">
      <c r="A2132" s="4" t="s">
        <v>4318</v>
      </c>
      <c r="B2132" s="4" t="s">
        <v>4319</v>
      </c>
      <c r="C2132" s="4" t="s">
        <v>31</v>
      </c>
      <c r="D2132" s="2">
        <f>3763985920/(10^6)</f>
        <v>3763.98592</v>
      </c>
      <c r="E2132" s="5">
        <v>11.1215572357178</v>
      </c>
      <c r="F2132" s="5">
        <v>1.81405651569366</v>
      </c>
      <c r="G2132" s="5">
        <v>1.32124948501587</v>
      </c>
      <c r="H2132" s="5">
        <v>6.09217309951782</v>
      </c>
      <c r="I2132" t="s">
        <v>57</v>
      </c>
    </row>
    <row r="2133" spans="1:9">
      <c r="A2133" s="4" t="s">
        <v>4320</v>
      </c>
      <c r="B2133" s="4" t="s">
        <v>4321</v>
      </c>
      <c r="C2133" s="4" t="s">
        <v>43</v>
      </c>
      <c r="D2133" s="2">
        <f>3761355776/(10^6)</f>
        <v>3761.355776</v>
      </c>
      <c r="E2133" s="5">
        <v>6.65706968307495</v>
      </c>
      <c r="F2133" s="5">
        <v>0.680766820907593</v>
      </c>
      <c r="G2133" s="5">
        <v>1.57277810573578</v>
      </c>
      <c r="H2133" s="5" t="s">
        <v>86</v>
      </c>
      <c r="I2133" t="s">
        <v>57</v>
      </c>
    </row>
    <row r="2134" spans="1:9">
      <c r="A2134" s="4" t="s">
        <v>4322</v>
      </c>
      <c r="B2134" s="4" t="s">
        <v>4323</v>
      </c>
      <c r="C2134" s="4" t="s">
        <v>51</v>
      </c>
      <c r="D2134" s="2">
        <f>3757856000/(10^6)</f>
        <v>3757.856</v>
      </c>
      <c r="E2134" s="5">
        <v>4.35933256149292</v>
      </c>
      <c r="F2134" s="5">
        <v>0.670896947383881</v>
      </c>
      <c r="G2134" s="5">
        <v>0.428522795438766</v>
      </c>
      <c r="H2134" s="5">
        <v>4.02735471725464</v>
      </c>
      <c r="I2134" t="s">
        <v>57</v>
      </c>
    </row>
    <row r="2135" spans="1:9">
      <c r="A2135" s="4" t="s">
        <v>4324</v>
      </c>
      <c r="B2135" s="4" t="s">
        <v>4325</v>
      </c>
      <c r="C2135" s="4" t="s">
        <v>51</v>
      </c>
      <c r="D2135" s="2">
        <f>3757456896/(10^6)</f>
        <v>3757.456896</v>
      </c>
      <c r="E2135" s="5">
        <v>21.4429817199707</v>
      </c>
      <c r="F2135" s="5">
        <v>0.737162470817566</v>
      </c>
      <c r="G2135" s="5">
        <v>1.22534728050232</v>
      </c>
      <c r="H2135" s="5">
        <v>33.4008483886719</v>
      </c>
      <c r="I2135" t="s">
        <v>57</v>
      </c>
    </row>
    <row r="2136" spans="1:9">
      <c r="A2136" s="4" t="s">
        <v>4326</v>
      </c>
      <c r="B2136" s="4" t="s">
        <v>4327</v>
      </c>
      <c r="C2136" s="4" t="s">
        <v>37</v>
      </c>
      <c r="D2136" s="2">
        <f>3749767936/(10^6)</f>
        <v>3749.767936</v>
      </c>
      <c r="E2136" s="5">
        <v>247.592880249023</v>
      </c>
      <c r="F2136" s="5">
        <v>0.408226847648621</v>
      </c>
      <c r="G2136" s="5">
        <v>0.426661729812622</v>
      </c>
      <c r="H2136" s="5" t="s">
        <v>86</v>
      </c>
      <c r="I2136" t="s">
        <v>57</v>
      </c>
    </row>
    <row r="2137" spans="1:9">
      <c r="A2137" s="4" t="s">
        <v>4328</v>
      </c>
      <c r="B2137" s="4" t="s">
        <v>4329</v>
      </c>
      <c r="C2137" s="4" t="s">
        <v>31</v>
      </c>
      <c r="D2137" s="2">
        <f>3729621760/(10^6)</f>
        <v>3729.62176</v>
      </c>
      <c r="E2137" s="5">
        <v>24.8076496124268</v>
      </c>
      <c r="F2137" s="5">
        <v>5.16175270080566</v>
      </c>
      <c r="G2137" s="5">
        <v>2.64641857147217</v>
      </c>
      <c r="H2137" s="5">
        <v>15.643723487854</v>
      </c>
      <c r="I2137" t="s">
        <v>57</v>
      </c>
    </row>
    <row r="2138" spans="1:9">
      <c r="A2138" s="4" t="s">
        <v>4330</v>
      </c>
      <c r="B2138" s="4" t="s">
        <v>4331</v>
      </c>
      <c r="C2138" s="4" t="s">
        <v>51</v>
      </c>
      <c r="D2138" s="2">
        <f>3729184512/(10^6)</f>
        <v>3729.184512</v>
      </c>
      <c r="E2138" s="5" t="s">
        <v>86</v>
      </c>
      <c r="F2138" s="5">
        <v>16.7390232086182</v>
      </c>
      <c r="G2138" s="5">
        <v>18.0101928710938</v>
      </c>
      <c r="H2138" s="5" t="s">
        <v>86</v>
      </c>
      <c r="I2138" t="s">
        <v>57</v>
      </c>
    </row>
    <row r="2139" spans="1:9">
      <c r="A2139" s="4" t="s">
        <v>4332</v>
      </c>
      <c r="B2139" s="4" t="s">
        <v>4333</v>
      </c>
      <c r="C2139" s="4" t="s">
        <v>39</v>
      </c>
      <c r="D2139" s="2">
        <f>3726437120/(10^6)</f>
        <v>3726.43712</v>
      </c>
      <c r="E2139" s="5">
        <v>18.6839084625244</v>
      </c>
      <c r="F2139" s="5">
        <v>1.58963334560394</v>
      </c>
      <c r="G2139" s="5">
        <v>1.93066871166229</v>
      </c>
      <c r="H2139" s="5">
        <v>14.447135925293</v>
      </c>
      <c r="I2139" t="s">
        <v>57</v>
      </c>
    </row>
    <row r="2140" spans="1:9">
      <c r="A2140" s="4" t="s">
        <v>4334</v>
      </c>
      <c r="B2140" s="4" t="s">
        <v>4335</v>
      </c>
      <c r="C2140" s="4" t="s">
        <v>47</v>
      </c>
      <c r="D2140" s="2">
        <f>3724867840/(10^6)</f>
        <v>3724.86784</v>
      </c>
      <c r="E2140" s="5">
        <v>13.1943407058716</v>
      </c>
      <c r="F2140" s="5">
        <v>3.31402373313904</v>
      </c>
      <c r="G2140" s="5">
        <v>1.7596617937088</v>
      </c>
      <c r="H2140" s="5">
        <v>7.73940563201904</v>
      </c>
      <c r="I2140" t="s">
        <v>57</v>
      </c>
    </row>
    <row r="2141" spans="1:9">
      <c r="A2141" s="4" t="s">
        <v>4336</v>
      </c>
      <c r="B2141" s="4" t="s">
        <v>4337</v>
      </c>
      <c r="C2141" s="4" t="s">
        <v>43</v>
      </c>
      <c r="D2141" s="2">
        <f>3724321792/(10^6)</f>
        <v>3724.321792</v>
      </c>
      <c r="E2141" s="5">
        <v>9.36883544921875</v>
      </c>
      <c r="F2141" s="5">
        <v>2.99136543273926</v>
      </c>
      <c r="G2141" s="5">
        <v>2.05291557312012</v>
      </c>
      <c r="H2141" s="5">
        <v>9.63316917419434</v>
      </c>
      <c r="I2141" t="s">
        <v>57</v>
      </c>
    </row>
    <row r="2142" spans="1:9">
      <c r="A2142" s="4" t="s">
        <v>4338</v>
      </c>
      <c r="B2142" s="4" t="s">
        <v>4339</v>
      </c>
      <c r="C2142" s="4" t="s">
        <v>47</v>
      </c>
      <c r="D2142" s="2">
        <f>3720980480/(10^6)</f>
        <v>3720.98048</v>
      </c>
      <c r="E2142" s="5">
        <v>22.1660614013672</v>
      </c>
      <c r="F2142" s="5">
        <v>7.34641361236572</v>
      </c>
      <c r="G2142" s="5">
        <v>2.84656143188477</v>
      </c>
      <c r="H2142" s="5">
        <v>16.0840034484863</v>
      </c>
      <c r="I2142" t="s">
        <v>57</v>
      </c>
    </row>
    <row r="2143" spans="1:9">
      <c r="A2143" s="4" t="s">
        <v>4340</v>
      </c>
      <c r="B2143" s="4" t="s">
        <v>4341</v>
      </c>
      <c r="C2143" s="4" t="s">
        <v>41</v>
      </c>
      <c r="D2143" s="2">
        <f>3711906304/(10^6)</f>
        <v>3711.906304</v>
      </c>
      <c r="E2143" s="5" t="s">
        <v>86</v>
      </c>
      <c r="F2143" s="5">
        <v>2.22052335739136</v>
      </c>
      <c r="G2143" s="5">
        <v>1.40400183200836</v>
      </c>
      <c r="H2143" s="5">
        <v>7.0691385269165</v>
      </c>
      <c r="I2143" t="s">
        <v>57</v>
      </c>
    </row>
    <row r="2144" spans="1:9">
      <c r="A2144" s="4" t="s">
        <v>4342</v>
      </c>
      <c r="B2144" s="4" t="s">
        <v>4343</v>
      </c>
      <c r="C2144" s="4" t="s">
        <v>33</v>
      </c>
      <c r="D2144" s="2">
        <f>3703128576/(10^6)</f>
        <v>3703.128576</v>
      </c>
      <c r="E2144" s="5">
        <v>98.1666946411133</v>
      </c>
      <c r="F2144" s="5" t="s">
        <v>86</v>
      </c>
      <c r="G2144" s="5">
        <v>6.51955032348633</v>
      </c>
      <c r="H2144" s="5">
        <v>22.2326774597168</v>
      </c>
      <c r="I2144" t="s">
        <v>57</v>
      </c>
    </row>
    <row r="2145" spans="1:9">
      <c r="A2145" s="4" t="s">
        <v>4344</v>
      </c>
      <c r="B2145" s="4" t="s">
        <v>4345</v>
      </c>
      <c r="C2145" s="4" t="s">
        <v>43</v>
      </c>
      <c r="D2145" s="2">
        <f>3698078208/(10^6)</f>
        <v>3698.078208</v>
      </c>
      <c r="E2145" s="5">
        <v>10.6544923782349</v>
      </c>
      <c r="F2145" s="5">
        <v>2.24326896667481</v>
      </c>
      <c r="G2145" s="5">
        <v>1.84806859493256</v>
      </c>
      <c r="H2145" s="5" t="s">
        <v>86</v>
      </c>
      <c r="I2145" t="s">
        <v>57</v>
      </c>
    </row>
    <row r="2146" spans="1:9">
      <c r="A2146" s="4" t="s">
        <v>4346</v>
      </c>
      <c r="B2146" s="4" t="s">
        <v>4347</v>
      </c>
      <c r="C2146" s="4" t="s">
        <v>51</v>
      </c>
      <c r="D2146" s="2">
        <f>3695552256/(10^6)</f>
        <v>3695.552256</v>
      </c>
      <c r="E2146" s="5">
        <v>6.63778829574585</v>
      </c>
      <c r="F2146" s="5">
        <v>0.947559773921967</v>
      </c>
      <c r="G2146" s="5">
        <v>0.153191819787025</v>
      </c>
      <c r="H2146" s="5">
        <v>5.40790128707886</v>
      </c>
      <c r="I2146" t="s">
        <v>57</v>
      </c>
    </row>
    <row r="2147" spans="1:9">
      <c r="A2147" s="4" t="s">
        <v>4348</v>
      </c>
      <c r="B2147" s="4" t="s">
        <v>4349</v>
      </c>
      <c r="C2147" s="4" t="s">
        <v>47</v>
      </c>
      <c r="D2147" s="2">
        <f>3693229824/(10^6)</f>
        <v>3693.229824</v>
      </c>
      <c r="E2147" s="5">
        <v>10.8038873672485</v>
      </c>
      <c r="F2147" s="5">
        <v>2.80778217315674</v>
      </c>
      <c r="G2147" s="5">
        <v>0.792768955230713</v>
      </c>
      <c r="H2147" s="5">
        <v>7.63538551330566</v>
      </c>
      <c r="I2147" t="s">
        <v>57</v>
      </c>
    </row>
    <row r="2148" spans="1:9">
      <c r="A2148" s="4" t="s">
        <v>4350</v>
      </c>
      <c r="B2148" s="4" t="s">
        <v>4351</v>
      </c>
      <c r="C2148" s="4" t="s">
        <v>41</v>
      </c>
      <c r="D2148" s="2">
        <f>3688257536/(10^6)</f>
        <v>3688.257536</v>
      </c>
      <c r="E2148" s="5">
        <v>49.7937622070312</v>
      </c>
      <c r="F2148" s="5">
        <v>3.57980704307556</v>
      </c>
      <c r="G2148" s="5">
        <v>6.64487648010254</v>
      </c>
      <c r="H2148" s="5">
        <v>34.860652923584</v>
      </c>
      <c r="I2148" t="s">
        <v>57</v>
      </c>
    </row>
    <row r="2149" spans="1:9">
      <c r="A2149" s="4" t="s">
        <v>4352</v>
      </c>
      <c r="B2149" s="4" t="s">
        <v>4353</v>
      </c>
      <c r="C2149" s="4" t="s">
        <v>35</v>
      </c>
      <c r="D2149" s="2">
        <f>3678488064/(10^6)</f>
        <v>3678.488064</v>
      </c>
      <c r="E2149" s="5">
        <v>25.4303283691406</v>
      </c>
      <c r="F2149" s="5">
        <v>4.75984573364258</v>
      </c>
      <c r="G2149" s="5">
        <v>2.75116109848023</v>
      </c>
      <c r="H2149" s="5">
        <v>15.5149002075195</v>
      </c>
      <c r="I2149" t="s">
        <v>57</v>
      </c>
    </row>
    <row r="2150" spans="1:9">
      <c r="A2150" s="4" t="s">
        <v>4354</v>
      </c>
      <c r="B2150" s="4" t="s">
        <v>4355</v>
      </c>
      <c r="C2150" s="4" t="s">
        <v>43</v>
      </c>
      <c r="D2150" s="2">
        <f>3673602816/(10^6)</f>
        <v>3673.602816</v>
      </c>
      <c r="E2150" s="5">
        <v>21.3341312408447</v>
      </c>
      <c r="F2150" s="5">
        <v>2.84072494506836</v>
      </c>
      <c r="G2150" s="5">
        <v>8.19223022460938</v>
      </c>
      <c r="H2150" s="5" t="s">
        <v>86</v>
      </c>
      <c r="I2150" t="s">
        <v>57</v>
      </c>
    </row>
    <row r="2151" spans="1:9">
      <c r="A2151" s="4" t="s">
        <v>4356</v>
      </c>
      <c r="B2151" s="4" t="s">
        <v>4357</v>
      </c>
      <c r="C2151" s="4" t="s">
        <v>31</v>
      </c>
      <c r="D2151" s="2">
        <f>3666871296/(10^6)</f>
        <v>3666.871296</v>
      </c>
      <c r="E2151" s="5">
        <v>4.64267444610596</v>
      </c>
      <c r="F2151" s="5">
        <v>0.848307430744171</v>
      </c>
      <c r="G2151" s="5">
        <v>0.419356644153595</v>
      </c>
      <c r="H2151" s="5">
        <v>2.96393752098083</v>
      </c>
      <c r="I2151" t="s">
        <v>57</v>
      </c>
    </row>
    <row r="2152" spans="1:9">
      <c r="A2152" s="4" t="s">
        <v>4358</v>
      </c>
      <c r="B2152" s="4" t="s">
        <v>4359</v>
      </c>
      <c r="C2152" s="4" t="s">
        <v>51</v>
      </c>
      <c r="D2152" s="2">
        <f>3665236480/(10^6)</f>
        <v>3665.23648</v>
      </c>
      <c r="E2152" s="5">
        <v>17.9197235107422</v>
      </c>
      <c r="F2152" s="5">
        <v>1.48915588855743</v>
      </c>
      <c r="G2152" s="5">
        <v>2.3428692817688</v>
      </c>
      <c r="H2152" s="5">
        <v>9.48448085784912</v>
      </c>
      <c r="I2152" t="s">
        <v>57</v>
      </c>
    </row>
    <row r="2153" spans="1:9">
      <c r="A2153" s="4" t="s">
        <v>4360</v>
      </c>
      <c r="B2153" s="4" t="s">
        <v>4361</v>
      </c>
      <c r="C2153" s="4" t="s">
        <v>39</v>
      </c>
      <c r="D2153" s="2">
        <f>3664468736/(10^6)</f>
        <v>3664.468736</v>
      </c>
      <c r="E2153" s="5">
        <v>17.8608264923096</v>
      </c>
      <c r="F2153" s="5">
        <v>1.5146222114563</v>
      </c>
      <c r="G2153" s="5">
        <v>1.19952404499054</v>
      </c>
      <c r="H2153" s="5">
        <v>9.39617538452148</v>
      </c>
      <c r="I2153" t="s">
        <v>57</v>
      </c>
    </row>
    <row r="2154" spans="1:9">
      <c r="A2154" s="4" t="s">
        <v>4362</v>
      </c>
      <c r="B2154" s="4" t="s">
        <v>4363</v>
      </c>
      <c r="C2154" s="4" t="s">
        <v>31</v>
      </c>
      <c r="D2154" s="2">
        <f>3655764224/(10^6)</f>
        <v>3655.764224</v>
      </c>
      <c r="E2154" s="5">
        <v>16.2434463500977</v>
      </c>
      <c r="F2154" s="5">
        <v>5.06584548950195</v>
      </c>
      <c r="G2154" s="5">
        <v>0.900823354721069</v>
      </c>
      <c r="H2154" s="5">
        <v>9.94024562835693</v>
      </c>
      <c r="I2154" t="s">
        <v>57</v>
      </c>
    </row>
    <row r="2155" spans="1:9">
      <c r="A2155" s="4" t="s">
        <v>4364</v>
      </c>
      <c r="B2155" s="4" t="s">
        <v>4365</v>
      </c>
      <c r="C2155" s="4" t="s">
        <v>31</v>
      </c>
      <c r="D2155" s="2">
        <f>3654203904/(10^6)</f>
        <v>3654.203904</v>
      </c>
      <c r="E2155" s="5">
        <v>50.1704940795898</v>
      </c>
      <c r="F2155" s="5">
        <v>10.4206199645996</v>
      </c>
      <c r="G2155" s="5">
        <v>8.9066686630249</v>
      </c>
      <c r="H2155" s="5">
        <v>34.7058258056641</v>
      </c>
      <c r="I2155" t="s">
        <v>57</v>
      </c>
    </row>
    <row r="2156" spans="1:9">
      <c r="A2156" s="4" t="s">
        <v>4366</v>
      </c>
      <c r="B2156" s="4" t="s">
        <v>4367</v>
      </c>
      <c r="C2156" s="4" t="s">
        <v>39</v>
      </c>
      <c r="D2156" s="2">
        <f>3637107712/(10^6)</f>
        <v>3637.107712</v>
      </c>
      <c r="E2156" s="5">
        <v>42.1862335205078</v>
      </c>
      <c r="F2156" s="5">
        <v>1.87428152561188</v>
      </c>
      <c r="G2156" s="5">
        <v>1.84008097648621</v>
      </c>
      <c r="H2156" s="5">
        <v>15.4958915710449</v>
      </c>
      <c r="I2156" t="s">
        <v>57</v>
      </c>
    </row>
    <row r="2157" spans="1:9">
      <c r="A2157" s="4" t="s">
        <v>4368</v>
      </c>
      <c r="B2157" s="4" t="s">
        <v>4369</v>
      </c>
      <c r="C2157" s="4" t="s">
        <v>39</v>
      </c>
      <c r="D2157" s="2">
        <f>3637107712/(10^6)</f>
        <v>3637.107712</v>
      </c>
      <c r="E2157" s="5">
        <v>42.1862335205078</v>
      </c>
      <c r="F2157" s="5">
        <v>1.87428152561188</v>
      </c>
      <c r="G2157" s="5">
        <v>1.84008097648621</v>
      </c>
      <c r="H2157" s="5">
        <v>15.4958915710449</v>
      </c>
      <c r="I2157" t="s">
        <v>57</v>
      </c>
    </row>
    <row r="2158" spans="1:9">
      <c r="A2158" s="4" t="s">
        <v>4370</v>
      </c>
      <c r="B2158" s="4" t="s">
        <v>4371</v>
      </c>
      <c r="C2158" s="4" t="s">
        <v>47</v>
      </c>
      <c r="D2158" s="2">
        <f>3635341568/(10^6)</f>
        <v>3635.341568</v>
      </c>
      <c r="E2158" s="5">
        <v>23.4866275787354</v>
      </c>
      <c r="F2158" s="5">
        <v>1.56518173217773</v>
      </c>
      <c r="G2158" s="5">
        <v>1.75493741035461</v>
      </c>
      <c r="H2158" s="5">
        <v>14.0089826583862</v>
      </c>
      <c r="I2158" t="s">
        <v>57</v>
      </c>
    </row>
    <row r="2159" spans="1:9">
      <c r="A2159" s="4" t="s">
        <v>4372</v>
      </c>
      <c r="B2159" s="4" t="s">
        <v>4373</v>
      </c>
      <c r="C2159" s="4" t="s">
        <v>51</v>
      </c>
      <c r="D2159" s="2">
        <f>3630252544/(10^6)</f>
        <v>3630.252544</v>
      </c>
      <c r="E2159" s="5">
        <v>25.3407821655273</v>
      </c>
      <c r="F2159" s="5">
        <v>2.88112688064575</v>
      </c>
      <c r="G2159" s="5">
        <v>2.90894341468811</v>
      </c>
      <c r="H2159" s="5">
        <v>12.5233783721924</v>
      </c>
      <c r="I2159" t="s">
        <v>57</v>
      </c>
    </row>
    <row r="2160" spans="1:9">
      <c r="A2160" s="4" t="s">
        <v>4374</v>
      </c>
      <c r="B2160" s="4" t="s">
        <v>4375</v>
      </c>
      <c r="C2160" s="4" t="s">
        <v>51</v>
      </c>
      <c r="D2160" s="2">
        <f>3627339776/(10^6)</f>
        <v>3627.339776</v>
      </c>
      <c r="E2160" s="5">
        <v>10.6824159622192</v>
      </c>
      <c r="F2160" s="5">
        <v>2.07652568817139</v>
      </c>
      <c r="G2160" s="5">
        <v>0.138413935899734</v>
      </c>
      <c r="H2160" s="5">
        <v>4.35935163497925</v>
      </c>
      <c r="I2160" t="s">
        <v>57</v>
      </c>
    </row>
    <row r="2161" spans="1:9">
      <c r="A2161" s="4" t="s">
        <v>4376</v>
      </c>
      <c r="B2161" s="4" t="s">
        <v>4377</v>
      </c>
      <c r="C2161" s="4" t="s">
        <v>51</v>
      </c>
      <c r="D2161" s="2">
        <f>3612981760/(10^6)</f>
        <v>3612.98176</v>
      </c>
      <c r="E2161" s="5">
        <v>2.90770673751831</v>
      </c>
      <c r="F2161" s="5">
        <v>0.412555992603302</v>
      </c>
      <c r="G2161" s="5">
        <v>0.186370849609375</v>
      </c>
      <c r="H2161" s="5">
        <v>12.301944732666</v>
      </c>
      <c r="I2161" t="s">
        <v>57</v>
      </c>
    </row>
    <row r="2162" spans="1:9">
      <c r="A2162" s="4" t="s">
        <v>4378</v>
      </c>
      <c r="B2162" s="4" t="s">
        <v>4379</v>
      </c>
      <c r="C2162" s="4" t="s">
        <v>47</v>
      </c>
      <c r="D2162" s="2">
        <f>3596465152/(10^6)</f>
        <v>3596.465152</v>
      </c>
      <c r="E2162" s="5" t="s">
        <v>86</v>
      </c>
      <c r="F2162" s="5">
        <v>2.40103816986084</v>
      </c>
      <c r="G2162" s="5">
        <v>2.7232563495636</v>
      </c>
      <c r="H2162" s="5">
        <v>30.2344818115234</v>
      </c>
      <c r="I2162" t="s">
        <v>57</v>
      </c>
    </row>
    <row r="2163" spans="1:9">
      <c r="A2163" s="4" t="s">
        <v>4380</v>
      </c>
      <c r="B2163" s="4" t="s">
        <v>4381</v>
      </c>
      <c r="C2163" s="4" t="s">
        <v>51</v>
      </c>
      <c r="D2163" s="2">
        <f>3585230592/(10^6)</f>
        <v>3585.230592</v>
      </c>
      <c r="E2163" s="5">
        <v>102.901962280273</v>
      </c>
      <c r="F2163" s="5">
        <v>27.1615295410156</v>
      </c>
      <c r="G2163" s="5">
        <v>13.9472904205322</v>
      </c>
      <c r="H2163" s="5">
        <v>106.940231323242</v>
      </c>
      <c r="I2163" t="s">
        <v>57</v>
      </c>
    </row>
    <row r="2164" spans="1:9">
      <c r="A2164" s="4" t="s">
        <v>4382</v>
      </c>
      <c r="B2164" s="4" t="s">
        <v>4383</v>
      </c>
      <c r="C2164" s="4" t="s">
        <v>31</v>
      </c>
      <c r="D2164" s="2">
        <f>3579029248/(10^6)</f>
        <v>3579.029248</v>
      </c>
      <c r="E2164" s="5" t="s">
        <v>86</v>
      </c>
      <c r="F2164" s="5">
        <v>1.11468231678009</v>
      </c>
      <c r="G2164" s="5">
        <v>0.686469733715057</v>
      </c>
      <c r="H2164" s="5">
        <v>5.92001867294312</v>
      </c>
      <c r="I2164" t="s">
        <v>57</v>
      </c>
    </row>
    <row r="2165" spans="1:9">
      <c r="A2165" s="4" t="s">
        <v>4384</v>
      </c>
      <c r="B2165" s="4" t="s">
        <v>4385</v>
      </c>
      <c r="C2165" s="4" t="s">
        <v>47</v>
      </c>
      <c r="D2165" s="2">
        <f>3565292544/(10^6)</f>
        <v>3565.292544</v>
      </c>
      <c r="E2165" s="5">
        <v>18.2692108154297</v>
      </c>
      <c r="F2165" s="5">
        <v>3.06871128082275</v>
      </c>
      <c r="G2165" s="5">
        <v>2.16577291488648</v>
      </c>
      <c r="H2165" s="5">
        <v>14.6259355545044</v>
      </c>
      <c r="I2165" t="s">
        <v>57</v>
      </c>
    </row>
    <row r="2166" spans="1:9">
      <c r="A2166" s="4" t="s">
        <v>4386</v>
      </c>
      <c r="B2166" s="4" t="s">
        <v>4387</v>
      </c>
      <c r="C2166" s="4" t="s">
        <v>51</v>
      </c>
      <c r="D2166" s="2">
        <f>3557564928/(10^6)</f>
        <v>3557.564928</v>
      </c>
      <c r="E2166" s="5">
        <v>68.2835311889648</v>
      </c>
      <c r="F2166" s="5">
        <v>3.16277527809143</v>
      </c>
      <c r="G2166" s="5">
        <v>4.19660997390747</v>
      </c>
      <c r="H2166" s="5">
        <v>27.0480556488037</v>
      </c>
      <c r="I2166" t="s">
        <v>57</v>
      </c>
    </row>
    <row r="2167" spans="1:9">
      <c r="A2167" s="4" t="s">
        <v>4388</v>
      </c>
      <c r="B2167" s="4" t="s">
        <v>4389</v>
      </c>
      <c r="C2167" s="4" t="s">
        <v>47</v>
      </c>
      <c r="D2167" s="2">
        <f>3555326208/(10^6)</f>
        <v>3555.326208</v>
      </c>
      <c r="E2167" s="5">
        <v>13.7320280075073</v>
      </c>
      <c r="F2167" s="5" t="s">
        <v>86</v>
      </c>
      <c r="G2167" s="5">
        <v>3.16903018951416</v>
      </c>
      <c r="H2167" s="5">
        <v>11.8213233947754</v>
      </c>
      <c r="I2167" t="s">
        <v>57</v>
      </c>
    </row>
    <row r="2168" spans="1:9">
      <c r="A2168" s="4" t="s">
        <v>4390</v>
      </c>
      <c r="B2168" s="4" t="s">
        <v>4391</v>
      </c>
      <c r="C2168" s="4" t="s">
        <v>41</v>
      </c>
      <c r="D2168" s="2">
        <f>3525487104/(10^6)</f>
        <v>3525.487104</v>
      </c>
      <c r="E2168" s="5">
        <v>20.6525115966797</v>
      </c>
      <c r="F2168" s="5">
        <v>2.53051567077637</v>
      </c>
      <c r="G2168" s="5">
        <v>2.36204218864441</v>
      </c>
      <c r="H2168" s="5">
        <v>21.3758888244629</v>
      </c>
      <c r="I2168" t="s">
        <v>57</v>
      </c>
    </row>
    <row r="2169" spans="1:9">
      <c r="A2169" s="4" t="s">
        <v>4392</v>
      </c>
      <c r="B2169" s="4" t="s">
        <v>4393</v>
      </c>
      <c r="C2169" s="4" t="s">
        <v>51</v>
      </c>
      <c r="D2169" s="2">
        <f>3524565504/(10^6)</f>
        <v>3524.565504</v>
      </c>
      <c r="E2169" s="5">
        <v>14.48095703125</v>
      </c>
      <c r="F2169" s="5">
        <v>2.71368408203125</v>
      </c>
      <c r="G2169" s="5">
        <v>1.16834127902985</v>
      </c>
      <c r="H2169" s="5">
        <v>8.14767742156982</v>
      </c>
      <c r="I2169" t="s">
        <v>57</v>
      </c>
    </row>
    <row r="2170" spans="1:9">
      <c r="A2170" s="4" t="s">
        <v>4394</v>
      </c>
      <c r="B2170" s="4" t="s">
        <v>4395</v>
      </c>
      <c r="C2170" s="4" t="s">
        <v>43</v>
      </c>
      <c r="D2170" s="2">
        <f>3503969024/(10^6)</f>
        <v>3503.969024</v>
      </c>
      <c r="E2170" s="5">
        <v>10.7846097946167</v>
      </c>
      <c r="F2170" s="5">
        <v>1.20011520385742</v>
      </c>
      <c r="G2170" s="5">
        <v>0.748482644557953</v>
      </c>
      <c r="H2170" s="5" t="s">
        <v>86</v>
      </c>
      <c r="I2170" t="s">
        <v>57</v>
      </c>
    </row>
    <row r="2171" spans="1:9">
      <c r="A2171" s="4" t="s">
        <v>4396</v>
      </c>
      <c r="B2171" s="4" t="s">
        <v>4397</v>
      </c>
      <c r="C2171" s="4" t="s">
        <v>31</v>
      </c>
      <c r="D2171" s="2">
        <f>3486499328/(10^6)</f>
        <v>3486.499328</v>
      </c>
      <c r="E2171" s="5">
        <v>10.3760948181152</v>
      </c>
      <c r="F2171" s="5">
        <v>1.22180461883545</v>
      </c>
      <c r="G2171" s="5">
        <v>0.389384061098099</v>
      </c>
      <c r="H2171" s="5">
        <v>6.87850475311279</v>
      </c>
      <c r="I2171" t="s">
        <v>57</v>
      </c>
    </row>
    <row r="2172" spans="1:9">
      <c r="A2172" s="4" t="s">
        <v>4398</v>
      </c>
      <c r="B2172" s="4" t="s">
        <v>4399</v>
      </c>
      <c r="C2172" s="4" t="s">
        <v>47</v>
      </c>
      <c r="D2172" s="2">
        <f>3480816128/(10^6)</f>
        <v>3480.816128</v>
      </c>
      <c r="E2172" s="5">
        <v>5.48139381408691</v>
      </c>
      <c r="F2172" s="5" t="s">
        <v>86</v>
      </c>
      <c r="G2172" s="5">
        <v>0.269220948219299</v>
      </c>
      <c r="H2172" s="5">
        <v>7.87954044342041</v>
      </c>
      <c r="I2172" t="s">
        <v>57</v>
      </c>
    </row>
    <row r="2173" spans="1:9">
      <c r="A2173" s="4" t="s">
        <v>4400</v>
      </c>
      <c r="B2173" s="4" t="s">
        <v>4401</v>
      </c>
      <c r="C2173" s="4" t="s">
        <v>43</v>
      </c>
      <c r="D2173" s="2">
        <f>3460214528/(10^6)</f>
        <v>3460.214528</v>
      </c>
      <c r="E2173" s="5">
        <v>8.07602405548096</v>
      </c>
      <c r="F2173" s="5">
        <v>0.920292675495148</v>
      </c>
      <c r="G2173" s="5">
        <v>2.31419634819031</v>
      </c>
      <c r="H2173" s="5" t="s">
        <v>86</v>
      </c>
      <c r="I2173" t="s">
        <v>57</v>
      </c>
    </row>
    <row r="2174" spans="1:9">
      <c r="A2174" s="4" t="s">
        <v>4402</v>
      </c>
      <c r="B2174" s="4" t="s">
        <v>4403</v>
      </c>
      <c r="C2174" s="4" t="s">
        <v>39</v>
      </c>
      <c r="D2174" s="2">
        <f>3434062592/(10^6)</f>
        <v>3434.062592</v>
      </c>
      <c r="E2174" s="5" t="s">
        <v>86</v>
      </c>
      <c r="F2174" s="5">
        <v>1.71399903297424</v>
      </c>
      <c r="G2174" s="5">
        <v>3.42318201065064</v>
      </c>
      <c r="H2174" s="5">
        <v>16.9930191040039</v>
      </c>
      <c r="I2174" t="s">
        <v>57</v>
      </c>
    </row>
    <row r="2175" spans="1:9">
      <c r="A2175" s="4" t="s">
        <v>4404</v>
      </c>
      <c r="B2175" s="4" t="s">
        <v>4405</v>
      </c>
      <c r="C2175" s="4" t="s">
        <v>37</v>
      </c>
      <c r="D2175" s="2">
        <f>3431636224/(10^6)</f>
        <v>3431.636224</v>
      </c>
      <c r="E2175" s="5">
        <v>12.8551893234253</v>
      </c>
      <c r="F2175" s="5">
        <v>2.18489265441894</v>
      </c>
      <c r="G2175" s="5">
        <v>0.564252197742462</v>
      </c>
      <c r="H2175" s="5">
        <v>6.92887687683105</v>
      </c>
      <c r="I2175" t="s">
        <v>57</v>
      </c>
    </row>
    <row r="2176" spans="1:9">
      <c r="A2176" s="4" t="s">
        <v>4406</v>
      </c>
      <c r="B2176" s="4" t="s">
        <v>4407</v>
      </c>
      <c r="C2176" s="4" t="s">
        <v>47</v>
      </c>
      <c r="D2176" s="2">
        <f>3430843136/(10^6)</f>
        <v>3430.843136</v>
      </c>
      <c r="E2176" s="5">
        <v>12.8959703445435</v>
      </c>
      <c r="F2176" s="5">
        <v>2.37386798858643</v>
      </c>
      <c r="G2176" s="5">
        <v>4.37309312820435</v>
      </c>
      <c r="H2176" s="5">
        <v>11.6409959793091</v>
      </c>
      <c r="I2176" t="s">
        <v>57</v>
      </c>
    </row>
    <row r="2177" spans="1:9">
      <c r="A2177" s="4" t="s">
        <v>4408</v>
      </c>
      <c r="B2177" s="4" t="s">
        <v>4409</v>
      </c>
      <c r="C2177" s="4" t="s">
        <v>51</v>
      </c>
      <c r="D2177" s="2">
        <f>3424054272/(10^6)</f>
        <v>3424.054272</v>
      </c>
      <c r="E2177" s="5" t="s">
        <v>86</v>
      </c>
      <c r="F2177" s="5">
        <v>9.84282302856445</v>
      </c>
      <c r="G2177" s="5">
        <v>9.19749069213867</v>
      </c>
      <c r="H2177" s="5">
        <v>67.2716293334961</v>
      </c>
      <c r="I2177" t="s">
        <v>57</v>
      </c>
    </row>
    <row r="2178" spans="1:9">
      <c r="A2178" s="4" t="s">
        <v>4410</v>
      </c>
      <c r="B2178" s="4" t="s">
        <v>4411</v>
      </c>
      <c r="C2178" s="4" t="s">
        <v>51</v>
      </c>
      <c r="D2178" s="2">
        <f>3418572800/(10^6)</f>
        <v>3418.5728</v>
      </c>
      <c r="E2178" s="5">
        <v>40.7746353149414</v>
      </c>
      <c r="F2178" s="5">
        <v>23.9104385375977</v>
      </c>
      <c r="G2178" s="5">
        <v>5.58632612228394</v>
      </c>
      <c r="H2178" s="5">
        <v>25.3731060028076</v>
      </c>
      <c r="I2178" t="s">
        <v>57</v>
      </c>
    </row>
    <row r="2179" spans="1:9">
      <c r="A2179" s="4" t="s">
        <v>4412</v>
      </c>
      <c r="B2179" s="4" t="s">
        <v>4413</v>
      </c>
      <c r="C2179" s="4" t="s">
        <v>43</v>
      </c>
      <c r="D2179" s="2">
        <f>3399936512/(10^6)</f>
        <v>3399.936512</v>
      </c>
      <c r="E2179" s="5">
        <v>39.8990211486816</v>
      </c>
      <c r="F2179" s="5">
        <v>5.90771961212158</v>
      </c>
      <c r="G2179" s="5">
        <v>6.21246147155762</v>
      </c>
      <c r="H2179" s="5">
        <v>36.7344741821289</v>
      </c>
      <c r="I2179" t="s">
        <v>57</v>
      </c>
    </row>
    <row r="2180" spans="1:9">
      <c r="A2180" s="4" t="s">
        <v>4414</v>
      </c>
      <c r="B2180" s="4" t="s">
        <v>4415</v>
      </c>
      <c r="C2180" s="4" t="s">
        <v>35</v>
      </c>
      <c r="D2180" s="2">
        <f>3382267392/(10^6)</f>
        <v>3382.267392</v>
      </c>
      <c r="E2180" s="5">
        <v>16.0183696746826</v>
      </c>
      <c r="F2180" s="5" t="s">
        <v>86</v>
      </c>
      <c r="G2180" s="5">
        <v>0.254351913928986</v>
      </c>
      <c r="H2180" s="5">
        <v>8.59038162231445</v>
      </c>
      <c r="I2180" t="s">
        <v>57</v>
      </c>
    </row>
    <row r="2181" spans="1:9">
      <c r="A2181" s="4" t="s">
        <v>4416</v>
      </c>
      <c r="B2181" s="4" t="s">
        <v>4417</v>
      </c>
      <c r="C2181" s="4" t="s">
        <v>47</v>
      </c>
      <c r="D2181" s="2">
        <f>3364351232/(10^6)</f>
        <v>3364.351232</v>
      </c>
      <c r="E2181" s="5">
        <v>22.5521659851074</v>
      </c>
      <c r="F2181" s="5">
        <v>4.39634418487549</v>
      </c>
      <c r="G2181" s="5">
        <v>1.6104394197464</v>
      </c>
      <c r="H2181" s="5">
        <v>12.662335395813</v>
      </c>
      <c r="I2181" t="s">
        <v>57</v>
      </c>
    </row>
    <row r="2182" spans="1:9">
      <c r="A2182" s="4" t="s">
        <v>4418</v>
      </c>
      <c r="B2182" s="4" t="s">
        <v>4419</v>
      </c>
      <c r="C2182" s="4" t="s">
        <v>51</v>
      </c>
      <c r="D2182" s="2">
        <f>3363547136/(10^6)</f>
        <v>3363.547136</v>
      </c>
      <c r="E2182" s="5">
        <v>62.467227935791</v>
      </c>
      <c r="F2182" s="5">
        <v>16.181941986084</v>
      </c>
      <c r="G2182" s="5">
        <v>2.27500081062317</v>
      </c>
      <c r="H2182" s="5">
        <v>23.7524089813232</v>
      </c>
      <c r="I2182" t="s">
        <v>57</v>
      </c>
    </row>
    <row r="2183" spans="1:9">
      <c r="A2183" s="4" t="s">
        <v>4420</v>
      </c>
      <c r="B2183" s="4" t="s">
        <v>4421</v>
      </c>
      <c r="C2183" s="4" t="s">
        <v>31</v>
      </c>
      <c r="D2183" s="2">
        <f>3348273920/(10^6)</f>
        <v>3348.27392</v>
      </c>
      <c r="E2183" s="5">
        <v>48.5048217773438</v>
      </c>
      <c r="F2183" s="5">
        <v>0.444303750991821</v>
      </c>
      <c r="G2183" s="5">
        <v>0.777244508266449</v>
      </c>
      <c r="H2183" s="5">
        <v>15.262601852417</v>
      </c>
      <c r="I2183" t="s">
        <v>57</v>
      </c>
    </row>
    <row r="2184" spans="1:9">
      <c r="A2184" s="4" t="s">
        <v>4422</v>
      </c>
      <c r="B2184" s="4" t="s">
        <v>4423</v>
      </c>
      <c r="C2184" s="4" t="s">
        <v>43</v>
      </c>
      <c r="D2184" s="2">
        <f>3328332800/(10^6)</f>
        <v>3328.3328</v>
      </c>
      <c r="E2184" s="5">
        <v>7.61455821990967</v>
      </c>
      <c r="F2184" s="5">
        <v>0.95343405008316</v>
      </c>
      <c r="G2184" s="5">
        <v>1.96754360198975</v>
      </c>
      <c r="H2184" s="5" t="s">
        <v>86</v>
      </c>
      <c r="I2184" t="s">
        <v>57</v>
      </c>
    </row>
    <row r="2185" spans="1:9">
      <c r="A2185" s="4" t="s">
        <v>4424</v>
      </c>
      <c r="B2185" s="4" t="s">
        <v>4425</v>
      </c>
      <c r="C2185" s="4" t="s">
        <v>43</v>
      </c>
      <c r="D2185" s="2">
        <f>3328332800/(10^6)</f>
        <v>3328.3328</v>
      </c>
      <c r="E2185" s="5">
        <v>7.61455821990967</v>
      </c>
      <c r="F2185" s="5">
        <v>0.95343405008316</v>
      </c>
      <c r="G2185" s="5">
        <v>1.96754360198975</v>
      </c>
      <c r="H2185" s="5" t="s">
        <v>86</v>
      </c>
      <c r="I2185" t="s">
        <v>57</v>
      </c>
    </row>
    <row r="2186" spans="1:9">
      <c r="A2186" s="4" t="s">
        <v>4426</v>
      </c>
      <c r="B2186" s="4" t="s">
        <v>4427</v>
      </c>
      <c r="C2186" s="4" t="s">
        <v>41</v>
      </c>
      <c r="D2186" s="2">
        <f>3317554688/(10^6)</f>
        <v>3317.554688</v>
      </c>
      <c r="E2186" s="5" t="s">
        <v>86</v>
      </c>
      <c r="F2186" s="5">
        <v>7.88703060150146</v>
      </c>
      <c r="G2186" s="5">
        <v>847.278869628906</v>
      </c>
      <c r="H2186" s="5" t="s">
        <v>86</v>
      </c>
      <c r="I2186" t="s">
        <v>57</v>
      </c>
    </row>
    <row r="2187" spans="1:9">
      <c r="A2187" s="4" t="s">
        <v>4428</v>
      </c>
      <c r="B2187" s="4" t="s">
        <v>4429</v>
      </c>
      <c r="C2187" s="4" t="s">
        <v>51</v>
      </c>
      <c r="D2187" s="2">
        <f>3304164608/(10^6)</f>
        <v>3304.164608</v>
      </c>
      <c r="E2187" s="5" t="s">
        <v>86</v>
      </c>
      <c r="F2187" s="5">
        <v>4.03588581085205</v>
      </c>
      <c r="G2187" s="5">
        <v>1.95636129379273</v>
      </c>
      <c r="H2187" s="5" t="s">
        <v>86</v>
      </c>
      <c r="I2187" t="s">
        <v>57</v>
      </c>
    </row>
    <row r="2188" spans="1:9">
      <c r="A2188" s="4" t="s">
        <v>4430</v>
      </c>
      <c r="B2188" s="4" t="s">
        <v>4431</v>
      </c>
      <c r="C2188" s="4" t="s">
        <v>35</v>
      </c>
      <c r="D2188" s="2">
        <f>3301652736/(10^6)</f>
        <v>3301.652736</v>
      </c>
      <c r="E2188" s="5">
        <v>11.6823110580444</v>
      </c>
      <c r="F2188" s="5">
        <v>0.932377994060516</v>
      </c>
      <c r="G2188" s="5">
        <v>0.483447641134262</v>
      </c>
      <c r="H2188" s="5">
        <v>8.73329639434814</v>
      </c>
      <c r="I2188" t="s">
        <v>57</v>
      </c>
    </row>
    <row r="2189" spans="1:9">
      <c r="A2189" s="4" t="s">
        <v>4432</v>
      </c>
      <c r="B2189" s="4" t="s">
        <v>4433</v>
      </c>
      <c r="C2189" s="4" t="s">
        <v>41</v>
      </c>
      <c r="D2189" s="2">
        <f>3300825088/(10^6)</f>
        <v>3300.825088</v>
      </c>
      <c r="E2189" s="5" t="s">
        <v>86</v>
      </c>
      <c r="F2189" s="5">
        <v>8.07426738739014</v>
      </c>
      <c r="G2189" s="5">
        <v>69.1072235107422</v>
      </c>
      <c r="H2189" s="5" t="s">
        <v>86</v>
      </c>
      <c r="I2189" t="s">
        <v>57</v>
      </c>
    </row>
    <row r="2190" spans="1:9">
      <c r="A2190" s="4" t="s">
        <v>4434</v>
      </c>
      <c r="B2190" s="4" t="s">
        <v>4435</v>
      </c>
      <c r="C2190" s="4" t="s">
        <v>51</v>
      </c>
      <c r="D2190" s="2">
        <f>3295483904/(10^6)</f>
        <v>3295.483904</v>
      </c>
      <c r="E2190" s="5" t="s">
        <v>86</v>
      </c>
      <c r="F2190" s="5" t="s">
        <v>86</v>
      </c>
      <c r="G2190" s="5">
        <v>2.54974722862244</v>
      </c>
      <c r="H2190" s="5" t="s">
        <v>86</v>
      </c>
      <c r="I2190" t="s">
        <v>57</v>
      </c>
    </row>
    <row r="2191" spans="1:9">
      <c r="A2191" s="4" t="s">
        <v>4436</v>
      </c>
      <c r="B2191" s="4" t="s">
        <v>4437</v>
      </c>
      <c r="C2191" s="4" t="s">
        <v>51</v>
      </c>
      <c r="D2191" s="2">
        <f>3289238272/(10^6)</f>
        <v>3289.238272</v>
      </c>
      <c r="E2191" s="5">
        <v>48.910327911377</v>
      </c>
      <c r="F2191" s="5">
        <v>8.51536178588867</v>
      </c>
      <c r="G2191" s="5">
        <v>10.2238206863403</v>
      </c>
      <c r="H2191" s="5">
        <v>24.883752822876</v>
      </c>
      <c r="I2191" t="s">
        <v>57</v>
      </c>
    </row>
    <row r="2192" spans="1:9">
      <c r="A2192" s="4" t="s">
        <v>4438</v>
      </c>
      <c r="B2192" s="4" t="s">
        <v>4439</v>
      </c>
      <c r="C2192" s="4" t="s">
        <v>31</v>
      </c>
      <c r="D2192" s="2">
        <f>3281304064/(10^6)</f>
        <v>3281.304064</v>
      </c>
      <c r="E2192" s="5">
        <v>10.3767833709717</v>
      </c>
      <c r="F2192" s="5">
        <v>1.64706492424011</v>
      </c>
      <c r="G2192" s="5">
        <v>0.916957437992096</v>
      </c>
      <c r="H2192" s="5">
        <v>6.53193473815918</v>
      </c>
      <c r="I2192" t="s">
        <v>57</v>
      </c>
    </row>
    <row r="2193" spans="1:9">
      <c r="A2193" s="4" t="s">
        <v>4440</v>
      </c>
      <c r="B2193" s="4" t="s">
        <v>4441</v>
      </c>
      <c r="C2193" s="4" t="s">
        <v>51</v>
      </c>
      <c r="D2193" s="2">
        <f>3276425216/(10^6)</f>
        <v>3276.425216</v>
      </c>
      <c r="E2193" s="5">
        <v>18.4569187164307</v>
      </c>
      <c r="F2193" s="5">
        <v>2.44454717636108</v>
      </c>
      <c r="G2193" s="5">
        <v>2.33575534820557</v>
      </c>
      <c r="H2193" s="5">
        <v>8.08733081817627</v>
      </c>
      <c r="I2193" t="s">
        <v>57</v>
      </c>
    </row>
    <row r="2194" spans="1:9">
      <c r="A2194" s="4" t="s">
        <v>4442</v>
      </c>
      <c r="B2194" s="4" t="s">
        <v>4443</v>
      </c>
      <c r="C2194" s="4" t="s">
        <v>31</v>
      </c>
      <c r="D2194" s="2">
        <f>3276232448/(10^6)</f>
        <v>3276.232448</v>
      </c>
      <c r="E2194" s="5" t="s">
        <v>86</v>
      </c>
      <c r="F2194" s="5">
        <v>6.44729089736938</v>
      </c>
      <c r="G2194" s="5">
        <v>569.840698242188</v>
      </c>
      <c r="H2194" s="5" t="s">
        <v>86</v>
      </c>
      <c r="I2194" t="s">
        <v>57</v>
      </c>
    </row>
    <row r="2195" spans="1:9">
      <c r="A2195" s="4" t="s">
        <v>4444</v>
      </c>
      <c r="B2195" s="4" t="s">
        <v>4445</v>
      </c>
      <c r="C2195" s="4" t="s">
        <v>31</v>
      </c>
      <c r="D2195" s="2">
        <f>3255154944/(10^6)</f>
        <v>3255.154944</v>
      </c>
      <c r="E2195" s="5">
        <v>10.1053075790405</v>
      </c>
      <c r="F2195" s="5">
        <v>1.58126759529114</v>
      </c>
      <c r="G2195" s="5">
        <v>0.354483008384705</v>
      </c>
      <c r="H2195" s="5">
        <v>5.59578037261963</v>
      </c>
      <c r="I2195" t="s">
        <v>57</v>
      </c>
    </row>
    <row r="2196" spans="1:9">
      <c r="A2196" s="4" t="s">
        <v>4446</v>
      </c>
      <c r="B2196" s="4" t="s">
        <v>4447</v>
      </c>
      <c r="C2196" s="4" t="s">
        <v>31</v>
      </c>
      <c r="D2196" s="2">
        <f>3255068416/(10^6)</f>
        <v>3255.068416</v>
      </c>
      <c r="E2196" s="5">
        <v>8.87615299224854</v>
      </c>
      <c r="F2196" s="5">
        <v>1.67199766635895</v>
      </c>
      <c r="G2196" s="5">
        <v>1.08928453922272</v>
      </c>
      <c r="H2196" s="5">
        <v>7.64216566085815</v>
      </c>
      <c r="I2196" t="s">
        <v>57</v>
      </c>
    </row>
    <row r="2197" spans="1:9">
      <c r="A2197" s="4" t="s">
        <v>4448</v>
      </c>
      <c r="B2197" s="4" t="s">
        <v>4449</v>
      </c>
      <c r="C2197" s="4" t="s">
        <v>43</v>
      </c>
      <c r="D2197" s="2">
        <f>3247859968/(10^6)</f>
        <v>3247.859968</v>
      </c>
      <c r="E2197" s="5">
        <v>29.7500743865967</v>
      </c>
      <c r="F2197" s="5">
        <v>20.0967426300049</v>
      </c>
      <c r="G2197" s="5">
        <v>5.68448925018311</v>
      </c>
      <c r="H2197" s="5">
        <v>27.7003784179688</v>
      </c>
      <c r="I2197" t="s">
        <v>57</v>
      </c>
    </row>
    <row r="2198" spans="1:9">
      <c r="A2198" s="4" t="s">
        <v>4450</v>
      </c>
      <c r="B2198" s="4" t="s">
        <v>4451</v>
      </c>
      <c r="C2198" s="4" t="s">
        <v>47</v>
      </c>
      <c r="D2198" s="2">
        <f>3246162432/(10^6)</f>
        <v>3246.162432</v>
      </c>
      <c r="E2198" s="5">
        <v>9.30185890197754</v>
      </c>
      <c r="F2198" s="5">
        <v>2.62410140037537</v>
      </c>
      <c r="G2198" s="5">
        <v>0.556313633918762</v>
      </c>
      <c r="H2198" s="5">
        <v>4.81415462493896</v>
      </c>
      <c r="I2198" t="s">
        <v>57</v>
      </c>
    </row>
    <row r="2199" spans="1:9">
      <c r="A2199" s="4" t="s">
        <v>4452</v>
      </c>
      <c r="B2199" s="4" t="s">
        <v>4453</v>
      </c>
      <c r="C2199" s="4" t="s">
        <v>43</v>
      </c>
      <c r="D2199" s="2">
        <f>3241448192/(10^6)</f>
        <v>3241.448192</v>
      </c>
      <c r="E2199" s="5">
        <v>2.93942999839783</v>
      </c>
      <c r="F2199" s="5">
        <v>0.32522839307785</v>
      </c>
      <c r="G2199" s="5">
        <v>0.279098242521286</v>
      </c>
      <c r="H2199" s="5" t="s">
        <v>86</v>
      </c>
      <c r="I2199" t="s">
        <v>57</v>
      </c>
    </row>
    <row r="2200" spans="1:9">
      <c r="A2200" s="4" t="s">
        <v>4454</v>
      </c>
      <c r="B2200" s="4" t="s">
        <v>4455</v>
      </c>
      <c r="C2200" s="4" t="s">
        <v>39</v>
      </c>
      <c r="D2200" s="2">
        <f>3218055936/(10^6)</f>
        <v>3218.055936</v>
      </c>
      <c r="E2200" s="5">
        <v>36.8470039367676</v>
      </c>
      <c r="F2200" s="5">
        <v>2.31112456321716</v>
      </c>
      <c r="G2200" s="5">
        <v>4.29913759231567</v>
      </c>
      <c r="H2200" s="5">
        <v>13.0232105255127</v>
      </c>
      <c r="I2200" t="s">
        <v>57</v>
      </c>
    </row>
    <row r="2201" spans="1:9">
      <c r="A2201" s="4" t="s">
        <v>4456</v>
      </c>
      <c r="B2201" s="4" t="s">
        <v>4457</v>
      </c>
      <c r="C2201" s="4" t="s">
        <v>31</v>
      </c>
      <c r="D2201" s="2">
        <f>3217660160/(10^6)</f>
        <v>3217.66016</v>
      </c>
      <c r="E2201" s="5">
        <v>31.0956344604492</v>
      </c>
      <c r="F2201" s="5">
        <v>5.47949409484863</v>
      </c>
      <c r="G2201" s="5">
        <v>1.59272706508637</v>
      </c>
      <c r="H2201" s="5">
        <v>9.29768753051758</v>
      </c>
      <c r="I2201" t="s">
        <v>57</v>
      </c>
    </row>
    <row r="2202" spans="1:9">
      <c r="A2202" s="4" t="s">
        <v>4458</v>
      </c>
      <c r="B2202" s="4" t="s">
        <v>4459</v>
      </c>
      <c r="C2202" s="4" t="s">
        <v>31</v>
      </c>
      <c r="D2202" s="2">
        <f>3207921152/(10^6)</f>
        <v>3207.921152</v>
      </c>
      <c r="E2202" s="5">
        <v>10.8168487548828</v>
      </c>
      <c r="F2202" s="5">
        <v>2.22513246536255</v>
      </c>
      <c r="G2202" s="5">
        <v>1.38769817352295</v>
      </c>
      <c r="H2202" s="5">
        <v>7.33193874359131</v>
      </c>
      <c r="I2202" t="s">
        <v>57</v>
      </c>
    </row>
    <row r="2203" spans="1:9">
      <c r="A2203" s="4" t="s">
        <v>4460</v>
      </c>
      <c r="B2203" s="4" t="s">
        <v>4461</v>
      </c>
      <c r="C2203" s="4" t="s">
        <v>39</v>
      </c>
      <c r="D2203" s="2">
        <f>3206583552/(10^6)</f>
        <v>3206.583552</v>
      </c>
      <c r="E2203" s="5">
        <v>19.3578014373779</v>
      </c>
      <c r="F2203" s="5">
        <v>1.42900443077087</v>
      </c>
      <c r="G2203" s="5">
        <v>2.57843208312988</v>
      </c>
      <c r="H2203" s="5">
        <v>12.0938177108765</v>
      </c>
      <c r="I2203" t="s">
        <v>57</v>
      </c>
    </row>
    <row r="2204" spans="1:9">
      <c r="A2204" s="4" t="s">
        <v>4462</v>
      </c>
      <c r="B2204" s="4" t="s">
        <v>4463</v>
      </c>
      <c r="C2204" s="4" t="s">
        <v>41</v>
      </c>
      <c r="D2204" s="2">
        <f>3205947904/(10^6)</f>
        <v>3205.947904</v>
      </c>
      <c r="E2204" s="5" t="s">
        <v>86</v>
      </c>
      <c r="F2204" s="5">
        <v>5.56624698638916</v>
      </c>
      <c r="G2204" s="5">
        <v>20.6347160339355</v>
      </c>
      <c r="H2204" s="5" t="s">
        <v>86</v>
      </c>
      <c r="I2204" t="s">
        <v>57</v>
      </c>
    </row>
    <row r="2205" spans="1:9">
      <c r="A2205" s="4" t="s">
        <v>4464</v>
      </c>
      <c r="B2205" s="4" t="s">
        <v>4465</v>
      </c>
      <c r="C2205" s="4" t="s">
        <v>37</v>
      </c>
      <c r="D2205" s="2">
        <f>3174848512/(10^6)</f>
        <v>3174.848512</v>
      </c>
      <c r="E2205" s="5">
        <v>8.67233467102051</v>
      </c>
      <c r="F2205" s="5">
        <v>1.18867635726929</v>
      </c>
      <c r="G2205" s="5">
        <v>0.432897359132767</v>
      </c>
      <c r="H2205" s="5">
        <v>6.28714752197266</v>
      </c>
      <c r="I2205" t="s">
        <v>57</v>
      </c>
    </row>
    <row r="2206" spans="1:9">
      <c r="A2206" s="4" t="s">
        <v>4466</v>
      </c>
      <c r="B2206" s="4" t="s">
        <v>4467</v>
      </c>
      <c r="C2206" s="4" t="s">
        <v>39</v>
      </c>
      <c r="D2206" s="2">
        <f>3154283520/(10^6)</f>
        <v>3154.28352</v>
      </c>
      <c r="E2206" s="5">
        <v>18.2657566070557</v>
      </c>
      <c r="F2206" s="5">
        <v>1.87900602817535</v>
      </c>
      <c r="G2206" s="5">
        <v>2.17451024055481</v>
      </c>
      <c r="H2206" s="5">
        <v>13.8624811172485</v>
      </c>
      <c r="I2206" t="s">
        <v>57</v>
      </c>
    </row>
    <row r="2207" spans="1:9">
      <c r="A2207" s="4" t="s">
        <v>4468</v>
      </c>
      <c r="B2207" s="4" t="s">
        <v>4469</v>
      </c>
      <c r="C2207" s="4" t="s">
        <v>43</v>
      </c>
      <c r="D2207" s="2">
        <f>3148284160/(10^6)</f>
        <v>3148.28416</v>
      </c>
      <c r="E2207" s="5">
        <v>13.4571723937988</v>
      </c>
      <c r="F2207" s="5">
        <v>1.55468916893005</v>
      </c>
      <c r="G2207" s="5">
        <v>4.30811357498169</v>
      </c>
      <c r="H2207" s="5" t="s">
        <v>86</v>
      </c>
      <c r="I2207" t="s">
        <v>57</v>
      </c>
    </row>
    <row r="2208" spans="1:9">
      <c r="A2208" s="4" t="s">
        <v>4470</v>
      </c>
      <c r="B2208" s="4" t="s">
        <v>4471</v>
      </c>
      <c r="C2208" s="4" t="s">
        <v>43</v>
      </c>
      <c r="D2208" s="2">
        <f>3147136512/(10^6)</f>
        <v>3147.136512</v>
      </c>
      <c r="E2208" s="5">
        <v>6.30660581588745</v>
      </c>
      <c r="F2208" s="5">
        <v>1.0640732049942</v>
      </c>
      <c r="G2208" s="5">
        <v>2.44309282302856</v>
      </c>
      <c r="H2208" s="5" t="s">
        <v>86</v>
      </c>
      <c r="I2208" t="s">
        <v>57</v>
      </c>
    </row>
    <row r="2209" spans="1:9">
      <c r="A2209" s="4" t="s">
        <v>4472</v>
      </c>
      <c r="B2209" s="4" t="s">
        <v>4473</v>
      </c>
      <c r="C2209" s="4" t="s">
        <v>31</v>
      </c>
      <c r="D2209" s="2">
        <f>3145659392/(10^6)</f>
        <v>3145.659392</v>
      </c>
      <c r="E2209" s="5">
        <v>13.9299039840698</v>
      </c>
      <c r="F2209" s="5">
        <v>1.40654957294464</v>
      </c>
      <c r="G2209" s="5">
        <v>0.662491858005524</v>
      </c>
      <c r="H2209" s="5">
        <v>5.66437911987305</v>
      </c>
      <c r="I2209" t="s">
        <v>57</v>
      </c>
    </row>
    <row r="2210" spans="1:9">
      <c r="A2210" s="4" t="s">
        <v>4474</v>
      </c>
      <c r="B2210" s="4" t="s">
        <v>4475</v>
      </c>
      <c r="C2210" s="4" t="s">
        <v>39</v>
      </c>
      <c r="D2210" s="2">
        <f>3143324160/(10^6)</f>
        <v>3143.32416</v>
      </c>
      <c r="E2210" s="5">
        <v>19.2231140136719</v>
      </c>
      <c r="F2210" s="5">
        <v>1.61946332454681</v>
      </c>
      <c r="G2210" s="5">
        <v>1.23548102378845</v>
      </c>
      <c r="H2210" s="5">
        <v>18.7660636901855</v>
      </c>
      <c r="I2210" t="s">
        <v>57</v>
      </c>
    </row>
    <row r="2211" spans="1:9">
      <c r="A2211" s="4" t="s">
        <v>4476</v>
      </c>
      <c r="B2211" s="4" t="s">
        <v>4477</v>
      </c>
      <c r="C2211" s="4" t="s">
        <v>41</v>
      </c>
      <c r="D2211" s="2">
        <f>3139509504/(10^6)</f>
        <v>3139.509504</v>
      </c>
      <c r="E2211" s="5" t="s">
        <v>86</v>
      </c>
      <c r="F2211" s="5">
        <v>6.16593790054321</v>
      </c>
      <c r="G2211" s="5">
        <v>42.8849105834961</v>
      </c>
      <c r="H2211" s="5" t="s">
        <v>86</v>
      </c>
      <c r="I2211" t="s">
        <v>57</v>
      </c>
    </row>
    <row r="2212" spans="1:9">
      <c r="A2212" s="4" t="s">
        <v>4478</v>
      </c>
      <c r="B2212" s="4" t="s">
        <v>4479</v>
      </c>
      <c r="C2212" s="4" t="s">
        <v>47</v>
      </c>
      <c r="D2212" s="2">
        <f>3138063872/(10^6)</f>
        <v>3138.063872</v>
      </c>
      <c r="E2212" s="5">
        <v>23.3930759429932</v>
      </c>
      <c r="F2212" s="5">
        <v>6.1278829574585</v>
      </c>
      <c r="G2212" s="5">
        <v>1.89305102825165</v>
      </c>
      <c r="H2212" s="5">
        <v>13.7087688446045</v>
      </c>
      <c r="I2212" t="s">
        <v>57</v>
      </c>
    </row>
    <row r="2213" spans="1:9">
      <c r="A2213" s="4" t="s">
        <v>4480</v>
      </c>
      <c r="B2213" s="4" t="s">
        <v>4481</v>
      </c>
      <c r="C2213" s="4" t="s">
        <v>51</v>
      </c>
      <c r="D2213" s="2">
        <f>3136534528/(10^6)</f>
        <v>3136.534528</v>
      </c>
      <c r="E2213" s="5" t="s">
        <v>86</v>
      </c>
      <c r="F2213" s="5">
        <v>0.854613602161407</v>
      </c>
      <c r="G2213" s="5">
        <v>1.51621270179748</v>
      </c>
      <c r="H2213" s="5">
        <v>4.37137651443481</v>
      </c>
      <c r="I2213" t="s">
        <v>57</v>
      </c>
    </row>
    <row r="2214" spans="1:9">
      <c r="A2214" s="4" t="s">
        <v>4482</v>
      </c>
      <c r="B2214" s="4" t="s">
        <v>4483</v>
      </c>
      <c r="C2214" s="4" t="s">
        <v>41</v>
      </c>
      <c r="D2214" s="2">
        <f>3130085888/(10^6)</f>
        <v>3130.085888</v>
      </c>
      <c r="E2214" s="5" t="s">
        <v>86</v>
      </c>
      <c r="F2214" s="5">
        <v>6.83958435058594</v>
      </c>
      <c r="G2214" s="5">
        <v>111.420036315918</v>
      </c>
      <c r="H2214" s="5" t="s">
        <v>86</v>
      </c>
      <c r="I2214" t="s">
        <v>57</v>
      </c>
    </row>
    <row r="2215" spans="1:9">
      <c r="A2215" s="4" t="s">
        <v>4484</v>
      </c>
      <c r="B2215" s="4" t="s">
        <v>4485</v>
      </c>
      <c r="C2215" s="4" t="s">
        <v>51</v>
      </c>
      <c r="D2215" s="2">
        <f>3128769024/(10^6)</f>
        <v>3128.769024</v>
      </c>
      <c r="E2215" s="5">
        <v>23.4459743499756</v>
      </c>
      <c r="F2215" s="5">
        <v>3.03538751602173</v>
      </c>
      <c r="G2215" s="5">
        <v>2.83163738250732</v>
      </c>
      <c r="H2215" s="5">
        <v>14.8124914169312</v>
      </c>
      <c r="I2215" t="s">
        <v>57</v>
      </c>
    </row>
    <row r="2216" spans="1:9">
      <c r="A2216" s="4" t="s">
        <v>4486</v>
      </c>
      <c r="B2216" s="4" t="s">
        <v>4487</v>
      </c>
      <c r="C2216" s="4" t="s">
        <v>39</v>
      </c>
      <c r="D2216" s="2">
        <f>3127445248/(10^6)</f>
        <v>3127.445248</v>
      </c>
      <c r="E2216" s="5">
        <v>10.9692373275757</v>
      </c>
      <c r="F2216" s="5">
        <v>1.43304598331451</v>
      </c>
      <c r="G2216" s="5">
        <v>1.89331781864166</v>
      </c>
      <c r="H2216" s="5">
        <v>6.85714769363403</v>
      </c>
      <c r="I2216" t="s">
        <v>57</v>
      </c>
    </row>
    <row r="2217" spans="1:9">
      <c r="A2217" s="4" t="s">
        <v>4488</v>
      </c>
      <c r="B2217" s="4" t="s">
        <v>4489</v>
      </c>
      <c r="C2217" s="4" t="s">
        <v>31</v>
      </c>
      <c r="D2217" s="2">
        <f>3116090624/(10^6)</f>
        <v>3116.090624</v>
      </c>
      <c r="E2217" s="5">
        <v>5.34981679916382</v>
      </c>
      <c r="F2217" s="5">
        <v>1.77086520195007</v>
      </c>
      <c r="G2217" s="5">
        <v>0.391834378242493</v>
      </c>
      <c r="H2217" s="5">
        <v>3.76763296127319</v>
      </c>
      <c r="I2217" t="s">
        <v>57</v>
      </c>
    </row>
    <row r="2218" spans="1:9">
      <c r="A2218" s="4" t="s">
        <v>4490</v>
      </c>
      <c r="B2218" s="4" t="s">
        <v>4491</v>
      </c>
      <c r="C2218" s="4" t="s">
        <v>27</v>
      </c>
      <c r="D2218" s="2">
        <f>3110745088/(10^6)</f>
        <v>3110.745088</v>
      </c>
      <c r="E2218" s="5">
        <v>3.78025054931641</v>
      </c>
      <c r="F2218" s="5">
        <v>0.468956857919693</v>
      </c>
      <c r="G2218" s="5">
        <v>0.684377372264862</v>
      </c>
      <c r="H2218" s="5">
        <v>2.67085027694702</v>
      </c>
      <c r="I2218" t="s">
        <v>57</v>
      </c>
    </row>
    <row r="2219" spans="1:9">
      <c r="A2219" s="4" t="s">
        <v>4492</v>
      </c>
      <c r="B2219" s="4" t="s">
        <v>4493</v>
      </c>
      <c r="C2219" s="4" t="s">
        <v>31</v>
      </c>
      <c r="D2219" s="2">
        <f>3109982976/(10^6)</f>
        <v>3109.982976</v>
      </c>
      <c r="E2219" s="5">
        <v>6.41861867904663</v>
      </c>
      <c r="F2219" s="5">
        <v>1.13368904590607</v>
      </c>
      <c r="G2219" s="5">
        <v>0.152077496051788</v>
      </c>
      <c r="H2219" s="5">
        <v>4.15130519866943</v>
      </c>
      <c r="I2219" t="s">
        <v>57</v>
      </c>
    </row>
    <row r="2220" spans="1:9">
      <c r="A2220" s="4" t="s">
        <v>4494</v>
      </c>
      <c r="B2220" s="4" t="s">
        <v>4495</v>
      </c>
      <c r="C2220" s="4" t="s">
        <v>41</v>
      </c>
      <c r="D2220" s="2">
        <f>3109579776/(10^6)</f>
        <v>3109.579776</v>
      </c>
      <c r="E2220" s="5" t="s">
        <v>86</v>
      </c>
      <c r="F2220" s="5">
        <v>5.35713291168213</v>
      </c>
      <c r="G2220" s="5">
        <v>1463.58215332031</v>
      </c>
      <c r="H2220" s="5" t="s">
        <v>86</v>
      </c>
      <c r="I2220" t="s">
        <v>57</v>
      </c>
    </row>
    <row r="2221" spans="1:9">
      <c r="A2221" s="4" t="s">
        <v>4496</v>
      </c>
      <c r="B2221" s="4" t="s">
        <v>4497</v>
      </c>
      <c r="C2221" s="4" t="s">
        <v>43</v>
      </c>
      <c r="D2221" s="2">
        <f>3101995520/(10^6)</f>
        <v>3101.99552</v>
      </c>
      <c r="E2221" s="5">
        <v>5.75237846374512</v>
      </c>
      <c r="F2221" s="5">
        <v>1.06146955490112</v>
      </c>
      <c r="G2221" s="5">
        <v>1.3175755739212</v>
      </c>
      <c r="H2221" s="5">
        <v>1.72075271606445</v>
      </c>
      <c r="I2221" t="s">
        <v>57</v>
      </c>
    </row>
    <row r="2222" spans="1:9">
      <c r="A2222" s="4" t="s">
        <v>4498</v>
      </c>
      <c r="B2222" s="4" t="s">
        <v>4499</v>
      </c>
      <c r="C2222" s="4" t="s">
        <v>41</v>
      </c>
      <c r="D2222" s="2">
        <f>3088315904/(10^6)</f>
        <v>3088.315904</v>
      </c>
      <c r="E2222" s="5">
        <v>52.3125</v>
      </c>
      <c r="F2222" s="5">
        <v>4.35479974746704</v>
      </c>
      <c r="G2222" s="5">
        <v>7.35776233673096</v>
      </c>
      <c r="H2222" s="5">
        <v>32.4675712585449</v>
      </c>
      <c r="I2222" t="s">
        <v>57</v>
      </c>
    </row>
    <row r="2223" spans="1:9">
      <c r="A2223" s="4" t="s">
        <v>4500</v>
      </c>
      <c r="B2223" s="4" t="s">
        <v>4501</v>
      </c>
      <c r="C2223" s="4" t="s">
        <v>37</v>
      </c>
      <c r="D2223" s="2">
        <f>3073242624/(10^6)</f>
        <v>3073.242624</v>
      </c>
      <c r="E2223" s="5">
        <v>38.0278511047363</v>
      </c>
      <c r="F2223" s="5">
        <v>4.12576961517334</v>
      </c>
      <c r="G2223" s="5">
        <v>4.77164697647095</v>
      </c>
      <c r="H2223" s="5">
        <v>21.5229682922363</v>
      </c>
      <c r="I2223" t="s">
        <v>57</v>
      </c>
    </row>
    <row r="2224" spans="1:9">
      <c r="A2224" s="4" t="s">
        <v>4502</v>
      </c>
      <c r="B2224" s="4" t="s">
        <v>4503</v>
      </c>
      <c r="C2224" s="4" t="s">
        <v>51</v>
      </c>
      <c r="D2224" s="2">
        <f>3061793536/(10^6)</f>
        <v>3061.793536</v>
      </c>
      <c r="E2224" s="5">
        <v>18.2821941375732</v>
      </c>
      <c r="F2224" s="5">
        <v>2.04307174682617</v>
      </c>
      <c r="G2224" s="5">
        <v>2.04932188987732</v>
      </c>
      <c r="H2224" s="5">
        <v>10.9851121902466</v>
      </c>
      <c r="I2224" t="s">
        <v>57</v>
      </c>
    </row>
    <row r="2225" spans="1:9">
      <c r="A2225" s="4" t="s">
        <v>4504</v>
      </c>
      <c r="B2225" s="4" t="s">
        <v>4505</v>
      </c>
      <c r="C2225" s="4" t="s">
        <v>41</v>
      </c>
      <c r="D2225" s="2">
        <f>3059309568/(10^6)</f>
        <v>3059.309568</v>
      </c>
      <c r="E2225" s="5" t="s">
        <v>86</v>
      </c>
      <c r="F2225" s="5">
        <v>2.16393947601318</v>
      </c>
      <c r="G2225" s="5">
        <v>26.3160705566406</v>
      </c>
      <c r="H2225" s="5" t="s">
        <v>86</v>
      </c>
      <c r="I2225" t="s">
        <v>57</v>
      </c>
    </row>
    <row r="2226" spans="1:9">
      <c r="A2226" s="4" t="s">
        <v>4506</v>
      </c>
      <c r="B2226" s="4" t="s">
        <v>4507</v>
      </c>
      <c r="C2226" s="4" t="s">
        <v>47</v>
      </c>
      <c r="D2226" s="2">
        <f>3059181056/(10^6)</f>
        <v>3059.181056</v>
      </c>
      <c r="E2226" s="5">
        <v>10.6451568603516</v>
      </c>
      <c r="F2226" s="5">
        <v>3.47856640815735</v>
      </c>
      <c r="G2226" s="5">
        <v>0.87676590681076</v>
      </c>
      <c r="H2226" s="5">
        <v>6.58241653442383</v>
      </c>
      <c r="I2226" t="s">
        <v>57</v>
      </c>
    </row>
    <row r="2227" spans="1:9">
      <c r="A2227" s="4" t="s">
        <v>4508</v>
      </c>
      <c r="B2227" s="4" t="s">
        <v>4509</v>
      </c>
      <c r="C2227" s="4" t="s">
        <v>43</v>
      </c>
      <c r="D2227" s="2">
        <f>3050023424/(10^6)</f>
        <v>3050.023424</v>
      </c>
      <c r="E2227" s="5">
        <v>3.40931296348572</v>
      </c>
      <c r="F2227" s="5">
        <v>0.704388201236725</v>
      </c>
      <c r="G2227" s="5">
        <v>0.642206430435181</v>
      </c>
      <c r="H2227" s="5">
        <v>8.49019813537598</v>
      </c>
      <c r="I2227" t="s">
        <v>57</v>
      </c>
    </row>
    <row r="2228" spans="1:9">
      <c r="A2228" s="4" t="s">
        <v>4510</v>
      </c>
      <c r="B2228" s="4" t="s">
        <v>4511</v>
      </c>
      <c r="C2228" s="4" t="s">
        <v>47</v>
      </c>
      <c r="D2228" s="2">
        <f>3045525760/(10^6)</f>
        <v>3045.52576</v>
      </c>
      <c r="E2228" s="5" t="s">
        <v>86</v>
      </c>
      <c r="F2228" s="5">
        <v>6.19243049621582</v>
      </c>
      <c r="G2228" s="5">
        <v>0.675227046012878</v>
      </c>
      <c r="H2228" s="5">
        <v>13.2893295288086</v>
      </c>
      <c r="I2228" t="s">
        <v>57</v>
      </c>
    </row>
    <row r="2229" spans="1:9">
      <c r="A2229" s="4" t="s">
        <v>4512</v>
      </c>
      <c r="B2229" s="4" t="s">
        <v>4513</v>
      </c>
      <c r="C2229" s="4" t="s">
        <v>37</v>
      </c>
      <c r="D2229" s="2">
        <f>3043099904/(10^6)</f>
        <v>3043.099904</v>
      </c>
      <c r="E2229" s="5">
        <v>20.2524509429932</v>
      </c>
      <c r="F2229" s="5">
        <v>0.839475870132446</v>
      </c>
      <c r="G2229" s="5">
        <v>1.26102411746979</v>
      </c>
      <c r="H2229" s="5">
        <v>9.94558811187744</v>
      </c>
      <c r="I2229" t="s">
        <v>57</v>
      </c>
    </row>
    <row r="2230" spans="1:9">
      <c r="A2230" s="4" t="s">
        <v>4514</v>
      </c>
      <c r="B2230" s="4" t="s">
        <v>4515</v>
      </c>
      <c r="C2230" s="4" t="s">
        <v>41</v>
      </c>
      <c r="D2230" s="2">
        <f>3041309952/(10^6)</f>
        <v>3041.309952</v>
      </c>
      <c r="E2230" s="5" t="s">
        <v>86</v>
      </c>
      <c r="F2230" s="5">
        <v>0.646894454956055</v>
      </c>
      <c r="G2230" s="5" t="s">
        <v>86</v>
      </c>
      <c r="H2230" s="5" t="s">
        <v>86</v>
      </c>
      <c r="I2230" t="s">
        <v>57</v>
      </c>
    </row>
    <row r="2231" spans="1:9">
      <c r="A2231" s="4" t="s">
        <v>4516</v>
      </c>
      <c r="B2231" s="4" t="s">
        <v>4517</v>
      </c>
      <c r="C2231" s="4" t="s">
        <v>37</v>
      </c>
      <c r="D2231" s="2">
        <f>3040923648/(10^6)</f>
        <v>3040.923648</v>
      </c>
      <c r="E2231" s="5">
        <v>12.7723140716553</v>
      </c>
      <c r="F2231" s="5">
        <v>2.97161984443665</v>
      </c>
      <c r="G2231" s="5">
        <v>0.678304433822632</v>
      </c>
      <c r="H2231" s="5">
        <v>8.31207847595215</v>
      </c>
      <c r="I2231" t="s">
        <v>57</v>
      </c>
    </row>
    <row r="2232" spans="1:9">
      <c r="A2232" s="4" t="s">
        <v>4518</v>
      </c>
      <c r="B2232" s="4" t="s">
        <v>4519</v>
      </c>
      <c r="C2232" s="4" t="s">
        <v>35</v>
      </c>
      <c r="D2232" s="2">
        <f>3039538176/(10^6)</f>
        <v>3039.538176</v>
      </c>
      <c r="E2232" s="5">
        <v>137.65446472168</v>
      </c>
      <c r="F2232" s="5">
        <v>4.03719568252563</v>
      </c>
      <c r="G2232" s="5">
        <v>1.03173780441284</v>
      </c>
      <c r="H2232" s="5">
        <v>19.7040176391602</v>
      </c>
      <c r="I2232" t="s">
        <v>57</v>
      </c>
    </row>
    <row r="2233" spans="1:9">
      <c r="A2233" s="4" t="s">
        <v>4520</v>
      </c>
      <c r="B2233" s="4" t="s">
        <v>4521</v>
      </c>
      <c r="C2233" s="4" t="s">
        <v>43</v>
      </c>
      <c r="D2233" s="2">
        <f>3037664000/(10^6)</f>
        <v>3037.664</v>
      </c>
      <c r="E2233" s="5">
        <v>16.4975318908691</v>
      </c>
      <c r="F2233" s="5">
        <v>3.2088634967804</v>
      </c>
      <c r="G2233" s="5">
        <v>2.50017786026001</v>
      </c>
      <c r="H2233" s="5">
        <v>11.2325220108032</v>
      </c>
      <c r="I2233" t="s">
        <v>57</v>
      </c>
    </row>
    <row r="2234" spans="1:9">
      <c r="A2234" s="4" t="s">
        <v>4522</v>
      </c>
      <c r="B2234" s="4" t="s">
        <v>4523</v>
      </c>
      <c r="C2234" s="4" t="s">
        <v>47</v>
      </c>
      <c r="D2234" s="2">
        <f>3034651648/(10^6)</f>
        <v>3034.651648</v>
      </c>
      <c r="E2234" s="5">
        <v>19.5584716796875</v>
      </c>
      <c r="F2234" s="5" t="s">
        <v>86</v>
      </c>
      <c r="G2234" s="5">
        <v>2.20424222946167</v>
      </c>
      <c r="H2234" s="5">
        <v>12.1393032073975</v>
      </c>
      <c r="I2234" t="s">
        <v>57</v>
      </c>
    </row>
    <row r="2235" spans="1:9">
      <c r="A2235" s="4" t="s">
        <v>4524</v>
      </c>
      <c r="B2235" s="4" t="s">
        <v>4525</v>
      </c>
      <c r="C2235" s="4" t="s">
        <v>35</v>
      </c>
      <c r="D2235" s="2">
        <f>3032552192/(10^6)</f>
        <v>3032.552192</v>
      </c>
      <c r="E2235" s="5">
        <v>10.4169540405273</v>
      </c>
      <c r="F2235" s="5">
        <v>1.18084692955017</v>
      </c>
      <c r="G2235" s="5">
        <v>0.911153554916382</v>
      </c>
      <c r="H2235" s="5">
        <v>6.11282825469971</v>
      </c>
      <c r="I2235" t="s">
        <v>57</v>
      </c>
    </row>
    <row r="2236" spans="1:9">
      <c r="A2236" s="4" t="s">
        <v>4526</v>
      </c>
      <c r="B2236" s="4" t="s">
        <v>4527</v>
      </c>
      <c r="C2236" s="4" t="s">
        <v>39</v>
      </c>
      <c r="D2236" s="2">
        <f>3029189888/(10^6)</f>
        <v>3029.189888</v>
      </c>
      <c r="E2236" s="5">
        <v>17.5273399353027</v>
      </c>
      <c r="F2236" s="5">
        <v>1.58865237236023</v>
      </c>
      <c r="G2236" s="5">
        <v>2.40919804573059</v>
      </c>
      <c r="H2236" s="5">
        <v>11.7246332168579</v>
      </c>
      <c r="I2236" t="s">
        <v>57</v>
      </c>
    </row>
    <row r="2237" spans="1:9">
      <c r="A2237" s="4" t="s">
        <v>4528</v>
      </c>
      <c r="B2237" s="4" t="s">
        <v>4529</v>
      </c>
      <c r="C2237" s="4" t="s">
        <v>35</v>
      </c>
      <c r="D2237" s="2">
        <f>3017423360/(10^6)</f>
        <v>3017.42336</v>
      </c>
      <c r="E2237" s="5">
        <v>13.1052198410034</v>
      </c>
      <c r="F2237" s="5">
        <v>1.95016312599182</v>
      </c>
      <c r="G2237" s="5">
        <v>0.116929724812508</v>
      </c>
      <c r="H2237" s="5">
        <v>11.4532108306885</v>
      </c>
      <c r="I2237" t="s">
        <v>57</v>
      </c>
    </row>
    <row r="2238" spans="1:9">
      <c r="A2238" s="4" t="s">
        <v>4530</v>
      </c>
      <c r="B2238" s="4" t="s">
        <v>4531</v>
      </c>
      <c r="C2238" s="4" t="s">
        <v>51</v>
      </c>
      <c r="D2238" s="2">
        <f>3014477824/(10^6)</f>
        <v>3014.477824</v>
      </c>
      <c r="E2238" s="5">
        <v>441.815032958984</v>
      </c>
      <c r="F2238" s="5">
        <v>3.46443581581116</v>
      </c>
      <c r="G2238" s="5">
        <v>3.23082113265991</v>
      </c>
      <c r="H2238" s="5">
        <v>34.955883026123</v>
      </c>
      <c r="I2238" t="s">
        <v>57</v>
      </c>
    </row>
    <row r="2239" spans="1:9">
      <c r="A2239" s="4" t="s">
        <v>4532</v>
      </c>
      <c r="B2239" s="4" t="s">
        <v>4533</v>
      </c>
      <c r="C2239" s="4" t="s">
        <v>33</v>
      </c>
      <c r="D2239" s="2">
        <f>3000835072/(10^6)</f>
        <v>3000.835072</v>
      </c>
      <c r="E2239" s="5" t="s">
        <v>86</v>
      </c>
      <c r="F2239" s="5">
        <v>2.05483055114746</v>
      </c>
      <c r="G2239" s="5">
        <v>5.06014108657837</v>
      </c>
      <c r="H2239" s="5">
        <v>14.7143888473511</v>
      </c>
      <c r="I2239" t="s">
        <v>57</v>
      </c>
    </row>
    <row r="2240" spans="1:9">
      <c r="A2240" s="4" t="s">
        <v>4534</v>
      </c>
      <c r="B2240" s="4" t="s">
        <v>4535</v>
      </c>
      <c r="C2240" s="4" t="s">
        <v>47</v>
      </c>
      <c r="D2240" s="2">
        <f>2995439360/(10^6)</f>
        <v>2995.43936</v>
      </c>
      <c r="E2240" s="5">
        <v>9.19477367401123</v>
      </c>
      <c r="F2240" s="5">
        <v>2.47424578666687</v>
      </c>
      <c r="G2240" s="5">
        <v>1.50230348110199</v>
      </c>
      <c r="H2240" s="5">
        <v>12.0010433197021</v>
      </c>
      <c r="I2240" t="s">
        <v>57</v>
      </c>
    </row>
    <row r="2241" spans="1:9">
      <c r="A2241" s="4" t="s">
        <v>4536</v>
      </c>
      <c r="B2241" s="4" t="s">
        <v>4537</v>
      </c>
      <c r="C2241" s="4" t="s">
        <v>51</v>
      </c>
      <c r="D2241" s="2">
        <f>2985613824/(10^6)</f>
        <v>2985.613824</v>
      </c>
      <c r="E2241" s="5">
        <v>19.9754981994629</v>
      </c>
      <c r="F2241" s="5">
        <v>1.35391438007355</v>
      </c>
      <c r="G2241" s="5">
        <v>0.667237818241119</v>
      </c>
      <c r="H2241" s="5">
        <v>8.23210144042969</v>
      </c>
      <c r="I2241" t="s">
        <v>57</v>
      </c>
    </row>
    <row r="2242" spans="1:9">
      <c r="A2242" s="4" t="s">
        <v>4538</v>
      </c>
      <c r="B2242" s="4" t="s">
        <v>4539</v>
      </c>
      <c r="C2242" s="4" t="s">
        <v>39</v>
      </c>
      <c r="D2242" s="2">
        <f>2984882944/(10^6)</f>
        <v>2984.882944</v>
      </c>
      <c r="E2242" s="5">
        <v>35.6504516601562</v>
      </c>
      <c r="F2242" s="5">
        <v>4.96041584014893</v>
      </c>
      <c r="G2242" s="5">
        <v>6.29138803482056</v>
      </c>
      <c r="H2242" s="5">
        <v>20.9908695220947</v>
      </c>
      <c r="I2242" t="s">
        <v>57</v>
      </c>
    </row>
    <row r="2243" spans="1:9">
      <c r="A2243" s="4" t="s">
        <v>4540</v>
      </c>
      <c r="B2243" s="4" t="s">
        <v>4541</v>
      </c>
      <c r="C2243" s="4" t="s">
        <v>43</v>
      </c>
      <c r="D2243" s="2">
        <f>2979942656/(10^6)</f>
        <v>2979.942656</v>
      </c>
      <c r="E2243" s="5">
        <v>17.1315116882324</v>
      </c>
      <c r="F2243" s="5">
        <v>1.60526955127716</v>
      </c>
      <c r="G2243" s="5">
        <v>4.83857011795044</v>
      </c>
      <c r="H2243" s="5" t="s">
        <v>86</v>
      </c>
      <c r="I2243" t="s">
        <v>57</v>
      </c>
    </row>
    <row r="2244" spans="1:9">
      <c r="A2244" s="4" t="s">
        <v>4542</v>
      </c>
      <c r="B2244" s="4" t="s">
        <v>4543</v>
      </c>
      <c r="C2244" s="4" t="s">
        <v>51</v>
      </c>
      <c r="D2244" s="2">
        <f>2977074432/(10^6)</f>
        <v>2977.074432</v>
      </c>
      <c r="E2244" s="5" t="s">
        <v>86</v>
      </c>
      <c r="F2244" s="5">
        <v>7.41138696670532</v>
      </c>
      <c r="G2244" s="5">
        <v>10.1159172058105</v>
      </c>
      <c r="H2244" s="5" t="s">
        <v>86</v>
      </c>
      <c r="I2244" t="s">
        <v>57</v>
      </c>
    </row>
    <row r="2245" spans="1:9">
      <c r="A2245" s="4" t="s">
        <v>4544</v>
      </c>
      <c r="B2245" s="4" t="s">
        <v>4545</v>
      </c>
      <c r="C2245" s="4" t="s">
        <v>51</v>
      </c>
      <c r="D2245" s="2">
        <f>2965587712/(10^6)</f>
        <v>2965.587712</v>
      </c>
      <c r="E2245" s="5">
        <v>13.0986814498901</v>
      </c>
      <c r="F2245" s="5">
        <v>1.61173033714294</v>
      </c>
      <c r="G2245" s="5">
        <v>0.337956011295319</v>
      </c>
      <c r="H2245" s="5">
        <v>8.15054512023926</v>
      </c>
      <c r="I2245" t="s">
        <v>57</v>
      </c>
    </row>
    <row r="2246" spans="1:9">
      <c r="A2246" s="4" t="s">
        <v>4546</v>
      </c>
      <c r="B2246" s="4" t="s">
        <v>4547</v>
      </c>
      <c r="C2246" s="4" t="s">
        <v>41</v>
      </c>
      <c r="D2246" s="2">
        <f>2945353472/(10^6)</f>
        <v>2945.353472</v>
      </c>
      <c r="E2246" s="5" t="s">
        <v>86</v>
      </c>
      <c r="F2246" s="5">
        <v>5.684326171875</v>
      </c>
      <c r="G2246" s="5">
        <v>11.2805805206299</v>
      </c>
      <c r="H2246" s="5" t="s">
        <v>86</v>
      </c>
      <c r="I2246" t="s">
        <v>57</v>
      </c>
    </row>
    <row r="2247" spans="1:9">
      <c r="A2247" s="4" t="s">
        <v>4548</v>
      </c>
      <c r="B2247" s="4" t="s">
        <v>4549</v>
      </c>
      <c r="C2247" s="4" t="s">
        <v>43</v>
      </c>
      <c r="D2247" s="2">
        <f>2943656704/(10^6)</f>
        <v>2943.656704</v>
      </c>
      <c r="E2247" s="5">
        <v>5.30905628204346</v>
      </c>
      <c r="F2247" s="5">
        <v>0.985639333724976</v>
      </c>
      <c r="G2247" s="5">
        <v>3.36275720596314</v>
      </c>
      <c r="H2247" s="5" t="s">
        <v>86</v>
      </c>
      <c r="I2247" t="s">
        <v>57</v>
      </c>
    </row>
    <row r="2248" spans="1:9">
      <c r="A2248" s="4" t="s">
        <v>4550</v>
      </c>
      <c r="B2248" s="4" t="s">
        <v>4551</v>
      </c>
      <c r="C2248" s="4" t="s">
        <v>47</v>
      </c>
      <c r="D2248" s="2">
        <f>2931066368/(10^6)</f>
        <v>2931.066368</v>
      </c>
      <c r="E2248" s="5">
        <v>4.63431596755981</v>
      </c>
      <c r="F2248" s="5">
        <v>2.40050911903381</v>
      </c>
      <c r="G2248" s="5">
        <v>0.428739458322525</v>
      </c>
      <c r="H2248" s="5">
        <v>6.36376142501831</v>
      </c>
      <c r="I2248" t="s">
        <v>57</v>
      </c>
    </row>
    <row r="2249" spans="1:9">
      <c r="A2249" s="4" t="s">
        <v>4552</v>
      </c>
      <c r="B2249" s="4" t="s">
        <v>4553</v>
      </c>
      <c r="C2249" s="4" t="s">
        <v>31</v>
      </c>
      <c r="D2249" s="2">
        <f>2930244864/(10^6)</f>
        <v>2930.244864</v>
      </c>
      <c r="E2249" s="5">
        <v>37.1055755615234</v>
      </c>
      <c r="F2249" s="5">
        <v>7.41339159011841</v>
      </c>
      <c r="G2249" s="5">
        <v>1.22614967823029</v>
      </c>
      <c r="H2249" s="5">
        <v>14.997745513916</v>
      </c>
      <c r="I2249" t="s">
        <v>57</v>
      </c>
    </row>
    <row r="2250" spans="1:9">
      <c r="A2250" s="4" t="s">
        <v>4554</v>
      </c>
      <c r="B2250" s="4" t="s">
        <v>4555</v>
      </c>
      <c r="C2250" s="4" t="s">
        <v>51</v>
      </c>
      <c r="D2250" s="2">
        <f>2925319680/(10^6)</f>
        <v>2925.31968</v>
      </c>
      <c r="E2250" s="5" t="s">
        <v>86</v>
      </c>
      <c r="F2250" s="5">
        <v>7.81684875488281</v>
      </c>
      <c r="G2250" s="5">
        <v>5.00814342498779</v>
      </c>
      <c r="H2250" s="5">
        <v>298.677459716797</v>
      </c>
      <c r="I2250" t="s">
        <v>57</v>
      </c>
    </row>
    <row r="2251" spans="1:9">
      <c r="A2251" s="4" t="s">
        <v>4556</v>
      </c>
      <c r="B2251" s="4" t="s">
        <v>4557</v>
      </c>
      <c r="C2251" s="4" t="s">
        <v>43</v>
      </c>
      <c r="D2251" s="2">
        <f>2920011520/(10^6)</f>
        <v>2920.01152</v>
      </c>
      <c r="E2251" s="5">
        <v>4.65291929244995</v>
      </c>
      <c r="F2251" s="5">
        <v>0.73038113117218</v>
      </c>
      <c r="G2251" s="5">
        <v>1.99163699150085</v>
      </c>
      <c r="H2251" s="5" t="s">
        <v>86</v>
      </c>
      <c r="I2251" t="s">
        <v>57</v>
      </c>
    </row>
    <row r="2252" spans="1:9">
      <c r="A2252" s="4" t="s">
        <v>4558</v>
      </c>
      <c r="B2252" s="4" t="s">
        <v>4559</v>
      </c>
      <c r="C2252" s="4" t="s">
        <v>31</v>
      </c>
      <c r="D2252" s="2">
        <f>2918265344/(10^6)</f>
        <v>2918.265344</v>
      </c>
      <c r="E2252" s="5">
        <v>283.186767578125</v>
      </c>
      <c r="F2252" s="5">
        <v>3.15798020362854</v>
      </c>
      <c r="G2252" s="5">
        <v>1.78030443191528</v>
      </c>
      <c r="H2252" s="5">
        <v>13.3600482940674</v>
      </c>
      <c r="I2252" t="s">
        <v>57</v>
      </c>
    </row>
    <row r="2253" spans="1:9">
      <c r="A2253" s="4" t="s">
        <v>4560</v>
      </c>
      <c r="B2253" s="4" t="s">
        <v>4561</v>
      </c>
      <c r="C2253" s="4" t="s">
        <v>43</v>
      </c>
      <c r="D2253" s="2">
        <f>2915485696/(10^6)</f>
        <v>2915.485696</v>
      </c>
      <c r="E2253" s="5">
        <v>11.253303527832</v>
      </c>
      <c r="F2253" s="5">
        <v>1.32362496852875</v>
      </c>
      <c r="G2253" s="5">
        <v>1.02212584018707</v>
      </c>
      <c r="H2253" s="5" t="s">
        <v>86</v>
      </c>
      <c r="I2253" t="s">
        <v>57</v>
      </c>
    </row>
    <row r="2254" spans="1:9">
      <c r="A2254" s="4" t="s">
        <v>4562</v>
      </c>
      <c r="B2254" s="4" t="s">
        <v>4563</v>
      </c>
      <c r="C2254" s="4" t="s">
        <v>47</v>
      </c>
      <c r="D2254" s="2">
        <f>2915348480/(10^6)</f>
        <v>2915.34848</v>
      </c>
      <c r="E2254" s="5">
        <v>8.14736175537109</v>
      </c>
      <c r="F2254" s="5">
        <v>2.58725476264954</v>
      </c>
      <c r="G2254" s="5">
        <v>0.429753929376602</v>
      </c>
      <c r="H2254" s="5">
        <v>6.01998281478882</v>
      </c>
      <c r="I2254" t="s">
        <v>57</v>
      </c>
    </row>
    <row r="2255" spans="1:9">
      <c r="A2255" s="4" t="s">
        <v>4564</v>
      </c>
      <c r="B2255" s="4" t="s">
        <v>4565</v>
      </c>
      <c r="C2255" s="4" t="s">
        <v>31</v>
      </c>
      <c r="D2255" s="2">
        <f>2913748224/(10^6)</f>
        <v>2913.748224</v>
      </c>
      <c r="E2255" s="5">
        <v>8.14900970458984</v>
      </c>
      <c r="F2255" s="5">
        <v>1.97061038017273</v>
      </c>
      <c r="G2255" s="5">
        <v>0.896450877189636</v>
      </c>
      <c r="H2255" s="5">
        <v>10.1805000305176</v>
      </c>
      <c r="I2255" t="s">
        <v>57</v>
      </c>
    </row>
    <row r="2256" spans="1:9">
      <c r="A2256" s="4" t="s">
        <v>4566</v>
      </c>
      <c r="B2256" s="4" t="s">
        <v>4567</v>
      </c>
      <c r="C2256" s="4" t="s">
        <v>51</v>
      </c>
      <c r="D2256" s="2">
        <f>2909679360/(10^6)</f>
        <v>2909.67936</v>
      </c>
      <c r="E2256" s="5" t="s">
        <v>86</v>
      </c>
      <c r="F2256" s="5">
        <v>7.0666913986206</v>
      </c>
      <c r="G2256" s="5" t="s">
        <v>86</v>
      </c>
      <c r="H2256" s="5" t="s">
        <v>86</v>
      </c>
      <c r="I2256" t="s">
        <v>57</v>
      </c>
    </row>
    <row r="2257" spans="1:9">
      <c r="A2257" s="4" t="s">
        <v>4568</v>
      </c>
      <c r="B2257" s="4" t="s">
        <v>4569</v>
      </c>
      <c r="C2257" s="4" t="s">
        <v>43</v>
      </c>
      <c r="D2257" s="2">
        <f>2909500928/(10^6)</f>
        <v>2909.500928</v>
      </c>
      <c r="E2257" s="5">
        <v>5.72518968582153</v>
      </c>
      <c r="F2257" s="5">
        <v>0.64481782913208</v>
      </c>
      <c r="G2257" s="5">
        <v>1.31403040885925</v>
      </c>
      <c r="H2257" s="5" t="s">
        <v>86</v>
      </c>
      <c r="I2257" t="s">
        <v>57</v>
      </c>
    </row>
    <row r="2258" spans="1:9">
      <c r="A2258" s="4" t="s">
        <v>4570</v>
      </c>
      <c r="B2258" s="4" t="s">
        <v>4571</v>
      </c>
      <c r="C2258" s="4" t="s">
        <v>47</v>
      </c>
      <c r="D2258" s="2">
        <f>2907406848/(10^6)</f>
        <v>2907.406848</v>
      </c>
      <c r="E2258" s="5">
        <v>16.6629276275635</v>
      </c>
      <c r="F2258" s="5">
        <v>3.17379426956177</v>
      </c>
      <c r="G2258" s="5">
        <v>1.07172334194183</v>
      </c>
      <c r="H2258" s="5">
        <v>8.81429862976074</v>
      </c>
      <c r="I2258" t="s">
        <v>57</v>
      </c>
    </row>
    <row r="2259" spans="1:9">
      <c r="A2259" s="4" t="s">
        <v>4572</v>
      </c>
      <c r="B2259" s="4" t="s">
        <v>4573</v>
      </c>
      <c r="C2259" s="4" t="s">
        <v>43</v>
      </c>
      <c r="D2259" s="2">
        <f>2905776640/(10^6)</f>
        <v>2905.77664</v>
      </c>
      <c r="E2259" s="5">
        <v>17.6937656402588</v>
      </c>
      <c r="F2259" s="5">
        <v>2.16938352584839</v>
      </c>
      <c r="G2259" s="5">
        <v>1.59616637229919</v>
      </c>
      <c r="H2259" s="5">
        <v>8.91881942749023</v>
      </c>
      <c r="I2259" t="s">
        <v>57</v>
      </c>
    </row>
    <row r="2260" spans="1:9">
      <c r="A2260" s="4" t="s">
        <v>4574</v>
      </c>
      <c r="B2260" s="4" t="s">
        <v>4575</v>
      </c>
      <c r="C2260" s="4" t="s">
        <v>47</v>
      </c>
      <c r="D2260" s="2">
        <f>2902527232/(10^6)</f>
        <v>2902.527232</v>
      </c>
      <c r="E2260" s="5">
        <v>7.50248718261719</v>
      </c>
      <c r="F2260" s="5" t="s">
        <v>86</v>
      </c>
      <c r="G2260" s="5">
        <v>0.958094358444214</v>
      </c>
      <c r="H2260" s="5">
        <v>6.30615186691284</v>
      </c>
      <c r="I2260" t="s">
        <v>57</v>
      </c>
    </row>
    <row r="2261" spans="1:9">
      <c r="A2261" s="4" t="s">
        <v>4576</v>
      </c>
      <c r="B2261" s="4" t="s">
        <v>4577</v>
      </c>
      <c r="C2261" s="4" t="s">
        <v>47</v>
      </c>
      <c r="D2261" s="2">
        <f>2892438784/(10^6)</f>
        <v>2892.438784</v>
      </c>
      <c r="E2261" s="5">
        <v>3.95261311531067</v>
      </c>
      <c r="F2261" s="5">
        <v>0.871559083461761</v>
      </c>
      <c r="G2261" s="5">
        <v>0.178810119628906</v>
      </c>
      <c r="H2261" s="5">
        <v>3.78574895858765</v>
      </c>
      <c r="I2261" t="s">
        <v>57</v>
      </c>
    </row>
    <row r="2262" spans="1:9">
      <c r="A2262" s="4" t="s">
        <v>4578</v>
      </c>
      <c r="B2262" s="4" t="s">
        <v>4579</v>
      </c>
      <c r="C2262" s="4" t="s">
        <v>43</v>
      </c>
      <c r="D2262" s="2">
        <f>2886802944/(10^6)</f>
        <v>2886.802944</v>
      </c>
      <c r="E2262" s="5">
        <v>7.76696062088013</v>
      </c>
      <c r="F2262" s="5">
        <v>0.691607236862183</v>
      </c>
      <c r="G2262" s="5">
        <v>1.57104909420013</v>
      </c>
      <c r="H2262" s="5" t="s">
        <v>86</v>
      </c>
      <c r="I2262" t="s">
        <v>57</v>
      </c>
    </row>
    <row r="2263" spans="1:9">
      <c r="A2263" s="4" t="s">
        <v>4580</v>
      </c>
      <c r="B2263" s="4" t="s">
        <v>4581</v>
      </c>
      <c r="C2263" s="4" t="s">
        <v>33</v>
      </c>
      <c r="D2263" s="2">
        <f>2877342208/(10^6)</f>
        <v>2877.342208</v>
      </c>
      <c r="E2263" s="5">
        <v>9.78378677368164</v>
      </c>
      <c r="F2263" s="5">
        <v>1.8062971830368</v>
      </c>
      <c r="G2263" s="5">
        <v>1.24702334403992</v>
      </c>
      <c r="H2263" s="5">
        <v>10.4516220092773</v>
      </c>
      <c r="I2263" t="s">
        <v>57</v>
      </c>
    </row>
    <row r="2264" spans="1:9">
      <c r="A2264" s="4" t="s">
        <v>4582</v>
      </c>
      <c r="B2264" s="4" t="s">
        <v>4583</v>
      </c>
      <c r="C2264" s="4" t="s">
        <v>31</v>
      </c>
      <c r="D2264" s="2">
        <f>2876523776/(10^6)</f>
        <v>2876.523776</v>
      </c>
      <c r="E2264" s="5">
        <v>9.98091793060303</v>
      </c>
      <c r="F2264" s="5">
        <v>1.90373468399048</v>
      </c>
      <c r="G2264" s="5">
        <v>0.854020714759827</v>
      </c>
      <c r="H2264" s="5">
        <v>7.2164478302002</v>
      </c>
      <c r="I2264" t="s">
        <v>57</v>
      </c>
    </row>
    <row r="2265" spans="1:9">
      <c r="A2265" s="4" t="s">
        <v>4584</v>
      </c>
      <c r="B2265" s="4" t="s">
        <v>4585</v>
      </c>
      <c r="C2265" s="4" t="s">
        <v>51</v>
      </c>
      <c r="D2265" s="2">
        <f>2871421952/(10^6)</f>
        <v>2871.421952</v>
      </c>
      <c r="E2265" s="5">
        <v>14.6458139419556</v>
      </c>
      <c r="F2265" s="5">
        <v>1.55670177936554</v>
      </c>
      <c r="G2265" s="5">
        <v>0.506266355514526</v>
      </c>
      <c r="H2265" s="5">
        <v>6.9335036277771</v>
      </c>
      <c r="I2265" t="s">
        <v>57</v>
      </c>
    </row>
    <row r="2266" spans="1:9">
      <c r="A2266" s="4" t="s">
        <v>4586</v>
      </c>
      <c r="B2266" s="4" t="s">
        <v>4587</v>
      </c>
      <c r="C2266" s="4" t="s">
        <v>33</v>
      </c>
      <c r="D2266" s="2">
        <f>2867141376/(10^6)</f>
        <v>2867.141376</v>
      </c>
      <c r="E2266" s="5">
        <v>15.7914123535156</v>
      </c>
      <c r="F2266" s="5">
        <v>1.40796506404877</v>
      </c>
      <c r="G2266" s="5">
        <v>0.945868253707886</v>
      </c>
      <c r="H2266" s="5">
        <v>11.3037204742432</v>
      </c>
      <c r="I2266" t="s">
        <v>57</v>
      </c>
    </row>
    <row r="2267" spans="1:9">
      <c r="A2267" s="4" t="s">
        <v>4588</v>
      </c>
      <c r="B2267" s="4" t="s">
        <v>4589</v>
      </c>
      <c r="C2267" s="4" t="s">
        <v>41</v>
      </c>
      <c r="D2267" s="2">
        <f>2863865088/(10^6)</f>
        <v>2863.865088</v>
      </c>
      <c r="E2267" s="5" t="s">
        <v>86</v>
      </c>
      <c r="F2267" s="5">
        <v>13.1220989227295</v>
      </c>
      <c r="G2267" s="5">
        <v>7.11131906509399</v>
      </c>
      <c r="H2267" s="5" t="s">
        <v>86</v>
      </c>
      <c r="I2267" t="s">
        <v>57</v>
      </c>
    </row>
    <row r="2268" spans="1:9">
      <c r="A2268" s="4" t="s">
        <v>4590</v>
      </c>
      <c r="B2268" s="4" t="s">
        <v>4591</v>
      </c>
      <c r="C2268" s="4" t="s">
        <v>41</v>
      </c>
      <c r="D2268" s="2">
        <f>2858523904/(10^6)</f>
        <v>2858.523904</v>
      </c>
      <c r="E2268" s="5">
        <v>52.5709686279297</v>
      </c>
      <c r="F2268" s="5">
        <v>5.68557500839233</v>
      </c>
      <c r="G2268" s="5">
        <v>16.3584251403809</v>
      </c>
      <c r="H2268" s="5">
        <v>47.0280685424805</v>
      </c>
      <c r="I2268" t="s">
        <v>57</v>
      </c>
    </row>
    <row r="2269" spans="1:9">
      <c r="A2269" s="4" t="s">
        <v>4592</v>
      </c>
      <c r="B2269" s="4" t="s">
        <v>4593</v>
      </c>
      <c r="C2269" s="4" t="s">
        <v>43</v>
      </c>
      <c r="D2269" s="2">
        <f>2853825024/(10^6)</f>
        <v>2853.825024</v>
      </c>
      <c r="E2269" s="5">
        <v>12.0554513931274</v>
      </c>
      <c r="F2269" s="5">
        <v>0.884710669517517</v>
      </c>
      <c r="G2269" s="5">
        <v>3.20053434371948</v>
      </c>
      <c r="H2269" s="5" t="s">
        <v>86</v>
      </c>
      <c r="I2269" t="s">
        <v>57</v>
      </c>
    </row>
    <row r="2270" spans="1:9">
      <c r="A2270" s="4" t="s">
        <v>4594</v>
      </c>
      <c r="B2270" s="4" t="s">
        <v>4595</v>
      </c>
      <c r="C2270" s="4" t="s">
        <v>51</v>
      </c>
      <c r="D2270" s="2">
        <f>2852304896/(10^6)</f>
        <v>2852.304896</v>
      </c>
      <c r="E2270" s="5" t="s">
        <v>86</v>
      </c>
      <c r="F2270" s="5">
        <v>7.51272821426392</v>
      </c>
      <c r="G2270" s="5">
        <v>8.63947677612305</v>
      </c>
      <c r="H2270" s="5" t="s">
        <v>86</v>
      </c>
      <c r="I2270" t="s">
        <v>57</v>
      </c>
    </row>
    <row r="2271" spans="1:9">
      <c r="A2271" s="4" t="s">
        <v>4596</v>
      </c>
      <c r="B2271" s="4" t="s">
        <v>4597</v>
      </c>
      <c r="C2271" s="4" t="s">
        <v>51</v>
      </c>
      <c r="D2271" s="2">
        <f>2845405696/(10^6)</f>
        <v>2845.405696</v>
      </c>
      <c r="E2271" s="5">
        <v>25.0803470611572</v>
      </c>
      <c r="F2271" s="5">
        <v>1.90862107276917</v>
      </c>
      <c r="G2271" s="5">
        <v>1.27389514446259</v>
      </c>
      <c r="H2271" s="5">
        <v>13.1929006576538</v>
      </c>
      <c r="I2271" t="s">
        <v>57</v>
      </c>
    </row>
    <row r="2272" spans="1:9">
      <c r="A2272" s="4" t="s">
        <v>4598</v>
      </c>
      <c r="B2272" s="4" t="s">
        <v>4599</v>
      </c>
      <c r="C2272" s="4" t="s">
        <v>43</v>
      </c>
      <c r="D2272" s="2">
        <f>2841766400/(10^6)</f>
        <v>2841.7664</v>
      </c>
      <c r="E2272" s="5">
        <v>7.05410957336426</v>
      </c>
      <c r="F2272" s="5">
        <v>0.653167963027954</v>
      </c>
      <c r="G2272" s="5">
        <v>2.13232231140137</v>
      </c>
      <c r="H2272" s="5" t="s">
        <v>86</v>
      </c>
      <c r="I2272" t="s">
        <v>57</v>
      </c>
    </row>
    <row r="2273" spans="1:9">
      <c r="A2273" s="4" t="s">
        <v>4600</v>
      </c>
      <c r="B2273" s="4" t="s">
        <v>4601</v>
      </c>
      <c r="C2273" s="4" t="s">
        <v>31</v>
      </c>
      <c r="D2273" s="2">
        <f>2839243008/(10^6)</f>
        <v>2839.243008</v>
      </c>
      <c r="E2273" s="5">
        <v>10.2792949676514</v>
      </c>
      <c r="F2273" s="5">
        <v>1.58137035369873</v>
      </c>
      <c r="G2273" s="5">
        <v>0.720455706119537</v>
      </c>
      <c r="H2273" s="5">
        <v>6.74228858947754</v>
      </c>
      <c r="I2273" t="s">
        <v>57</v>
      </c>
    </row>
    <row r="2274" spans="1:9">
      <c r="A2274" s="4" t="s">
        <v>4602</v>
      </c>
      <c r="B2274" s="4" t="s">
        <v>4603</v>
      </c>
      <c r="C2274" s="4" t="s">
        <v>47</v>
      </c>
      <c r="D2274" s="2">
        <f>2827456256/(10^6)</f>
        <v>2827.456256</v>
      </c>
      <c r="E2274" s="5">
        <v>7.74515533447266</v>
      </c>
      <c r="F2274" s="5">
        <v>2.1792938709259</v>
      </c>
      <c r="G2274" s="5">
        <v>0.702498435974121</v>
      </c>
      <c r="H2274" s="5">
        <v>7.48314380645752</v>
      </c>
      <c r="I2274" t="s">
        <v>57</v>
      </c>
    </row>
    <row r="2275" spans="1:9">
      <c r="A2275" s="4" t="s">
        <v>4604</v>
      </c>
      <c r="B2275" s="4" t="s">
        <v>4605</v>
      </c>
      <c r="C2275" s="4" t="s">
        <v>43</v>
      </c>
      <c r="D2275" s="2">
        <f>2824361216/(10^6)</f>
        <v>2824.361216</v>
      </c>
      <c r="E2275" s="5">
        <v>6.9617805480957</v>
      </c>
      <c r="F2275" s="5">
        <v>0.839836597442627</v>
      </c>
      <c r="G2275" s="5">
        <v>0.825416386127472</v>
      </c>
      <c r="H2275" s="5">
        <v>5.41254472732544</v>
      </c>
      <c r="I2275" t="s">
        <v>57</v>
      </c>
    </row>
    <row r="2276" spans="1:9">
      <c r="A2276" s="4" t="s">
        <v>4606</v>
      </c>
      <c r="B2276" s="4" t="s">
        <v>4607</v>
      </c>
      <c r="C2276" s="4" t="s">
        <v>31</v>
      </c>
      <c r="D2276" s="2">
        <f>2807120384/(10^6)</f>
        <v>2807.120384</v>
      </c>
      <c r="E2276" s="5">
        <v>24.7028331756592</v>
      </c>
      <c r="F2276" s="5">
        <v>2.209388256073</v>
      </c>
      <c r="G2276" s="5">
        <v>0.822893679141998</v>
      </c>
      <c r="H2276" s="5">
        <v>7.0308723449707</v>
      </c>
      <c r="I2276" t="s">
        <v>57</v>
      </c>
    </row>
    <row r="2277" spans="1:9">
      <c r="A2277" s="4" t="s">
        <v>4608</v>
      </c>
      <c r="B2277" s="4" t="s">
        <v>4609</v>
      </c>
      <c r="C2277" s="4" t="s">
        <v>51</v>
      </c>
      <c r="D2277" s="2">
        <f>2806542592/(10^6)</f>
        <v>2806.542592</v>
      </c>
      <c r="E2277" s="5" t="s">
        <v>86</v>
      </c>
      <c r="F2277" s="5" t="s">
        <v>86</v>
      </c>
      <c r="G2277" s="5">
        <v>5.58414077758789</v>
      </c>
      <c r="H2277" s="5" t="s">
        <v>86</v>
      </c>
      <c r="I2277" t="s">
        <v>57</v>
      </c>
    </row>
    <row r="2278" spans="1:9">
      <c r="A2278" s="4" t="s">
        <v>4610</v>
      </c>
      <c r="B2278" s="4" t="s">
        <v>4611</v>
      </c>
      <c r="C2278" s="4" t="s">
        <v>47</v>
      </c>
      <c r="D2278" s="2">
        <f>2806126336/(10^6)</f>
        <v>2806.126336</v>
      </c>
      <c r="E2278" s="5">
        <v>27.7378082275391</v>
      </c>
      <c r="F2278" s="5">
        <v>1.87836837768555</v>
      </c>
      <c r="G2278" s="5">
        <v>2.75306463241577</v>
      </c>
      <c r="H2278" s="5">
        <v>9.7598991394043</v>
      </c>
      <c r="I2278" t="s">
        <v>57</v>
      </c>
    </row>
    <row r="2279" spans="1:9">
      <c r="A2279" s="4" t="s">
        <v>4612</v>
      </c>
      <c r="B2279" s="4" t="s">
        <v>4613</v>
      </c>
      <c r="C2279" s="4" t="s">
        <v>51</v>
      </c>
      <c r="D2279" s="2">
        <f>2804865536/(10^6)</f>
        <v>2804.865536</v>
      </c>
      <c r="E2279" s="5">
        <v>56.5741806030273</v>
      </c>
      <c r="F2279" s="5">
        <v>4.94122219085693</v>
      </c>
      <c r="G2279" s="5">
        <v>5.93419647216797</v>
      </c>
      <c r="H2279" s="5">
        <v>79.6157455444336</v>
      </c>
      <c r="I2279" t="s">
        <v>57</v>
      </c>
    </row>
    <row r="2280" spans="1:9">
      <c r="A2280" s="4" t="s">
        <v>4614</v>
      </c>
      <c r="B2280" s="4" t="s">
        <v>4615</v>
      </c>
      <c r="C2280" s="4" t="s">
        <v>27</v>
      </c>
      <c r="D2280" s="2">
        <f>2801391872/(10^6)</f>
        <v>2801.391872</v>
      </c>
      <c r="E2280" s="5">
        <v>4.75446319580078</v>
      </c>
      <c r="F2280" s="5">
        <v>0.230553776025772</v>
      </c>
      <c r="G2280" s="5">
        <v>0.555322229862213</v>
      </c>
      <c r="H2280" s="5">
        <v>2.52554178237915</v>
      </c>
      <c r="I2280" t="s">
        <v>57</v>
      </c>
    </row>
    <row r="2281" spans="1:9">
      <c r="A2281" s="4" t="s">
        <v>4616</v>
      </c>
      <c r="B2281" s="4" t="s">
        <v>4617</v>
      </c>
      <c r="C2281" s="4" t="s">
        <v>47</v>
      </c>
      <c r="D2281" s="2">
        <f>2782023936/(10^6)</f>
        <v>2782.023936</v>
      </c>
      <c r="E2281" s="5">
        <v>21.6927280426025</v>
      </c>
      <c r="F2281" s="5">
        <v>2.59700608253479</v>
      </c>
      <c r="G2281" s="5">
        <v>1.95854902267456</v>
      </c>
      <c r="H2281" s="5">
        <v>12.6354541778564</v>
      </c>
      <c r="I2281" t="s">
        <v>57</v>
      </c>
    </row>
    <row r="2282" spans="1:9">
      <c r="A2282" s="4" t="s">
        <v>4618</v>
      </c>
      <c r="B2282" s="4" t="s">
        <v>4619</v>
      </c>
      <c r="C2282" s="4" t="s">
        <v>47</v>
      </c>
      <c r="D2282" s="2">
        <f>2772416000/(10^6)</f>
        <v>2772.416</v>
      </c>
      <c r="E2282" s="5">
        <v>3.82110714912415</v>
      </c>
      <c r="F2282" s="5">
        <v>0.465405195951462</v>
      </c>
      <c r="G2282" s="5">
        <v>0.290488541126251</v>
      </c>
      <c r="H2282" s="5">
        <v>4.99320602416992</v>
      </c>
      <c r="I2282" t="s">
        <v>57</v>
      </c>
    </row>
    <row r="2283" spans="1:9">
      <c r="A2283" s="4" t="s">
        <v>4620</v>
      </c>
      <c r="B2283" s="4" t="s">
        <v>4621</v>
      </c>
      <c r="C2283" s="4" t="s">
        <v>51</v>
      </c>
      <c r="D2283" s="2">
        <f>2756489728/(10^6)</f>
        <v>2756.489728</v>
      </c>
      <c r="E2283" s="5">
        <v>25.6567993164062</v>
      </c>
      <c r="F2283" s="5">
        <v>2.09012794494629</v>
      </c>
      <c r="G2283" s="5">
        <v>2.10123562812805</v>
      </c>
      <c r="H2283" s="5">
        <v>15.1174545288086</v>
      </c>
      <c r="I2283" t="s">
        <v>57</v>
      </c>
    </row>
    <row r="2284" spans="1:9">
      <c r="A2284" s="4" t="s">
        <v>4622</v>
      </c>
      <c r="B2284" s="4" t="s">
        <v>4623</v>
      </c>
      <c r="C2284" s="4" t="s">
        <v>31</v>
      </c>
      <c r="D2284" s="2">
        <f>2754365952/(10^6)</f>
        <v>2754.365952</v>
      </c>
      <c r="E2284" s="5">
        <v>21.7793579101562</v>
      </c>
      <c r="F2284" s="5">
        <v>2.55102968215942</v>
      </c>
      <c r="G2284" s="5">
        <v>3.73442459106445</v>
      </c>
      <c r="H2284" s="5">
        <v>14.4857492446899</v>
      </c>
      <c r="I2284" t="s">
        <v>57</v>
      </c>
    </row>
    <row r="2285" spans="1:9">
      <c r="A2285" s="4" t="s">
        <v>4624</v>
      </c>
      <c r="B2285" s="4" t="s">
        <v>4625</v>
      </c>
      <c r="C2285" s="4" t="s">
        <v>31</v>
      </c>
      <c r="D2285" s="2">
        <f>2751468032/(10^6)</f>
        <v>2751.468032</v>
      </c>
      <c r="E2285" s="5">
        <v>5.08697414398193</v>
      </c>
      <c r="F2285" s="5">
        <v>0.572931826114655</v>
      </c>
      <c r="G2285" s="5">
        <v>0.356624752283096</v>
      </c>
      <c r="H2285" s="5">
        <v>3.08112335205078</v>
      </c>
      <c r="I2285" t="s">
        <v>57</v>
      </c>
    </row>
    <row r="2286" spans="1:9">
      <c r="A2286" s="4" t="s">
        <v>4626</v>
      </c>
      <c r="B2286" s="4" t="s">
        <v>4627</v>
      </c>
      <c r="C2286" s="4" t="s">
        <v>39</v>
      </c>
      <c r="D2286" s="2">
        <f>2748832000/(10^6)</f>
        <v>2748.832</v>
      </c>
      <c r="E2286" s="5">
        <v>22.6108016967773</v>
      </c>
      <c r="F2286" s="5">
        <v>1.41678023338318</v>
      </c>
      <c r="G2286" s="5">
        <v>2.01218509674072</v>
      </c>
      <c r="H2286" s="5">
        <v>12.0190944671631</v>
      </c>
      <c r="I2286" t="s">
        <v>57</v>
      </c>
    </row>
    <row r="2287" spans="1:9">
      <c r="A2287" s="4" t="s">
        <v>4628</v>
      </c>
      <c r="B2287" s="4" t="s">
        <v>4629</v>
      </c>
      <c r="C2287" s="4" t="s">
        <v>41</v>
      </c>
      <c r="D2287" s="2">
        <f>2746854912/(10^6)</f>
        <v>2746.854912</v>
      </c>
      <c r="E2287" s="5" t="s">
        <v>86</v>
      </c>
      <c r="F2287" s="5">
        <v>10.1667461395264</v>
      </c>
      <c r="G2287" s="5">
        <v>8687.416015625</v>
      </c>
      <c r="H2287" s="5" t="s">
        <v>86</v>
      </c>
      <c r="I2287" t="s">
        <v>57</v>
      </c>
    </row>
    <row r="2288" spans="1:9">
      <c r="A2288" s="4" t="s">
        <v>4630</v>
      </c>
      <c r="B2288" s="4" t="s">
        <v>4631</v>
      </c>
      <c r="C2288" s="4" t="s">
        <v>47</v>
      </c>
      <c r="D2288" s="2">
        <f>2745015040/(10^6)</f>
        <v>2745.01504</v>
      </c>
      <c r="E2288" s="5">
        <v>5.57739400863647</v>
      </c>
      <c r="F2288" s="5">
        <v>0.603891253471375</v>
      </c>
      <c r="G2288" s="5">
        <v>0.430576890707016</v>
      </c>
      <c r="H2288" s="5">
        <v>9.4490909576416</v>
      </c>
      <c r="I2288" t="s">
        <v>57</v>
      </c>
    </row>
    <row r="2289" spans="1:9">
      <c r="A2289" s="4" t="s">
        <v>4632</v>
      </c>
      <c r="B2289" s="4" t="s">
        <v>4633</v>
      </c>
      <c r="C2289" s="4" t="s">
        <v>31</v>
      </c>
      <c r="D2289" s="2">
        <f>2744162048/(10^6)</f>
        <v>2744.162048</v>
      </c>
      <c r="E2289" s="5">
        <v>16.0154762268066</v>
      </c>
      <c r="F2289" s="5">
        <v>1.63812756538391</v>
      </c>
      <c r="G2289" s="5">
        <v>1.5024139881134</v>
      </c>
      <c r="H2289" s="5">
        <v>6.95360660552979</v>
      </c>
      <c r="I2289" t="s">
        <v>57</v>
      </c>
    </row>
    <row r="2290" spans="1:9">
      <c r="A2290" s="4" t="s">
        <v>4634</v>
      </c>
      <c r="B2290" s="4" t="s">
        <v>4635</v>
      </c>
      <c r="C2290" s="4" t="s">
        <v>39</v>
      </c>
      <c r="D2290" s="2">
        <f>2740988928/(10^6)</f>
        <v>2740.988928</v>
      </c>
      <c r="E2290" s="5">
        <v>26.9664764404297</v>
      </c>
      <c r="F2290" s="5">
        <v>2.24670267105102</v>
      </c>
      <c r="G2290" s="5">
        <v>3.1685106754303</v>
      </c>
      <c r="H2290" s="5">
        <v>13.1452436447144</v>
      </c>
      <c r="I2290" t="s">
        <v>57</v>
      </c>
    </row>
    <row r="2291" spans="1:9">
      <c r="A2291" s="4" t="s">
        <v>4636</v>
      </c>
      <c r="B2291" s="4" t="s">
        <v>4637</v>
      </c>
      <c r="C2291" s="4" t="s">
        <v>31</v>
      </c>
      <c r="D2291" s="2">
        <f>2733178368/(10^6)</f>
        <v>2733.178368</v>
      </c>
      <c r="E2291" s="5">
        <v>20.3614616394043</v>
      </c>
      <c r="F2291" s="5">
        <v>2.79478621482849</v>
      </c>
      <c r="G2291" s="5">
        <v>1.71830439567566</v>
      </c>
      <c r="H2291" s="5">
        <v>11.2217464447021</v>
      </c>
      <c r="I2291" t="s">
        <v>57</v>
      </c>
    </row>
    <row r="2292" spans="1:9">
      <c r="A2292" s="4" t="s">
        <v>4638</v>
      </c>
      <c r="B2292" s="4" t="s">
        <v>4639</v>
      </c>
      <c r="C2292" s="4" t="s">
        <v>47</v>
      </c>
      <c r="D2292" s="2">
        <f>2724576000/(10^6)</f>
        <v>2724.576</v>
      </c>
      <c r="E2292" s="5">
        <v>3.59292960166931</v>
      </c>
      <c r="F2292" s="5">
        <v>0.502348601818085</v>
      </c>
      <c r="G2292" s="5">
        <v>0.137909024953842</v>
      </c>
      <c r="H2292" s="5">
        <v>3.48886895179748</v>
      </c>
      <c r="I2292" t="s">
        <v>57</v>
      </c>
    </row>
    <row r="2293" spans="1:9">
      <c r="A2293" s="4" t="s">
        <v>4640</v>
      </c>
      <c r="B2293" s="4" t="s">
        <v>4641</v>
      </c>
      <c r="C2293" s="4" t="s">
        <v>47</v>
      </c>
      <c r="D2293" s="2">
        <f>2719981056/(10^6)</f>
        <v>2719.981056</v>
      </c>
      <c r="E2293" s="5">
        <v>5.32429075241089</v>
      </c>
      <c r="F2293" s="5">
        <v>1.50440108776093</v>
      </c>
      <c r="G2293" s="5">
        <v>0.522303223609924</v>
      </c>
      <c r="H2293" s="5">
        <v>10.6096115112305</v>
      </c>
      <c r="I2293" t="s">
        <v>57</v>
      </c>
    </row>
    <row r="2294" spans="1:9">
      <c r="A2294" s="4" t="s">
        <v>4642</v>
      </c>
      <c r="B2294" s="4" t="s">
        <v>4643</v>
      </c>
      <c r="C2294" s="4" t="s">
        <v>43</v>
      </c>
      <c r="D2294" s="2">
        <f>2716656384/(10^6)</f>
        <v>2716.656384</v>
      </c>
      <c r="E2294" s="5">
        <v>4.27513837814331</v>
      </c>
      <c r="F2294" s="5">
        <v>0.642351925373077</v>
      </c>
      <c r="G2294" s="5">
        <v>2.31570720672607</v>
      </c>
      <c r="H2294" s="5" t="s">
        <v>86</v>
      </c>
      <c r="I2294" t="s">
        <v>57</v>
      </c>
    </row>
    <row r="2295" spans="1:9">
      <c r="A2295" s="4" t="s">
        <v>4644</v>
      </c>
      <c r="B2295" s="4" t="s">
        <v>4645</v>
      </c>
      <c r="C2295" s="4" t="s">
        <v>35</v>
      </c>
      <c r="D2295" s="2">
        <f>2703923712/(10^6)</f>
        <v>2703.923712</v>
      </c>
      <c r="E2295" s="5">
        <v>50.1196556091309</v>
      </c>
      <c r="F2295" s="5">
        <v>18.5311584472656</v>
      </c>
      <c r="G2295" s="5">
        <v>6.45627403259277</v>
      </c>
      <c r="H2295" s="5">
        <v>31.3958530426025</v>
      </c>
      <c r="I2295" t="s">
        <v>57</v>
      </c>
    </row>
    <row r="2296" spans="1:9">
      <c r="A2296" s="4" t="s">
        <v>4646</v>
      </c>
      <c r="B2296" s="4" t="s">
        <v>4647</v>
      </c>
      <c r="C2296" s="4" t="s">
        <v>43</v>
      </c>
      <c r="D2296" s="2">
        <f>2700678656/(10^6)</f>
        <v>2700.678656</v>
      </c>
      <c r="E2296" s="5">
        <v>4.69238424301147</v>
      </c>
      <c r="F2296" s="5">
        <v>0.61274665594101</v>
      </c>
      <c r="G2296" s="5">
        <v>1.17465114593506</v>
      </c>
      <c r="H2296" s="5" t="s">
        <v>86</v>
      </c>
      <c r="I2296" t="s">
        <v>57</v>
      </c>
    </row>
    <row r="2297" spans="1:9">
      <c r="A2297" s="4" t="s">
        <v>4648</v>
      </c>
      <c r="B2297" s="4" t="s">
        <v>4649</v>
      </c>
      <c r="C2297" s="4" t="s">
        <v>31</v>
      </c>
      <c r="D2297" s="2">
        <f>2699544320/(10^6)</f>
        <v>2699.54432</v>
      </c>
      <c r="E2297" s="5">
        <v>34.4075584411621</v>
      </c>
      <c r="F2297" s="5" t="s">
        <v>86</v>
      </c>
      <c r="G2297" s="5" t="s">
        <v>86</v>
      </c>
      <c r="H2297" s="5" t="s">
        <v>86</v>
      </c>
      <c r="I2297" t="s">
        <v>57</v>
      </c>
    </row>
    <row r="2298" spans="1:9">
      <c r="A2298" s="4" t="s">
        <v>4650</v>
      </c>
      <c r="B2298" s="4" t="s">
        <v>4651</v>
      </c>
      <c r="C2298" s="4" t="s">
        <v>43</v>
      </c>
      <c r="D2298" s="2">
        <f>2697827328/(10^6)</f>
        <v>2697.827328</v>
      </c>
      <c r="E2298" s="5">
        <v>137.463394165039</v>
      </c>
      <c r="F2298" s="5">
        <v>1.12240338325501</v>
      </c>
      <c r="G2298" s="5">
        <v>1.27157425880432</v>
      </c>
      <c r="H2298" s="5">
        <v>6.29457187652588</v>
      </c>
      <c r="I2298" t="s">
        <v>57</v>
      </c>
    </row>
    <row r="2299" spans="1:9">
      <c r="A2299" s="4" t="s">
        <v>4652</v>
      </c>
      <c r="B2299" s="4" t="s">
        <v>4653</v>
      </c>
      <c r="C2299" s="4" t="s">
        <v>41</v>
      </c>
      <c r="D2299" s="2">
        <f>2695222528/(10^6)</f>
        <v>2695.222528</v>
      </c>
      <c r="E2299" s="5">
        <v>266.289642333984</v>
      </c>
      <c r="F2299" s="5">
        <v>6.77873992919922</v>
      </c>
      <c r="G2299" s="5">
        <v>6.30961275100708</v>
      </c>
      <c r="H2299" s="5">
        <v>53.9981155395508</v>
      </c>
      <c r="I2299" t="s">
        <v>57</v>
      </c>
    </row>
    <row r="2300" spans="1:9">
      <c r="A2300" s="4" t="s">
        <v>4654</v>
      </c>
      <c r="B2300" s="4" t="s">
        <v>4655</v>
      </c>
      <c r="C2300" s="4" t="s">
        <v>51</v>
      </c>
      <c r="D2300" s="2">
        <f>2694652928/(10^6)</f>
        <v>2694.652928</v>
      </c>
      <c r="E2300" s="5">
        <v>49.1592559814453</v>
      </c>
      <c r="F2300" s="5">
        <v>6.45211839675903</v>
      </c>
      <c r="G2300" s="5">
        <v>4.29603338241577</v>
      </c>
      <c r="H2300" s="5">
        <v>28.5709190368652</v>
      </c>
      <c r="I2300" t="s">
        <v>57</v>
      </c>
    </row>
    <row r="2301" spans="1:9">
      <c r="A2301" s="4" t="s">
        <v>4656</v>
      </c>
      <c r="B2301" s="4" t="s">
        <v>4657</v>
      </c>
      <c r="C2301" s="4" t="s">
        <v>43</v>
      </c>
      <c r="D2301" s="2">
        <f>2692877568/(10^6)</f>
        <v>2692.877568</v>
      </c>
      <c r="E2301" s="5">
        <v>12.6444616317749</v>
      </c>
      <c r="F2301" s="5">
        <v>1.35036981105804</v>
      </c>
      <c r="G2301" s="5">
        <v>5.19660425186157</v>
      </c>
      <c r="H2301" s="5" t="s">
        <v>86</v>
      </c>
      <c r="I2301" t="s">
        <v>57</v>
      </c>
    </row>
    <row r="2302" spans="1:9">
      <c r="A2302" s="4" t="s">
        <v>4658</v>
      </c>
      <c r="B2302" s="4" t="s">
        <v>4659</v>
      </c>
      <c r="C2302" s="4" t="s">
        <v>51</v>
      </c>
      <c r="D2302" s="2">
        <f>2690741248/(10^6)</f>
        <v>2690.741248</v>
      </c>
      <c r="E2302" s="5">
        <v>36.5568695068359</v>
      </c>
      <c r="F2302" s="5">
        <v>2.37830066680908</v>
      </c>
      <c r="G2302" s="5">
        <v>2.13790202140808</v>
      </c>
      <c r="H2302" s="5">
        <v>15.0952930450439</v>
      </c>
      <c r="I2302" t="s">
        <v>57</v>
      </c>
    </row>
    <row r="2303" spans="1:9">
      <c r="A2303" s="4" t="s">
        <v>4660</v>
      </c>
      <c r="B2303" s="4" t="s">
        <v>4661</v>
      </c>
      <c r="C2303" s="4" t="s">
        <v>49</v>
      </c>
      <c r="D2303" s="2">
        <f>2677499904/(10^6)</f>
        <v>2677.499904</v>
      </c>
      <c r="E2303" s="5">
        <v>30.8810176849365</v>
      </c>
      <c r="F2303" s="5">
        <v>3.51327967643738</v>
      </c>
      <c r="G2303" s="5">
        <v>2.16680765151977</v>
      </c>
      <c r="H2303" s="5" t="s">
        <v>86</v>
      </c>
      <c r="I2303" t="s">
        <v>57</v>
      </c>
    </row>
    <row r="2304" spans="1:9">
      <c r="A2304" s="4" t="s">
        <v>4662</v>
      </c>
      <c r="B2304" s="4" t="s">
        <v>4663</v>
      </c>
      <c r="C2304" s="4" t="s">
        <v>41</v>
      </c>
      <c r="D2304" s="2">
        <f>2663440128/(10^6)</f>
        <v>2663.440128</v>
      </c>
      <c r="E2304" s="5">
        <v>28.406587600708</v>
      </c>
      <c r="F2304" s="5">
        <v>2.43277359008789</v>
      </c>
      <c r="G2304" s="5">
        <v>2.38692092895508</v>
      </c>
      <c r="H2304" s="5">
        <v>14.597635269165</v>
      </c>
      <c r="I2304" t="s">
        <v>57</v>
      </c>
    </row>
    <row r="2305" spans="1:9">
      <c r="A2305" s="4" t="s">
        <v>4664</v>
      </c>
      <c r="B2305" s="4" t="s">
        <v>4665</v>
      </c>
      <c r="C2305" s="4" t="s">
        <v>43</v>
      </c>
      <c r="D2305" s="2">
        <f>2656828416/(10^6)</f>
        <v>2656.828416</v>
      </c>
      <c r="E2305" s="5">
        <v>6.63499689102173</v>
      </c>
      <c r="F2305" s="5">
        <v>0.170214653015137</v>
      </c>
      <c r="G2305" s="5">
        <v>0.435142248868942</v>
      </c>
      <c r="H2305" s="5" t="s">
        <v>86</v>
      </c>
      <c r="I2305" t="s">
        <v>57</v>
      </c>
    </row>
    <row r="2306" spans="1:9">
      <c r="A2306" s="4" t="s">
        <v>4666</v>
      </c>
      <c r="B2306" s="4" t="s">
        <v>4667</v>
      </c>
      <c r="C2306" s="4" t="s">
        <v>41</v>
      </c>
      <c r="D2306" s="2">
        <f>2656564480/(10^6)</f>
        <v>2656.56448</v>
      </c>
      <c r="E2306" s="5" t="s">
        <v>86</v>
      </c>
      <c r="F2306" s="5">
        <v>2.05832195281982</v>
      </c>
      <c r="G2306" s="5">
        <v>58.9954833984375</v>
      </c>
      <c r="H2306" s="5" t="s">
        <v>86</v>
      </c>
      <c r="I2306" t="s">
        <v>57</v>
      </c>
    </row>
    <row r="2307" spans="1:9">
      <c r="A2307" s="4" t="s">
        <v>4668</v>
      </c>
      <c r="B2307" s="4" t="s">
        <v>4669</v>
      </c>
      <c r="C2307" s="4" t="s">
        <v>31</v>
      </c>
      <c r="D2307" s="2">
        <f>2653766912/(10^6)</f>
        <v>2653.766912</v>
      </c>
      <c r="E2307" s="5">
        <v>13.546459197998</v>
      </c>
      <c r="F2307" s="5">
        <v>5.61247968673706</v>
      </c>
      <c r="G2307" s="5">
        <v>0.696153938770294</v>
      </c>
      <c r="H2307" s="5">
        <v>8.19932460784912</v>
      </c>
      <c r="I2307" t="s">
        <v>57</v>
      </c>
    </row>
    <row r="2308" spans="1:9">
      <c r="A2308" s="4" t="s">
        <v>4670</v>
      </c>
      <c r="B2308" s="4" t="s">
        <v>4671</v>
      </c>
      <c r="C2308" s="4" t="s">
        <v>31</v>
      </c>
      <c r="D2308" s="2">
        <f>2651782656/(10^6)</f>
        <v>2651.782656</v>
      </c>
      <c r="E2308" s="5">
        <v>12.7015953063965</v>
      </c>
      <c r="F2308" s="5">
        <v>1.94259035587311</v>
      </c>
      <c r="G2308" s="5">
        <v>1.13352072238922</v>
      </c>
      <c r="H2308" s="5">
        <v>8.41111469268799</v>
      </c>
      <c r="I2308" t="s">
        <v>57</v>
      </c>
    </row>
    <row r="2309" spans="1:9">
      <c r="A2309" s="4" t="s">
        <v>4672</v>
      </c>
      <c r="B2309" s="4" t="s">
        <v>4673</v>
      </c>
      <c r="C2309" s="4" t="s">
        <v>35</v>
      </c>
      <c r="D2309" s="2">
        <f>2647194112/(10^6)</f>
        <v>2647.194112</v>
      </c>
      <c r="E2309" s="5">
        <v>40.0636978149414</v>
      </c>
      <c r="F2309" s="5">
        <v>1.73995792865753</v>
      </c>
      <c r="G2309" s="5">
        <v>1.23119139671326</v>
      </c>
      <c r="H2309" s="5">
        <v>29.7641277313232</v>
      </c>
      <c r="I2309" t="s">
        <v>57</v>
      </c>
    </row>
    <row r="2310" spans="1:9">
      <c r="A2310" s="4" t="s">
        <v>4674</v>
      </c>
      <c r="B2310" s="4" t="s">
        <v>4675</v>
      </c>
      <c r="C2310" s="4" t="s">
        <v>35</v>
      </c>
      <c r="D2310" s="2">
        <f>2646303488/(10^6)</f>
        <v>2646.303488</v>
      </c>
      <c r="E2310" s="5">
        <v>83.2167739868164</v>
      </c>
      <c r="F2310" s="5">
        <v>1.93174409866333</v>
      </c>
      <c r="G2310" s="5">
        <v>0.738465845584869</v>
      </c>
      <c r="H2310" s="5">
        <v>14.7961292266846</v>
      </c>
      <c r="I2310" t="s">
        <v>57</v>
      </c>
    </row>
    <row r="2311" spans="1:9">
      <c r="A2311" s="4" t="s">
        <v>4676</v>
      </c>
      <c r="B2311" s="4" t="s">
        <v>4677</v>
      </c>
      <c r="C2311" s="4" t="s">
        <v>47</v>
      </c>
      <c r="D2311" s="2">
        <f>2643690496/(10^6)</f>
        <v>2643.690496</v>
      </c>
      <c r="E2311" s="5">
        <v>14.889702796936</v>
      </c>
      <c r="F2311" s="5">
        <v>2.29222226142883</v>
      </c>
      <c r="G2311" s="5">
        <v>1.0163768529892</v>
      </c>
      <c r="H2311" s="5">
        <v>8.84670066833496</v>
      </c>
      <c r="I2311" t="s">
        <v>57</v>
      </c>
    </row>
    <row r="2312" spans="1:9">
      <c r="A2312" s="4" t="s">
        <v>4678</v>
      </c>
      <c r="B2312" s="4" t="s">
        <v>4679</v>
      </c>
      <c r="C2312" s="4" t="s">
        <v>31</v>
      </c>
      <c r="D2312" s="2">
        <f>2642410752/(10^6)</f>
        <v>2642.410752</v>
      </c>
      <c r="E2312" s="5">
        <v>20.7273502349854</v>
      </c>
      <c r="F2312" s="5">
        <v>2.95203471183777</v>
      </c>
      <c r="G2312" s="5">
        <v>2.33811259269714</v>
      </c>
      <c r="H2312" s="5">
        <v>10.6968994140625</v>
      </c>
      <c r="I2312" t="s">
        <v>57</v>
      </c>
    </row>
    <row r="2313" spans="1:9">
      <c r="A2313" s="4" t="s">
        <v>4680</v>
      </c>
      <c r="B2313" s="4" t="s">
        <v>4681</v>
      </c>
      <c r="C2313" s="4" t="s">
        <v>51</v>
      </c>
      <c r="D2313" s="2">
        <f>2631922176/(10^6)</f>
        <v>2631.922176</v>
      </c>
      <c r="E2313" s="5" t="s">
        <v>86</v>
      </c>
      <c r="F2313" s="5">
        <v>12.8205585479736</v>
      </c>
      <c r="G2313" s="5">
        <v>9.65738582611084</v>
      </c>
      <c r="H2313" s="5" t="s">
        <v>86</v>
      </c>
      <c r="I2313" t="s">
        <v>57</v>
      </c>
    </row>
    <row r="2314" spans="1:9">
      <c r="A2314" s="4" t="s">
        <v>4682</v>
      </c>
      <c r="B2314" s="4" t="s">
        <v>4683</v>
      </c>
      <c r="C2314" s="4" t="s">
        <v>51</v>
      </c>
      <c r="D2314" s="2">
        <f>2631200768/(10^6)</f>
        <v>2631.200768</v>
      </c>
      <c r="E2314" s="5">
        <v>17.6715564727783</v>
      </c>
      <c r="F2314" s="5">
        <v>2.76465511322021</v>
      </c>
      <c r="G2314" s="5">
        <v>1.50961530208588</v>
      </c>
      <c r="H2314" s="5">
        <v>11.6285829544067</v>
      </c>
      <c r="I2314" t="s">
        <v>57</v>
      </c>
    </row>
    <row r="2315" spans="1:9">
      <c r="A2315" s="4" t="s">
        <v>4684</v>
      </c>
      <c r="B2315" s="4" t="s">
        <v>4685</v>
      </c>
      <c r="C2315" s="4" t="s">
        <v>39</v>
      </c>
      <c r="D2315" s="2">
        <f>2628382720/(10^6)</f>
        <v>2628.38272</v>
      </c>
      <c r="E2315" s="5" t="s">
        <v>86</v>
      </c>
      <c r="F2315" s="5">
        <v>1.31360256671905</v>
      </c>
      <c r="G2315" s="5">
        <v>2.75658321380615</v>
      </c>
      <c r="H2315" s="5">
        <v>20.8727931976318</v>
      </c>
      <c r="I2315" t="s">
        <v>57</v>
      </c>
    </row>
    <row r="2316" spans="1:9">
      <c r="A2316" s="4" t="s">
        <v>4686</v>
      </c>
      <c r="B2316" s="4" t="s">
        <v>4687</v>
      </c>
      <c r="C2316" s="4" t="s">
        <v>51</v>
      </c>
      <c r="D2316" s="2">
        <f>2625719808/(10^6)</f>
        <v>2625.719808</v>
      </c>
      <c r="E2316" s="5">
        <v>38.8000793457031</v>
      </c>
      <c r="F2316" s="5">
        <v>3.59038996696472</v>
      </c>
      <c r="G2316" s="5">
        <v>6.15262413024902</v>
      </c>
      <c r="H2316" s="5">
        <v>9.11225032806396</v>
      </c>
      <c r="I2316" t="s">
        <v>57</v>
      </c>
    </row>
    <row r="2317" spans="1:9">
      <c r="A2317" s="4" t="s">
        <v>4688</v>
      </c>
      <c r="B2317" s="4" t="s">
        <v>4689</v>
      </c>
      <c r="C2317" s="4" t="s">
        <v>45</v>
      </c>
      <c r="D2317" s="2">
        <f>2618831360/(10^6)</f>
        <v>2618.83136</v>
      </c>
      <c r="E2317" s="5">
        <v>9.55126667022705</v>
      </c>
      <c r="F2317" s="5">
        <v>2.00894856452942</v>
      </c>
      <c r="G2317" s="5">
        <v>0.296437680721283</v>
      </c>
      <c r="H2317" s="5">
        <v>6.84227561950684</v>
      </c>
      <c r="I2317" t="s">
        <v>57</v>
      </c>
    </row>
    <row r="2318" spans="1:9">
      <c r="A2318" s="4" t="s">
        <v>4690</v>
      </c>
      <c r="B2318" s="4" t="s">
        <v>4691</v>
      </c>
      <c r="C2318" s="4" t="s">
        <v>47</v>
      </c>
      <c r="D2318" s="2">
        <f>2616232704/(10^6)</f>
        <v>2616.232704</v>
      </c>
      <c r="E2318" s="5">
        <v>6.18589973449707</v>
      </c>
      <c r="F2318" s="5">
        <v>0.826213538646698</v>
      </c>
      <c r="G2318" s="5">
        <v>0.12368069589138</v>
      </c>
      <c r="H2318" s="5">
        <v>4.72123003005981</v>
      </c>
      <c r="I2318" t="s">
        <v>57</v>
      </c>
    </row>
    <row r="2319" spans="1:9">
      <c r="A2319" s="4" t="s">
        <v>4692</v>
      </c>
      <c r="B2319" s="4" t="s">
        <v>4693</v>
      </c>
      <c r="C2319" s="4" t="s">
        <v>51</v>
      </c>
      <c r="D2319" s="2">
        <f>2613389568/(10^6)</f>
        <v>2613.389568</v>
      </c>
      <c r="E2319" s="5">
        <v>105.346145629883</v>
      </c>
      <c r="F2319" s="5">
        <v>6.58641195297241</v>
      </c>
      <c r="G2319" s="5">
        <v>2.81687641143799</v>
      </c>
      <c r="H2319" s="5">
        <v>23.0672435760498</v>
      </c>
      <c r="I2319" t="s">
        <v>57</v>
      </c>
    </row>
    <row r="2320" spans="1:9">
      <c r="A2320" s="4" t="s">
        <v>4694</v>
      </c>
      <c r="B2320" s="4" t="s">
        <v>4695</v>
      </c>
      <c r="C2320" s="4" t="s">
        <v>33</v>
      </c>
      <c r="D2320" s="2">
        <f>2613099776/(10^6)</f>
        <v>2613.099776</v>
      </c>
      <c r="E2320" s="5">
        <v>40.1952667236328</v>
      </c>
      <c r="F2320" s="5">
        <v>9.48720836639404</v>
      </c>
      <c r="G2320" s="5">
        <v>2.75004196166992</v>
      </c>
      <c r="H2320" s="5">
        <v>16.8374156951904</v>
      </c>
      <c r="I2320" t="s">
        <v>57</v>
      </c>
    </row>
    <row r="2321" spans="1:9">
      <c r="A2321" s="4" t="s">
        <v>4696</v>
      </c>
      <c r="B2321" s="4" t="s">
        <v>4697</v>
      </c>
      <c r="C2321" s="4" t="s">
        <v>33</v>
      </c>
      <c r="D2321" s="2">
        <f>2605907200/(10^6)</f>
        <v>2605.9072</v>
      </c>
      <c r="E2321" s="5">
        <v>67.3121719360352</v>
      </c>
      <c r="F2321" s="5">
        <v>1.9832067489624</v>
      </c>
      <c r="G2321" s="5">
        <v>1.98008024692535</v>
      </c>
      <c r="H2321" s="5">
        <v>17.1804714202881</v>
      </c>
      <c r="I2321" t="s">
        <v>57</v>
      </c>
    </row>
    <row r="2322" spans="1:9">
      <c r="A2322" s="4" t="s">
        <v>4698</v>
      </c>
      <c r="B2322" s="4" t="s">
        <v>4699</v>
      </c>
      <c r="C2322" s="4" t="s">
        <v>27</v>
      </c>
      <c r="D2322" s="2">
        <f>2599813888/(10^6)</f>
        <v>2599.813888</v>
      </c>
      <c r="E2322" s="5" t="s">
        <v>86</v>
      </c>
      <c r="F2322" s="5">
        <v>0.307833552360535</v>
      </c>
      <c r="G2322" s="5">
        <v>0.573172211647034</v>
      </c>
      <c r="H2322" s="5">
        <v>10.7801122665405</v>
      </c>
      <c r="I2322" t="s">
        <v>57</v>
      </c>
    </row>
    <row r="2323" spans="1:9">
      <c r="A2323" s="4" t="s">
        <v>4700</v>
      </c>
      <c r="B2323" s="4" t="s">
        <v>4701</v>
      </c>
      <c r="C2323" s="4" t="s">
        <v>43</v>
      </c>
      <c r="D2323" s="2">
        <f>2594072576/(10^6)</f>
        <v>2594.072576</v>
      </c>
      <c r="E2323" s="5">
        <v>5.0986762046814</v>
      </c>
      <c r="F2323" s="5">
        <v>0.553654372692108</v>
      </c>
      <c r="G2323" s="5">
        <v>1.14504265785217</v>
      </c>
      <c r="H2323" s="5" t="s">
        <v>86</v>
      </c>
      <c r="I2323" t="s">
        <v>57</v>
      </c>
    </row>
    <row r="2324" spans="1:9">
      <c r="A2324" s="4" t="s">
        <v>4702</v>
      </c>
      <c r="B2324" s="4" t="s">
        <v>4703</v>
      </c>
      <c r="C2324" s="4" t="s">
        <v>31</v>
      </c>
      <c r="D2324" s="2">
        <f>2579871232/(10^6)</f>
        <v>2579.871232</v>
      </c>
      <c r="E2324" s="5">
        <v>18.4557209014893</v>
      </c>
      <c r="F2324" s="5">
        <v>0.765368223190308</v>
      </c>
      <c r="G2324" s="5">
        <v>0.905139446258545</v>
      </c>
      <c r="H2324" s="5">
        <v>8.18866348266602</v>
      </c>
      <c r="I2324" t="s">
        <v>57</v>
      </c>
    </row>
    <row r="2325" spans="1:9">
      <c r="A2325" s="4" t="s">
        <v>4704</v>
      </c>
      <c r="B2325" s="4" t="s">
        <v>4705</v>
      </c>
      <c r="C2325" s="4" t="s">
        <v>43</v>
      </c>
      <c r="D2325" s="2">
        <f>2579525888/(10^6)</f>
        <v>2579.525888</v>
      </c>
      <c r="E2325" s="5" t="s">
        <v>86</v>
      </c>
      <c r="F2325" s="5">
        <v>1.73297011852264</v>
      </c>
      <c r="G2325" s="5">
        <v>2.11046600341797</v>
      </c>
      <c r="H2325" s="5" t="s">
        <v>86</v>
      </c>
      <c r="I2325" t="s">
        <v>57</v>
      </c>
    </row>
    <row r="2326" spans="1:9">
      <c r="A2326" s="4" t="s">
        <v>4706</v>
      </c>
      <c r="B2326" s="4" t="s">
        <v>4707</v>
      </c>
      <c r="C2326" s="4" t="s">
        <v>31</v>
      </c>
      <c r="D2326" s="2">
        <f>2577995776/(10^6)</f>
        <v>2577.995776</v>
      </c>
      <c r="E2326" s="5">
        <v>13.9088716506958</v>
      </c>
      <c r="F2326" s="5">
        <v>13.4235620498657</v>
      </c>
      <c r="G2326" s="5">
        <v>0.700433969497681</v>
      </c>
      <c r="H2326" s="5">
        <v>8.17571449279785</v>
      </c>
      <c r="I2326" t="s">
        <v>57</v>
      </c>
    </row>
    <row r="2327" spans="1:9">
      <c r="A2327" s="4" t="s">
        <v>4708</v>
      </c>
      <c r="B2327" s="4" t="s">
        <v>4709</v>
      </c>
      <c r="C2327" s="4" t="s">
        <v>33</v>
      </c>
      <c r="D2327" s="2">
        <f>2568948224/(10^6)</f>
        <v>2568.948224</v>
      </c>
      <c r="E2327" s="5">
        <v>18.8431377410889</v>
      </c>
      <c r="F2327" s="5">
        <v>0.611036419868469</v>
      </c>
      <c r="G2327" s="5">
        <v>0.639401018619537</v>
      </c>
      <c r="H2327" s="5">
        <v>4.89667510986328</v>
      </c>
      <c r="I2327" t="s">
        <v>57</v>
      </c>
    </row>
    <row r="2328" spans="1:9">
      <c r="A2328" s="4" t="s">
        <v>4710</v>
      </c>
      <c r="B2328" s="4" t="s">
        <v>4711</v>
      </c>
      <c r="C2328" s="4" t="s">
        <v>47</v>
      </c>
      <c r="D2328" s="2">
        <f>2562694656/(10^6)</f>
        <v>2562.694656</v>
      </c>
      <c r="E2328" s="5">
        <v>2.64316773414612</v>
      </c>
      <c r="F2328" s="5">
        <v>0.393096417188644</v>
      </c>
      <c r="G2328" s="5">
        <v>0.399657756090164</v>
      </c>
      <c r="H2328" s="5">
        <v>5.04348087310791</v>
      </c>
      <c r="I2328" t="s">
        <v>57</v>
      </c>
    </row>
    <row r="2329" spans="1:9">
      <c r="A2329" s="4" t="s">
        <v>4712</v>
      </c>
      <c r="B2329" s="4" t="s">
        <v>4713</v>
      </c>
      <c r="C2329" s="4" t="s">
        <v>51</v>
      </c>
      <c r="D2329" s="2">
        <f>2560596992/(10^6)</f>
        <v>2560.596992</v>
      </c>
      <c r="E2329" s="5">
        <v>71.7324981689453</v>
      </c>
      <c r="F2329" s="5">
        <v>1.23826038837433</v>
      </c>
      <c r="G2329" s="5">
        <v>1.19312310218811</v>
      </c>
      <c r="H2329" s="5">
        <v>30.9100589752197</v>
      </c>
      <c r="I2329" t="s">
        <v>57</v>
      </c>
    </row>
    <row r="2330" spans="1:9">
      <c r="A2330" s="4" t="s">
        <v>4714</v>
      </c>
      <c r="B2330" s="4" t="s">
        <v>4715</v>
      </c>
      <c r="C2330" s="4" t="s">
        <v>37</v>
      </c>
      <c r="D2330" s="2">
        <f>2550738432/(10^6)</f>
        <v>2550.738432</v>
      </c>
      <c r="E2330" s="5">
        <v>8.70750999450684</v>
      </c>
      <c r="F2330" s="5">
        <v>6.44759702682495</v>
      </c>
      <c r="G2330" s="5">
        <v>1.30323219299316</v>
      </c>
      <c r="H2330" s="5">
        <v>8.9931640625</v>
      </c>
      <c r="I2330" t="s">
        <v>57</v>
      </c>
    </row>
    <row r="2331" spans="1:9">
      <c r="A2331" s="4" t="s">
        <v>4716</v>
      </c>
      <c r="B2331" s="4" t="s">
        <v>4717</v>
      </c>
      <c r="C2331" s="4" t="s">
        <v>43</v>
      </c>
      <c r="D2331" s="2">
        <f>2550162176/(10^6)</f>
        <v>2550.162176</v>
      </c>
      <c r="E2331" s="5">
        <v>7.61380290985107</v>
      </c>
      <c r="F2331" s="5">
        <v>4.16161966323853</v>
      </c>
      <c r="G2331" s="5">
        <v>1.00510609149933</v>
      </c>
      <c r="H2331" s="5">
        <v>6.11757469177246</v>
      </c>
      <c r="I2331" t="s">
        <v>57</v>
      </c>
    </row>
    <row r="2332" spans="1:9">
      <c r="A2332" s="4" t="s">
        <v>4718</v>
      </c>
      <c r="B2332" s="4" t="s">
        <v>4719</v>
      </c>
      <c r="C2332" s="4" t="s">
        <v>51</v>
      </c>
      <c r="D2332" s="2">
        <f>2546595584/(10^6)</f>
        <v>2546.595584</v>
      </c>
      <c r="E2332" s="5">
        <v>63.8258590698242</v>
      </c>
      <c r="F2332" s="5">
        <v>3.32827472686768</v>
      </c>
      <c r="G2332" s="5">
        <v>2.16898703575134</v>
      </c>
      <c r="H2332" s="5">
        <v>12.1386117935181</v>
      </c>
      <c r="I2332" t="s">
        <v>57</v>
      </c>
    </row>
    <row r="2333" spans="1:9">
      <c r="A2333" s="4" t="s">
        <v>4720</v>
      </c>
      <c r="B2333" s="4" t="s">
        <v>4721</v>
      </c>
      <c r="C2333" s="4" t="s">
        <v>41</v>
      </c>
      <c r="D2333" s="2">
        <f>2545165568/(10^6)</f>
        <v>2545.165568</v>
      </c>
      <c r="E2333" s="5" t="s">
        <v>86</v>
      </c>
      <c r="F2333" s="5" t="s">
        <v>86</v>
      </c>
      <c r="G2333" s="5" t="s">
        <v>86</v>
      </c>
      <c r="H2333" s="5" t="s">
        <v>86</v>
      </c>
      <c r="I2333" t="s">
        <v>57</v>
      </c>
    </row>
    <row r="2334" spans="1:9">
      <c r="A2334" s="4" t="s">
        <v>4722</v>
      </c>
      <c r="B2334" s="4" t="s">
        <v>4723</v>
      </c>
      <c r="C2334" s="4" t="s">
        <v>47</v>
      </c>
      <c r="D2334" s="2">
        <f>2530016768/(10^6)</f>
        <v>2530.016768</v>
      </c>
      <c r="E2334" s="5">
        <v>15.8094997406006</v>
      </c>
      <c r="F2334" s="5">
        <v>3.15070629119873</v>
      </c>
      <c r="G2334" s="5">
        <v>0.216541275382042</v>
      </c>
      <c r="H2334" s="5">
        <v>7.8426399230957</v>
      </c>
      <c r="I2334" t="s">
        <v>57</v>
      </c>
    </row>
    <row r="2335" spans="1:9">
      <c r="A2335" s="4" t="s">
        <v>4724</v>
      </c>
      <c r="B2335" s="4" t="s">
        <v>4725</v>
      </c>
      <c r="C2335" s="4" t="s">
        <v>41</v>
      </c>
      <c r="D2335" s="2">
        <f>2526600192/(10^6)</f>
        <v>2526.600192</v>
      </c>
      <c r="E2335" s="5" t="s">
        <v>86</v>
      </c>
      <c r="F2335" s="5">
        <v>4.20388174057007</v>
      </c>
      <c r="G2335" s="5">
        <v>7.38986873626709</v>
      </c>
      <c r="H2335" s="5" t="s">
        <v>86</v>
      </c>
      <c r="I2335" t="s">
        <v>57</v>
      </c>
    </row>
    <row r="2336" spans="1:9">
      <c r="A2336" s="4" t="s">
        <v>4726</v>
      </c>
      <c r="B2336" s="4" t="s">
        <v>4727</v>
      </c>
      <c r="C2336" s="4" t="s">
        <v>43</v>
      </c>
      <c r="D2336" s="2">
        <f>2507188480/(10^6)</f>
        <v>2507.18848</v>
      </c>
      <c r="E2336" s="5">
        <v>46.0236968994141</v>
      </c>
      <c r="F2336" s="5">
        <v>6.22669792175293</v>
      </c>
      <c r="G2336" s="5">
        <v>2.22892570495606</v>
      </c>
      <c r="H2336" s="5">
        <v>23.1721572875977</v>
      </c>
      <c r="I2336" t="s">
        <v>57</v>
      </c>
    </row>
    <row r="2337" spans="1:9">
      <c r="A2337" s="4" t="s">
        <v>4728</v>
      </c>
      <c r="B2337" s="4" t="s">
        <v>4729</v>
      </c>
      <c r="C2337" s="4" t="s">
        <v>47</v>
      </c>
      <c r="D2337" s="2">
        <f>2503102208/(10^6)</f>
        <v>2503.102208</v>
      </c>
      <c r="E2337" s="5">
        <v>5.0504732131958</v>
      </c>
      <c r="F2337" s="5">
        <v>2.54459238052368</v>
      </c>
      <c r="G2337" s="5">
        <v>0.160041391849518</v>
      </c>
      <c r="H2337" s="5">
        <v>3.73845839500427</v>
      </c>
      <c r="I2337" t="s">
        <v>57</v>
      </c>
    </row>
    <row r="2338" spans="1:9">
      <c r="A2338" s="4" t="s">
        <v>4730</v>
      </c>
      <c r="B2338" s="4" t="s">
        <v>4731</v>
      </c>
      <c r="C2338" s="4" t="s">
        <v>47</v>
      </c>
      <c r="D2338" s="2">
        <f>2501902848/(10^6)</f>
        <v>2501.902848</v>
      </c>
      <c r="E2338" s="5">
        <v>8.78440761566162</v>
      </c>
      <c r="F2338" s="5">
        <v>0.832468330860138</v>
      </c>
      <c r="G2338" s="5">
        <v>0.608612358570099</v>
      </c>
      <c r="H2338" s="5">
        <v>9.10059833526611</v>
      </c>
      <c r="I2338" t="s">
        <v>57</v>
      </c>
    </row>
    <row r="2339" spans="1:9">
      <c r="A2339" s="4" t="s">
        <v>4732</v>
      </c>
      <c r="B2339" s="4" t="s">
        <v>4733</v>
      </c>
      <c r="C2339" s="4" t="s">
        <v>51</v>
      </c>
      <c r="D2339" s="2">
        <f>2489551360/(10^6)</f>
        <v>2489.55136</v>
      </c>
      <c r="E2339" s="5">
        <v>68.5411148071289</v>
      </c>
      <c r="F2339" s="5">
        <v>1.90620017051697</v>
      </c>
      <c r="G2339" s="5">
        <v>1.81161212921143</v>
      </c>
      <c r="H2339" s="5">
        <v>16.6714477539062</v>
      </c>
      <c r="I2339" t="s">
        <v>57</v>
      </c>
    </row>
    <row r="2340" spans="1:9">
      <c r="A2340" s="4" t="s">
        <v>4734</v>
      </c>
      <c r="B2340" s="4" t="s">
        <v>4735</v>
      </c>
      <c r="C2340" s="4" t="s">
        <v>41</v>
      </c>
      <c r="D2340" s="2">
        <f>2488146432/(10^6)</f>
        <v>2488.146432</v>
      </c>
      <c r="E2340" s="5" t="s">
        <v>86</v>
      </c>
      <c r="F2340" s="5">
        <v>3.84713196754456</v>
      </c>
      <c r="G2340" s="5" t="s">
        <v>86</v>
      </c>
      <c r="H2340" s="5" t="s">
        <v>86</v>
      </c>
      <c r="I2340" t="s">
        <v>57</v>
      </c>
    </row>
    <row r="2341" spans="1:9">
      <c r="A2341" s="4" t="s">
        <v>4736</v>
      </c>
      <c r="B2341" s="4" t="s">
        <v>4737</v>
      </c>
      <c r="C2341" s="4" t="s">
        <v>41</v>
      </c>
      <c r="D2341" s="2">
        <f>2488011776/(10^6)</f>
        <v>2488.011776</v>
      </c>
      <c r="E2341" s="5" t="s">
        <v>86</v>
      </c>
      <c r="F2341" s="5">
        <v>6.09827327728271</v>
      </c>
      <c r="G2341" s="5" t="s">
        <v>86</v>
      </c>
      <c r="H2341" s="5" t="s">
        <v>86</v>
      </c>
      <c r="I2341" t="s">
        <v>57</v>
      </c>
    </row>
    <row r="2342" spans="1:9">
      <c r="A2342" s="4" t="s">
        <v>4738</v>
      </c>
      <c r="B2342" s="4" t="s">
        <v>4739</v>
      </c>
      <c r="C2342" s="4" t="s">
        <v>37</v>
      </c>
      <c r="D2342" s="2">
        <f>2487515904/(10^6)</f>
        <v>2487.515904</v>
      </c>
      <c r="E2342" s="5">
        <v>10.844988822937</v>
      </c>
      <c r="F2342" s="5" t="s">
        <v>86</v>
      </c>
      <c r="G2342" s="5">
        <v>1.02245903015137</v>
      </c>
      <c r="H2342" s="5">
        <v>8.08712291717529</v>
      </c>
      <c r="I2342" t="s">
        <v>57</v>
      </c>
    </row>
    <row r="2343" spans="1:9">
      <c r="A2343" s="4" t="s">
        <v>4740</v>
      </c>
      <c r="B2343" s="4" t="s">
        <v>4741</v>
      </c>
      <c r="C2343" s="4" t="s">
        <v>41</v>
      </c>
      <c r="D2343" s="2">
        <f>2452172032/(10^6)</f>
        <v>2452.172032</v>
      </c>
      <c r="E2343" s="5" t="s">
        <v>86</v>
      </c>
      <c r="F2343" s="5">
        <v>3.74757099151611</v>
      </c>
      <c r="G2343" s="5">
        <v>23.221736907959</v>
      </c>
      <c r="H2343" s="5" t="s">
        <v>86</v>
      </c>
      <c r="I2343" t="s">
        <v>57</v>
      </c>
    </row>
    <row r="2344" spans="1:9">
      <c r="A2344" s="4" t="s">
        <v>4742</v>
      </c>
      <c r="B2344" s="4" t="s">
        <v>4743</v>
      </c>
      <c r="C2344" s="4" t="s">
        <v>51</v>
      </c>
      <c r="D2344" s="2">
        <f>2451036160/(10^6)</f>
        <v>2451.03616</v>
      </c>
      <c r="E2344" s="5" t="s">
        <v>86</v>
      </c>
      <c r="F2344" s="5">
        <v>3.44300079345703</v>
      </c>
      <c r="G2344" s="5">
        <v>2.56601786613464</v>
      </c>
      <c r="H2344" s="5" t="s">
        <v>86</v>
      </c>
      <c r="I2344" t="s">
        <v>57</v>
      </c>
    </row>
    <row r="2345" spans="1:9">
      <c r="A2345" s="4" t="s">
        <v>4744</v>
      </c>
      <c r="B2345" s="4" t="s">
        <v>4745</v>
      </c>
      <c r="C2345" s="4" t="s">
        <v>41</v>
      </c>
      <c r="D2345" s="2">
        <f>2447343360/(10^6)</f>
        <v>2447.34336</v>
      </c>
      <c r="E2345" s="5">
        <v>32.3639335632324</v>
      </c>
      <c r="F2345" s="5">
        <v>2.9048011302948</v>
      </c>
      <c r="G2345" s="5">
        <v>2.08761811256409</v>
      </c>
      <c r="H2345" s="5">
        <v>10.8575887680054</v>
      </c>
      <c r="I2345" t="s">
        <v>57</v>
      </c>
    </row>
    <row r="2346" spans="1:9">
      <c r="A2346" s="4" t="s">
        <v>4746</v>
      </c>
      <c r="B2346" s="4" t="s">
        <v>4747</v>
      </c>
      <c r="C2346" s="4" t="s">
        <v>33</v>
      </c>
      <c r="D2346" s="2">
        <f>2444119296/(10^6)</f>
        <v>2444.119296</v>
      </c>
      <c r="E2346" s="5">
        <v>19.9656028747559</v>
      </c>
      <c r="F2346" s="5">
        <v>2.12521648406982</v>
      </c>
      <c r="G2346" s="5">
        <v>1.59647023677826</v>
      </c>
      <c r="H2346" s="5">
        <v>6.86263275146484</v>
      </c>
      <c r="I2346" t="s">
        <v>57</v>
      </c>
    </row>
    <row r="2347" spans="1:9">
      <c r="A2347" s="4" t="s">
        <v>4748</v>
      </c>
      <c r="B2347" s="4" t="s">
        <v>4749</v>
      </c>
      <c r="C2347" s="4" t="s">
        <v>43</v>
      </c>
      <c r="D2347" s="2">
        <f>2435844096/(10^6)</f>
        <v>2435.844096</v>
      </c>
      <c r="E2347" s="5">
        <v>7.5403151512146</v>
      </c>
      <c r="F2347" s="5">
        <v>0.564112544059753</v>
      </c>
      <c r="G2347" s="5">
        <v>1.65530455112457</v>
      </c>
      <c r="H2347" s="5" t="s">
        <v>86</v>
      </c>
      <c r="I2347" t="s">
        <v>57</v>
      </c>
    </row>
    <row r="2348" spans="1:9">
      <c r="A2348" s="4" t="s">
        <v>4750</v>
      </c>
      <c r="B2348" s="4" t="s">
        <v>4751</v>
      </c>
      <c r="C2348" s="4" t="s">
        <v>35</v>
      </c>
      <c r="D2348" s="2">
        <f>2435593216/(10^6)</f>
        <v>2435.593216</v>
      </c>
      <c r="E2348" s="5">
        <v>37.2891273498535</v>
      </c>
      <c r="F2348" s="5">
        <v>3.20272493362427</v>
      </c>
      <c r="G2348" s="5">
        <v>4.64499616622925</v>
      </c>
      <c r="H2348" s="5">
        <v>24.7774353027344</v>
      </c>
      <c r="I2348" t="s">
        <v>57</v>
      </c>
    </row>
    <row r="2349" spans="1:9">
      <c r="A2349" s="4" t="s">
        <v>4752</v>
      </c>
      <c r="B2349" s="4" t="s">
        <v>4753</v>
      </c>
      <c r="C2349" s="4" t="s">
        <v>35</v>
      </c>
      <c r="D2349" s="2">
        <f>2435593216/(10^6)</f>
        <v>2435.593216</v>
      </c>
      <c r="E2349" s="5">
        <v>37.2891273498535</v>
      </c>
      <c r="F2349" s="5">
        <v>3.20272493362427</v>
      </c>
      <c r="G2349" s="5">
        <v>4.64499616622925</v>
      </c>
      <c r="H2349" s="5">
        <v>24.7774353027344</v>
      </c>
      <c r="I2349" t="s">
        <v>57</v>
      </c>
    </row>
    <row r="2350" spans="1:9">
      <c r="A2350" s="4" t="s">
        <v>4754</v>
      </c>
      <c r="B2350" s="4" t="s">
        <v>4755</v>
      </c>
      <c r="C2350" s="4" t="s">
        <v>31</v>
      </c>
      <c r="D2350" s="2">
        <f>2427545856/(10^6)</f>
        <v>2427.545856</v>
      </c>
      <c r="E2350" s="5">
        <v>6.43395757675171</v>
      </c>
      <c r="F2350" s="5">
        <v>1.2946994304657</v>
      </c>
      <c r="G2350" s="5">
        <v>0.640268623828888</v>
      </c>
      <c r="H2350" s="5">
        <v>5.79364633560181</v>
      </c>
      <c r="I2350" t="s">
        <v>57</v>
      </c>
    </row>
    <row r="2351" spans="1:9">
      <c r="A2351" s="4" t="s">
        <v>4756</v>
      </c>
      <c r="B2351" s="4" t="s">
        <v>4757</v>
      </c>
      <c r="C2351" s="4" t="s">
        <v>51</v>
      </c>
      <c r="D2351" s="2">
        <f>2421004544/(10^6)</f>
        <v>2421.004544</v>
      </c>
      <c r="E2351" s="5">
        <v>9.41697120666504</v>
      </c>
      <c r="F2351" s="5">
        <v>0.608794927597046</v>
      </c>
      <c r="G2351" s="5">
        <v>0.13635341823101</v>
      </c>
      <c r="H2351" s="5">
        <v>8.63882732391357</v>
      </c>
      <c r="I2351" t="s">
        <v>57</v>
      </c>
    </row>
    <row r="2352" spans="1:9">
      <c r="A2352" s="4" t="s">
        <v>4758</v>
      </c>
      <c r="B2352" s="4" t="s">
        <v>4759</v>
      </c>
      <c r="C2352" s="4" t="s">
        <v>41</v>
      </c>
      <c r="D2352" s="2">
        <f>2416214784/(10^6)</f>
        <v>2416.214784</v>
      </c>
      <c r="E2352" s="5" t="s">
        <v>86</v>
      </c>
      <c r="F2352" s="5">
        <v>26.0717735290527</v>
      </c>
      <c r="G2352" s="5">
        <v>12.8723793029785</v>
      </c>
      <c r="H2352" s="5" t="s">
        <v>86</v>
      </c>
      <c r="I2352" t="s">
        <v>57</v>
      </c>
    </row>
    <row r="2353" spans="1:9">
      <c r="A2353" s="4" t="s">
        <v>4760</v>
      </c>
      <c r="B2353" s="4" t="s">
        <v>4761</v>
      </c>
      <c r="C2353" s="4" t="s">
        <v>41</v>
      </c>
      <c r="D2353" s="2">
        <f>2414181632/(10^6)</f>
        <v>2414.181632</v>
      </c>
      <c r="E2353" s="5">
        <v>33.8749732971191</v>
      </c>
      <c r="F2353" s="5">
        <v>2.8337094783783</v>
      </c>
      <c r="G2353" s="5">
        <v>2.62922596931458</v>
      </c>
      <c r="H2353" s="5">
        <v>16.3653144836426</v>
      </c>
      <c r="I2353" t="s">
        <v>57</v>
      </c>
    </row>
    <row r="2354" spans="1:9">
      <c r="A2354" s="4" t="s">
        <v>4762</v>
      </c>
      <c r="B2354" s="4" t="s">
        <v>4763</v>
      </c>
      <c r="C2354" s="4" t="s">
        <v>41</v>
      </c>
      <c r="D2354" s="2">
        <f>2413144320/(10^6)</f>
        <v>2413.14432</v>
      </c>
      <c r="E2354" s="5">
        <v>25.230188369751</v>
      </c>
      <c r="F2354" s="5">
        <v>3.32008934020996</v>
      </c>
      <c r="G2354" s="5">
        <v>2.78671002388</v>
      </c>
      <c r="H2354" s="5">
        <v>14.2871055603027</v>
      </c>
      <c r="I2354" t="s">
        <v>57</v>
      </c>
    </row>
    <row r="2355" spans="1:9">
      <c r="A2355" s="4" t="s">
        <v>4764</v>
      </c>
      <c r="B2355" s="4" t="s">
        <v>4765</v>
      </c>
      <c r="C2355" s="4" t="s">
        <v>41</v>
      </c>
      <c r="D2355" s="2">
        <f>2412773376/(10^6)</f>
        <v>2412.773376</v>
      </c>
      <c r="E2355" s="5">
        <v>143.316360473633</v>
      </c>
      <c r="F2355" s="5">
        <v>3.5064537525177</v>
      </c>
      <c r="G2355" s="5">
        <v>3.59271216392517</v>
      </c>
      <c r="H2355" s="5">
        <v>17.4711456298828</v>
      </c>
      <c r="I2355" t="s">
        <v>57</v>
      </c>
    </row>
    <row r="2356" spans="1:9">
      <c r="A2356" s="4" t="s">
        <v>4766</v>
      </c>
      <c r="B2356" s="4" t="s">
        <v>4767</v>
      </c>
      <c r="C2356" s="4" t="s">
        <v>31</v>
      </c>
      <c r="D2356" s="2">
        <f>2409785600/(10^6)</f>
        <v>2409.7856</v>
      </c>
      <c r="E2356" s="5">
        <v>38.4292984008789</v>
      </c>
      <c r="F2356" s="5">
        <v>8.30341243743896</v>
      </c>
      <c r="G2356" s="5">
        <v>5.13330554962158</v>
      </c>
      <c r="H2356" s="5">
        <v>26.0228290557861</v>
      </c>
      <c r="I2356" t="s">
        <v>57</v>
      </c>
    </row>
    <row r="2357" spans="1:9">
      <c r="A2357" s="4" t="s">
        <v>4768</v>
      </c>
      <c r="B2357" s="4" t="s">
        <v>4769</v>
      </c>
      <c r="C2357" s="4" t="s">
        <v>27</v>
      </c>
      <c r="D2357" s="2">
        <f>2408441088/(10^6)</f>
        <v>2408.441088</v>
      </c>
      <c r="E2357" s="5">
        <v>5.03781175613403</v>
      </c>
      <c r="F2357" s="5">
        <v>0.414129585027695</v>
      </c>
      <c r="G2357" s="5">
        <v>0.338976085186005</v>
      </c>
      <c r="H2357" s="5">
        <v>2.82000041007996</v>
      </c>
      <c r="I2357" t="s">
        <v>57</v>
      </c>
    </row>
    <row r="2358" spans="1:9">
      <c r="A2358" s="4" t="s">
        <v>4770</v>
      </c>
      <c r="B2358" s="4" t="s">
        <v>4771</v>
      </c>
      <c r="C2358" s="4" t="s">
        <v>31</v>
      </c>
      <c r="D2358" s="2">
        <f>2408038400/(10^6)</f>
        <v>2408.0384</v>
      </c>
      <c r="E2358" s="5">
        <v>10.2626180648804</v>
      </c>
      <c r="F2358" s="5">
        <v>1.0278525352478</v>
      </c>
      <c r="G2358" s="5">
        <v>0.7680584192276</v>
      </c>
      <c r="H2358" s="5">
        <v>6.41524171829224</v>
      </c>
      <c r="I2358" t="s">
        <v>57</v>
      </c>
    </row>
    <row r="2359" spans="1:9">
      <c r="A2359" s="4" t="s">
        <v>4772</v>
      </c>
      <c r="B2359" s="4" t="s">
        <v>4773</v>
      </c>
      <c r="C2359" s="4" t="s">
        <v>47</v>
      </c>
      <c r="D2359" s="2">
        <f>2407472896/(10^6)</f>
        <v>2407.472896</v>
      </c>
      <c r="E2359" s="5">
        <v>11.652398109436</v>
      </c>
      <c r="F2359" s="5">
        <v>6.91543245315552</v>
      </c>
      <c r="G2359" s="5">
        <v>0.810468256473541</v>
      </c>
      <c r="H2359" s="5">
        <v>7.60798406600952</v>
      </c>
      <c r="I2359" t="s">
        <v>57</v>
      </c>
    </row>
    <row r="2360" spans="1:9">
      <c r="A2360" s="4" t="s">
        <v>4774</v>
      </c>
      <c r="B2360" s="4" t="s">
        <v>4775</v>
      </c>
      <c r="C2360" s="4" t="s">
        <v>49</v>
      </c>
      <c r="D2360" s="2">
        <f>2407010816/(10^6)</f>
        <v>2407.010816</v>
      </c>
      <c r="E2360" s="5" t="s">
        <v>86</v>
      </c>
      <c r="F2360" s="5" t="s">
        <v>86</v>
      </c>
      <c r="G2360" s="5" t="s">
        <v>86</v>
      </c>
      <c r="H2360" s="5" t="s">
        <v>86</v>
      </c>
      <c r="I2360" t="s">
        <v>57</v>
      </c>
    </row>
    <row r="2361" spans="1:9">
      <c r="A2361" s="4" t="s">
        <v>4776</v>
      </c>
      <c r="B2361" s="4" t="s">
        <v>4777</v>
      </c>
      <c r="C2361" s="4" t="s">
        <v>27</v>
      </c>
      <c r="D2361" s="2">
        <f>2405834240/(10^6)</f>
        <v>2405.83424</v>
      </c>
      <c r="E2361" s="5">
        <v>5.29510831832886</v>
      </c>
      <c r="F2361" s="5">
        <v>18.2953338623047</v>
      </c>
      <c r="G2361" s="5">
        <v>0.580601692199707</v>
      </c>
      <c r="H2361" s="5">
        <v>10.2924766540527</v>
      </c>
      <c r="I2361" t="s">
        <v>57</v>
      </c>
    </row>
    <row r="2362" spans="1:9">
      <c r="A2362" s="4" t="s">
        <v>4778</v>
      </c>
      <c r="B2362" s="4" t="s">
        <v>4779</v>
      </c>
      <c r="C2362" s="4" t="s">
        <v>41</v>
      </c>
      <c r="D2362" s="2">
        <f>2402770944/(10^6)</f>
        <v>2402.770944</v>
      </c>
      <c r="E2362" s="5" t="s">
        <v>86</v>
      </c>
      <c r="F2362" s="5">
        <v>3.74507713317871</v>
      </c>
      <c r="G2362" s="5">
        <v>17.88942527771</v>
      </c>
      <c r="H2362" s="5" t="s">
        <v>86</v>
      </c>
      <c r="I2362" t="s">
        <v>57</v>
      </c>
    </row>
    <row r="2363" spans="1:9">
      <c r="A2363" s="4" t="s">
        <v>4780</v>
      </c>
      <c r="B2363" s="4" t="s">
        <v>4781</v>
      </c>
      <c r="C2363" s="4" t="s">
        <v>51</v>
      </c>
      <c r="D2363" s="2">
        <f>2401917184/(10^6)</f>
        <v>2401.917184</v>
      </c>
      <c r="E2363" s="5">
        <v>90.4634323120117</v>
      </c>
      <c r="F2363" s="5">
        <v>1.19709098339081</v>
      </c>
      <c r="G2363" s="5">
        <v>1.04353511333466</v>
      </c>
      <c r="H2363" s="5">
        <v>10.3045434951782</v>
      </c>
      <c r="I2363" t="s">
        <v>57</v>
      </c>
    </row>
    <row r="2364" spans="1:9">
      <c r="A2364" s="4" t="s">
        <v>4782</v>
      </c>
      <c r="B2364" s="4" t="s">
        <v>4783</v>
      </c>
      <c r="C2364" s="4" t="s">
        <v>31</v>
      </c>
      <c r="D2364" s="2">
        <f>2396728832/(10^6)</f>
        <v>2396.728832</v>
      </c>
      <c r="E2364" s="5">
        <v>16.2182865142822</v>
      </c>
      <c r="F2364" s="5">
        <v>1.17147076129913</v>
      </c>
      <c r="G2364" s="5">
        <v>2.73254585266113</v>
      </c>
      <c r="H2364" s="5">
        <v>9.07203006744385</v>
      </c>
      <c r="I2364" t="s">
        <v>57</v>
      </c>
    </row>
    <row r="2365" spans="1:9">
      <c r="A2365" s="4" t="s">
        <v>4784</v>
      </c>
      <c r="B2365" s="4" t="s">
        <v>4785</v>
      </c>
      <c r="C2365" s="4" t="s">
        <v>43</v>
      </c>
      <c r="D2365" s="2">
        <f>2392125184/(10^6)</f>
        <v>2392.125184</v>
      </c>
      <c r="E2365" s="5">
        <v>6.22213888168335</v>
      </c>
      <c r="F2365" s="5">
        <v>0.501266837120056</v>
      </c>
      <c r="G2365" s="5">
        <v>1.55347084999085</v>
      </c>
      <c r="H2365" s="5" t="s">
        <v>86</v>
      </c>
      <c r="I2365" t="s">
        <v>57</v>
      </c>
    </row>
    <row r="2366" spans="1:9">
      <c r="A2366" s="4" t="s">
        <v>4786</v>
      </c>
      <c r="B2366" s="4" t="s">
        <v>4787</v>
      </c>
      <c r="C2366" s="4" t="s">
        <v>47</v>
      </c>
      <c r="D2366" s="2">
        <f>2391891200/(10^6)</f>
        <v>2391.8912</v>
      </c>
      <c r="E2366" s="5">
        <v>2.77275991439819</v>
      </c>
      <c r="F2366" s="5">
        <v>0.494179099798203</v>
      </c>
      <c r="G2366" s="5">
        <v>0.180906742811203</v>
      </c>
      <c r="H2366" s="5">
        <v>11.2683076858521</v>
      </c>
      <c r="I2366" t="s">
        <v>57</v>
      </c>
    </row>
    <row r="2367" spans="1:9">
      <c r="A2367" s="4" t="s">
        <v>4788</v>
      </c>
      <c r="B2367" s="4" t="s">
        <v>4789</v>
      </c>
      <c r="C2367" s="4" t="s">
        <v>47</v>
      </c>
      <c r="D2367" s="2">
        <f>2391891200/(10^6)</f>
        <v>2391.8912</v>
      </c>
      <c r="E2367" s="5">
        <v>2.77275991439819</v>
      </c>
      <c r="F2367" s="5">
        <v>0.494179099798203</v>
      </c>
      <c r="G2367" s="5">
        <v>0.180906742811203</v>
      </c>
      <c r="H2367" s="5">
        <v>11.2683076858521</v>
      </c>
      <c r="I2367" t="s">
        <v>57</v>
      </c>
    </row>
    <row r="2368" spans="1:9">
      <c r="A2368" s="4" t="s">
        <v>4790</v>
      </c>
      <c r="B2368" s="4" t="s">
        <v>4791</v>
      </c>
      <c r="C2368" s="4" t="s">
        <v>37</v>
      </c>
      <c r="D2368" s="2">
        <f>2391624960/(10^6)</f>
        <v>2391.62496</v>
      </c>
      <c r="E2368" s="5">
        <v>25.8677043914795</v>
      </c>
      <c r="F2368" s="5">
        <v>1.92780005931854</v>
      </c>
      <c r="G2368" s="5">
        <v>1.83244204521179</v>
      </c>
      <c r="H2368" s="5">
        <v>30.3763446807861</v>
      </c>
      <c r="I2368" t="s">
        <v>57</v>
      </c>
    </row>
    <row r="2369" spans="1:9">
      <c r="A2369" s="4" t="s">
        <v>4792</v>
      </c>
      <c r="B2369" s="4" t="s">
        <v>4793</v>
      </c>
      <c r="C2369" s="4" t="s">
        <v>31</v>
      </c>
      <c r="D2369" s="2">
        <f>2391214080/(10^6)</f>
        <v>2391.21408</v>
      </c>
      <c r="E2369" s="5">
        <v>14.6721153259277</v>
      </c>
      <c r="F2369" s="5">
        <v>2.14899563789368</v>
      </c>
      <c r="G2369" s="5">
        <v>0.975317001342773</v>
      </c>
      <c r="H2369" s="5">
        <v>5.53117942810059</v>
      </c>
      <c r="I2369" t="s">
        <v>57</v>
      </c>
    </row>
    <row r="2370" spans="1:9">
      <c r="A2370" s="4" t="s">
        <v>4794</v>
      </c>
      <c r="B2370" s="4" t="s">
        <v>4795</v>
      </c>
      <c r="C2370" s="4" t="s">
        <v>31</v>
      </c>
      <c r="D2370" s="2">
        <f>2378380288/(10^6)</f>
        <v>2378.380288</v>
      </c>
      <c r="E2370" s="5">
        <v>3.81613206863403</v>
      </c>
      <c r="F2370" s="5">
        <v>0.441500276327133</v>
      </c>
      <c r="G2370" s="5">
        <v>1.16160404682159</v>
      </c>
      <c r="H2370" s="5">
        <v>8.48582935333252</v>
      </c>
      <c r="I2370" t="s">
        <v>57</v>
      </c>
    </row>
    <row r="2371" spans="1:9">
      <c r="A2371" s="4" t="s">
        <v>4796</v>
      </c>
      <c r="B2371" s="4" t="s">
        <v>4797</v>
      </c>
      <c r="C2371" s="4" t="s">
        <v>51</v>
      </c>
      <c r="D2371" s="2">
        <f>2377837568/(10^6)</f>
        <v>2377.837568</v>
      </c>
      <c r="E2371" s="5">
        <v>51.9766654968262</v>
      </c>
      <c r="F2371" s="5">
        <v>3.51057553291321</v>
      </c>
      <c r="G2371" s="5" t="s">
        <v>86</v>
      </c>
      <c r="H2371" s="5">
        <v>21.8190879821777</v>
      </c>
      <c r="I2371" t="s">
        <v>57</v>
      </c>
    </row>
    <row r="2372" spans="1:9">
      <c r="A2372" s="4" t="s">
        <v>4798</v>
      </c>
      <c r="B2372" s="4" t="s">
        <v>4799</v>
      </c>
      <c r="C2372" s="4" t="s">
        <v>41</v>
      </c>
      <c r="D2372" s="2">
        <f>2376398336/(10^6)</f>
        <v>2376.398336</v>
      </c>
      <c r="E2372" s="5" t="s">
        <v>86</v>
      </c>
      <c r="F2372" s="5">
        <v>35.1826019287109</v>
      </c>
      <c r="G2372" s="5">
        <v>60.7339096069336</v>
      </c>
      <c r="H2372" s="5" t="s">
        <v>86</v>
      </c>
      <c r="I2372" t="s">
        <v>57</v>
      </c>
    </row>
    <row r="2373" spans="1:9">
      <c r="A2373" s="4" t="s">
        <v>4800</v>
      </c>
      <c r="B2373" s="4" t="s">
        <v>4801</v>
      </c>
      <c r="C2373" s="4" t="s">
        <v>45</v>
      </c>
      <c r="D2373" s="2">
        <f>2373046784/(10^6)</f>
        <v>2373.046784</v>
      </c>
      <c r="E2373" s="5">
        <v>41.8758201599121</v>
      </c>
      <c r="F2373" s="5">
        <v>0.752251267433167</v>
      </c>
      <c r="G2373" s="5">
        <v>1.844273686409</v>
      </c>
      <c r="H2373" s="5">
        <v>20.8329563140869</v>
      </c>
      <c r="I2373" t="s">
        <v>57</v>
      </c>
    </row>
    <row r="2374" spans="1:9">
      <c r="A2374" s="4" t="s">
        <v>4802</v>
      </c>
      <c r="B2374" s="4" t="s">
        <v>4803</v>
      </c>
      <c r="C2374" s="4" t="s">
        <v>35</v>
      </c>
      <c r="D2374" s="2">
        <f>2367343616/(10^6)</f>
        <v>2367.343616</v>
      </c>
      <c r="E2374" s="5" t="s">
        <v>86</v>
      </c>
      <c r="F2374" s="5">
        <v>16.2375450134277</v>
      </c>
      <c r="G2374" s="5">
        <v>8.62070178985596</v>
      </c>
      <c r="H2374" s="5">
        <v>154.570648193359</v>
      </c>
      <c r="I2374" t="s">
        <v>57</v>
      </c>
    </row>
    <row r="2375" spans="1:9">
      <c r="A2375" s="4" t="s">
        <v>4804</v>
      </c>
      <c r="B2375" s="4" t="s">
        <v>4805</v>
      </c>
      <c r="C2375" s="4" t="s">
        <v>47</v>
      </c>
      <c r="D2375" s="2">
        <f>2363610624/(10^6)</f>
        <v>2363.610624</v>
      </c>
      <c r="E2375" s="5">
        <v>10.451057434082</v>
      </c>
      <c r="F2375" s="5">
        <v>1.11868786811829</v>
      </c>
      <c r="G2375" s="5">
        <v>0.262739479541779</v>
      </c>
      <c r="H2375" s="5">
        <v>6.86443758010864</v>
      </c>
      <c r="I2375" t="s">
        <v>57</v>
      </c>
    </row>
    <row r="2376" spans="1:9">
      <c r="A2376" s="4" t="s">
        <v>4806</v>
      </c>
      <c r="B2376" s="4" t="s">
        <v>4807</v>
      </c>
      <c r="C2376" s="4" t="s">
        <v>31</v>
      </c>
      <c r="D2376" s="2">
        <f>2359826944/(10^6)</f>
        <v>2359.826944</v>
      </c>
      <c r="E2376" s="5">
        <v>15.0243558883667</v>
      </c>
      <c r="F2376" s="5">
        <v>4.12475442886353</v>
      </c>
      <c r="G2376" s="5">
        <v>1.22094094753265</v>
      </c>
      <c r="H2376" s="5">
        <v>11.7107706069946</v>
      </c>
      <c r="I2376" t="s">
        <v>57</v>
      </c>
    </row>
    <row r="2377" spans="1:9">
      <c r="A2377" s="4" t="s">
        <v>4808</v>
      </c>
      <c r="B2377" s="4" t="s">
        <v>4809</v>
      </c>
      <c r="C2377" s="4" t="s">
        <v>51</v>
      </c>
      <c r="D2377" s="2">
        <f>2359337216/(10^6)</f>
        <v>2359.337216</v>
      </c>
      <c r="E2377" s="5">
        <v>9.94814014434814</v>
      </c>
      <c r="F2377" s="5">
        <v>2.11981987953186</v>
      </c>
      <c r="G2377" s="5">
        <v>0.322791963815689</v>
      </c>
      <c r="H2377" s="5">
        <v>6.02324485778809</v>
      </c>
      <c r="I2377" t="s">
        <v>57</v>
      </c>
    </row>
    <row r="2378" spans="1:9">
      <c r="A2378" s="4" t="s">
        <v>4810</v>
      </c>
      <c r="B2378" s="4" t="s">
        <v>4811</v>
      </c>
      <c r="C2378" s="4" t="s">
        <v>41</v>
      </c>
      <c r="D2378" s="2">
        <f>2358963968/(10^6)</f>
        <v>2358.963968</v>
      </c>
      <c r="E2378" s="5">
        <v>9.14193344116211</v>
      </c>
      <c r="F2378" s="5">
        <v>0.665695428848267</v>
      </c>
      <c r="G2378" s="5">
        <v>0.735052406787872</v>
      </c>
      <c r="H2378" s="5">
        <v>8.27640056610107</v>
      </c>
      <c r="I2378" t="s">
        <v>57</v>
      </c>
    </row>
    <row r="2379" spans="1:9">
      <c r="A2379" s="4" t="s">
        <v>4812</v>
      </c>
      <c r="B2379" s="4" t="s">
        <v>4813</v>
      </c>
      <c r="C2379" s="4" t="s">
        <v>41</v>
      </c>
      <c r="D2379" s="2">
        <f>2345762048/(10^6)</f>
        <v>2345.762048</v>
      </c>
      <c r="E2379" s="5" t="s">
        <v>86</v>
      </c>
      <c r="F2379" s="5">
        <v>13.0748291015625</v>
      </c>
      <c r="G2379" s="5" t="s">
        <v>86</v>
      </c>
      <c r="H2379" s="5" t="s">
        <v>86</v>
      </c>
      <c r="I2379" t="s">
        <v>57</v>
      </c>
    </row>
    <row r="2380" spans="1:9">
      <c r="A2380" s="4" t="s">
        <v>4814</v>
      </c>
      <c r="B2380" s="4" t="s">
        <v>4815</v>
      </c>
      <c r="C2380" s="4" t="s">
        <v>41</v>
      </c>
      <c r="D2380" s="2">
        <f>2335076096/(10^6)</f>
        <v>2335.076096</v>
      </c>
      <c r="E2380" s="5" t="s">
        <v>86</v>
      </c>
      <c r="F2380" s="5">
        <v>4.07303476333618</v>
      </c>
      <c r="G2380" s="5" t="s">
        <v>86</v>
      </c>
      <c r="H2380" s="5" t="s">
        <v>86</v>
      </c>
      <c r="I2380" t="s">
        <v>57</v>
      </c>
    </row>
    <row r="2381" spans="1:9">
      <c r="A2381" s="4" t="s">
        <v>4816</v>
      </c>
      <c r="B2381" s="4" t="s">
        <v>4817</v>
      </c>
      <c r="C2381" s="4" t="s">
        <v>47</v>
      </c>
      <c r="D2381" s="2">
        <f>2331806976/(10^6)</f>
        <v>2331.806976</v>
      </c>
      <c r="E2381" s="5">
        <v>4.57736444473267</v>
      </c>
      <c r="F2381" s="5">
        <v>0.93950355052948</v>
      </c>
      <c r="G2381" s="5">
        <v>0.302232176065445</v>
      </c>
      <c r="H2381" s="5">
        <v>3.17244625091553</v>
      </c>
      <c r="I2381" t="s">
        <v>57</v>
      </c>
    </row>
    <row r="2382" spans="1:9">
      <c r="A2382" s="4" t="s">
        <v>4818</v>
      </c>
      <c r="B2382" s="4" t="s">
        <v>4819</v>
      </c>
      <c r="C2382" s="4" t="s">
        <v>41</v>
      </c>
      <c r="D2382" s="2">
        <f>2328754688/(10^6)</f>
        <v>2328.754688</v>
      </c>
      <c r="E2382" s="5" t="s">
        <v>86</v>
      </c>
      <c r="F2382" s="5">
        <v>3.95302557945252</v>
      </c>
      <c r="G2382" s="5">
        <v>63.9473114013672</v>
      </c>
      <c r="H2382" s="5" t="s">
        <v>86</v>
      </c>
      <c r="I2382" t="s">
        <v>57</v>
      </c>
    </row>
    <row r="2383" spans="1:9">
      <c r="A2383" s="4" t="s">
        <v>4820</v>
      </c>
      <c r="B2383" s="4" t="s">
        <v>4821</v>
      </c>
      <c r="C2383" s="4" t="s">
        <v>39</v>
      </c>
      <c r="D2383" s="2">
        <f>2327811584/(10^6)</f>
        <v>2327.811584</v>
      </c>
      <c r="E2383" s="5">
        <v>36.6106872558594</v>
      </c>
      <c r="F2383" s="5">
        <v>2.98445534706116</v>
      </c>
      <c r="G2383" s="5">
        <v>3.2331485748291</v>
      </c>
      <c r="H2383" s="5">
        <v>15.5739097595215</v>
      </c>
      <c r="I2383" t="s">
        <v>57</v>
      </c>
    </row>
    <row r="2384" spans="1:9">
      <c r="A2384" s="4" t="s">
        <v>4822</v>
      </c>
      <c r="B2384" s="4" t="s">
        <v>4823</v>
      </c>
      <c r="C2384" s="4" t="s">
        <v>41</v>
      </c>
      <c r="D2384" s="2">
        <f>2326855424/(10^6)</f>
        <v>2326.855424</v>
      </c>
      <c r="E2384" s="5" t="s">
        <v>86</v>
      </c>
      <c r="F2384" s="5">
        <v>4.55125522613525</v>
      </c>
      <c r="G2384" s="5">
        <v>7.25057935714722</v>
      </c>
      <c r="H2384" s="5" t="s">
        <v>86</v>
      </c>
      <c r="I2384" t="s">
        <v>57</v>
      </c>
    </row>
    <row r="2385" spans="1:9">
      <c r="A2385" s="4" t="s">
        <v>4824</v>
      </c>
      <c r="B2385" s="4" t="s">
        <v>4825</v>
      </c>
      <c r="C2385" s="4" t="s">
        <v>31</v>
      </c>
      <c r="D2385" s="2">
        <f>2322322432/(10^6)</f>
        <v>2322.322432</v>
      </c>
      <c r="E2385" s="5">
        <v>16.4088611602783</v>
      </c>
      <c r="F2385" s="5">
        <v>2.58051800727844</v>
      </c>
      <c r="G2385" s="5">
        <v>2.00943350791931</v>
      </c>
      <c r="H2385" s="5">
        <v>10.6090936660767</v>
      </c>
      <c r="I2385" t="s">
        <v>57</v>
      </c>
    </row>
    <row r="2386" spans="1:9">
      <c r="A2386" s="4" t="s">
        <v>4826</v>
      </c>
      <c r="B2386" s="4" t="s">
        <v>4827</v>
      </c>
      <c r="C2386" s="4" t="s">
        <v>35</v>
      </c>
      <c r="D2386" s="2">
        <f>2305442304/(10^6)</f>
        <v>2305.442304</v>
      </c>
      <c r="E2386" s="5">
        <v>5.17922925949097</v>
      </c>
      <c r="F2386" s="5">
        <v>1.36508452892304</v>
      </c>
      <c r="G2386" s="5">
        <v>0.777126789093018</v>
      </c>
      <c r="H2386" s="5">
        <v>12.2467641830444</v>
      </c>
      <c r="I2386" t="s">
        <v>57</v>
      </c>
    </row>
    <row r="2387" spans="1:9">
      <c r="A2387" s="4" t="s">
        <v>4828</v>
      </c>
      <c r="B2387" s="4" t="s">
        <v>4829</v>
      </c>
      <c r="C2387" s="4" t="s">
        <v>33</v>
      </c>
      <c r="D2387" s="2">
        <f>2300585472/(10^6)</f>
        <v>2300.585472</v>
      </c>
      <c r="E2387" s="5">
        <v>42.1455230712891</v>
      </c>
      <c r="F2387" s="5">
        <v>4.8853907585144</v>
      </c>
      <c r="G2387" s="5">
        <v>3.62787127494812</v>
      </c>
      <c r="H2387" s="5">
        <v>10.1557178497314</v>
      </c>
      <c r="I2387" t="s">
        <v>57</v>
      </c>
    </row>
    <row r="2388" spans="1:9">
      <c r="A2388" s="4" t="s">
        <v>4830</v>
      </c>
      <c r="B2388" s="4" t="s">
        <v>4831</v>
      </c>
      <c r="C2388" s="4" t="s">
        <v>41</v>
      </c>
      <c r="D2388" s="2">
        <f>2299767296/(10^6)</f>
        <v>2299.767296</v>
      </c>
      <c r="E2388" s="5" t="s">
        <v>86</v>
      </c>
      <c r="F2388" s="5">
        <v>4.79285335540771</v>
      </c>
      <c r="G2388" s="5">
        <v>11.8758363723755</v>
      </c>
      <c r="H2388" s="5" t="s">
        <v>86</v>
      </c>
      <c r="I2388" t="s">
        <v>57</v>
      </c>
    </row>
    <row r="2389" spans="1:9">
      <c r="A2389" s="4" t="s">
        <v>4832</v>
      </c>
      <c r="B2389" s="4" t="s">
        <v>4833</v>
      </c>
      <c r="C2389" s="4" t="s">
        <v>47</v>
      </c>
      <c r="D2389" s="2">
        <f>2297524224/(10^6)</f>
        <v>2297.524224</v>
      </c>
      <c r="E2389" s="5">
        <v>138.571762084961</v>
      </c>
      <c r="F2389" s="5">
        <v>0.305896431207657</v>
      </c>
      <c r="G2389" s="5" t="s">
        <v>86</v>
      </c>
      <c r="H2389" s="5" t="s">
        <v>86</v>
      </c>
      <c r="I2389" t="s">
        <v>57</v>
      </c>
    </row>
    <row r="2390" spans="1:9">
      <c r="A2390" s="4" t="s">
        <v>4834</v>
      </c>
      <c r="B2390" s="4" t="s">
        <v>4835</v>
      </c>
      <c r="C2390" s="4" t="s">
        <v>39</v>
      </c>
      <c r="D2390" s="2">
        <f>2296399360/(10^6)</f>
        <v>2296.39936</v>
      </c>
      <c r="E2390" s="5">
        <v>22.2397727966309</v>
      </c>
      <c r="F2390" s="5">
        <v>1.61195051670075</v>
      </c>
      <c r="G2390" s="5">
        <v>1.40286004543304</v>
      </c>
      <c r="H2390" s="5">
        <v>16.7507610321045</v>
      </c>
      <c r="I2390" t="s">
        <v>57</v>
      </c>
    </row>
    <row r="2391" spans="1:9">
      <c r="A2391" s="4" t="s">
        <v>4836</v>
      </c>
      <c r="B2391" s="4" t="s">
        <v>4837</v>
      </c>
      <c r="C2391" s="4" t="s">
        <v>51</v>
      </c>
      <c r="D2391" s="2">
        <f>2285087488/(10^6)</f>
        <v>2285.087488</v>
      </c>
      <c r="E2391" s="5">
        <v>29.3674068450928</v>
      </c>
      <c r="F2391" s="5">
        <v>2.94155049324036</v>
      </c>
      <c r="G2391" s="5">
        <v>0.903960287570953</v>
      </c>
      <c r="H2391" s="5">
        <v>11.6956634521484</v>
      </c>
      <c r="I2391" t="s">
        <v>57</v>
      </c>
    </row>
    <row r="2392" spans="1:9">
      <c r="A2392" s="4" t="s">
        <v>4838</v>
      </c>
      <c r="B2392" s="4" t="s">
        <v>4839</v>
      </c>
      <c r="C2392" s="4" t="s">
        <v>47</v>
      </c>
      <c r="D2392" s="2">
        <f>2284702464/(10^6)</f>
        <v>2284.702464</v>
      </c>
      <c r="E2392" s="5">
        <v>112.405792236328</v>
      </c>
      <c r="F2392" s="5" t="s">
        <v>86</v>
      </c>
      <c r="G2392" s="5">
        <v>11.4259424209595</v>
      </c>
      <c r="H2392" s="5">
        <v>51.5336532592773</v>
      </c>
      <c r="I2392" t="s">
        <v>57</v>
      </c>
    </row>
    <row r="2393" spans="1:9">
      <c r="A2393" s="4" t="s">
        <v>4840</v>
      </c>
      <c r="B2393" s="4" t="s">
        <v>4841</v>
      </c>
      <c r="C2393" s="4" t="s">
        <v>51</v>
      </c>
      <c r="D2393" s="2">
        <f>2271321088/(10^6)</f>
        <v>2271.321088</v>
      </c>
      <c r="E2393" s="5">
        <v>47.6144866943359</v>
      </c>
      <c r="F2393" s="5">
        <v>6.90950632095337</v>
      </c>
      <c r="G2393" s="5">
        <v>5.54364442825317</v>
      </c>
      <c r="H2393" s="5">
        <v>22.4309501647949</v>
      </c>
      <c r="I2393" t="s">
        <v>57</v>
      </c>
    </row>
    <row r="2394" spans="1:9">
      <c r="A2394" s="4" t="s">
        <v>4842</v>
      </c>
      <c r="B2394" s="4" t="s">
        <v>4843</v>
      </c>
      <c r="C2394" s="4" t="s">
        <v>41</v>
      </c>
      <c r="D2394" s="2">
        <f>2262132480/(10^6)</f>
        <v>2262.13248</v>
      </c>
      <c r="E2394" s="5">
        <v>17.8331871032715</v>
      </c>
      <c r="F2394" s="5">
        <v>3.06177496910095</v>
      </c>
      <c r="G2394" s="5">
        <v>1.01474678516388</v>
      </c>
      <c r="H2394" s="5">
        <v>11.4158735275269</v>
      </c>
      <c r="I2394" t="s">
        <v>57</v>
      </c>
    </row>
    <row r="2395" spans="1:9">
      <c r="A2395" s="4" t="s">
        <v>4844</v>
      </c>
      <c r="B2395" s="4" t="s">
        <v>4845</v>
      </c>
      <c r="C2395" s="4" t="s">
        <v>31</v>
      </c>
      <c r="D2395" s="2">
        <f>2259231488/(10^6)</f>
        <v>2259.231488</v>
      </c>
      <c r="E2395" s="5">
        <v>5.96490907669067</v>
      </c>
      <c r="F2395" s="5">
        <v>1.26378011703491</v>
      </c>
      <c r="G2395" s="5">
        <v>0.308791488409042</v>
      </c>
      <c r="H2395" s="5">
        <v>3.04429531097412</v>
      </c>
      <c r="I2395" t="s">
        <v>57</v>
      </c>
    </row>
    <row r="2396" spans="1:9">
      <c r="A2396" s="4" t="s">
        <v>4846</v>
      </c>
      <c r="B2396" s="4" t="s">
        <v>4847</v>
      </c>
      <c r="C2396" s="4" t="s">
        <v>51</v>
      </c>
      <c r="D2396" s="2">
        <f>2256522752/(10^6)</f>
        <v>2256.522752</v>
      </c>
      <c r="E2396" s="5">
        <v>103.430274963379</v>
      </c>
      <c r="F2396" s="5">
        <v>8.63919353485107</v>
      </c>
      <c r="G2396" s="5">
        <v>1.22653806209564</v>
      </c>
      <c r="H2396" s="5">
        <v>13.1325550079346</v>
      </c>
      <c r="I2396" t="s">
        <v>57</v>
      </c>
    </row>
    <row r="2397" spans="1:9">
      <c r="A2397" s="4" t="s">
        <v>4848</v>
      </c>
      <c r="B2397" s="4" t="s">
        <v>4849</v>
      </c>
      <c r="C2397" s="4" t="s">
        <v>51</v>
      </c>
      <c r="D2397" s="2">
        <f>2242653184/(10^6)</f>
        <v>2242.653184</v>
      </c>
      <c r="E2397" s="5" t="s">
        <v>86</v>
      </c>
      <c r="F2397" s="5">
        <v>1.60269033908844</v>
      </c>
      <c r="G2397" s="5">
        <v>2.76100516319275</v>
      </c>
      <c r="H2397" s="5" t="s">
        <v>86</v>
      </c>
      <c r="I2397" t="s">
        <v>57</v>
      </c>
    </row>
    <row r="2398" spans="1:9">
      <c r="A2398" s="4" t="s">
        <v>4850</v>
      </c>
      <c r="B2398" s="4" t="s">
        <v>4851</v>
      </c>
      <c r="C2398" s="4" t="s">
        <v>35</v>
      </c>
      <c r="D2398" s="2">
        <f>2238730240/(10^6)</f>
        <v>2238.73024</v>
      </c>
      <c r="E2398" s="5">
        <v>17.9817752838135</v>
      </c>
      <c r="F2398" s="5">
        <v>1.22136545181274</v>
      </c>
      <c r="G2398" s="5">
        <v>0.471294909715652</v>
      </c>
      <c r="H2398" s="5">
        <v>59.9437103271484</v>
      </c>
      <c r="I2398" t="s">
        <v>57</v>
      </c>
    </row>
    <row r="2399" spans="1:9">
      <c r="A2399" s="4" t="s">
        <v>4852</v>
      </c>
      <c r="B2399" s="4" t="s">
        <v>4853</v>
      </c>
      <c r="C2399" s="4" t="s">
        <v>41</v>
      </c>
      <c r="D2399" s="2">
        <f>2238097152/(10^6)</f>
        <v>2238.097152</v>
      </c>
      <c r="E2399" s="5">
        <v>5.66334056854248</v>
      </c>
      <c r="F2399" s="5">
        <v>2.08556914329529</v>
      </c>
      <c r="G2399" s="5">
        <v>2.73289656639099</v>
      </c>
      <c r="H2399" s="5">
        <v>3.19820952415466</v>
      </c>
      <c r="I2399" t="s">
        <v>57</v>
      </c>
    </row>
    <row r="2400" spans="1:9">
      <c r="A2400" s="4" t="s">
        <v>4854</v>
      </c>
      <c r="B2400" s="4" t="s">
        <v>4855</v>
      </c>
      <c r="C2400" s="4" t="s">
        <v>43</v>
      </c>
      <c r="D2400" s="2">
        <f>2237558784/(10^6)</f>
        <v>2237.558784</v>
      </c>
      <c r="E2400" s="5">
        <v>8.63921546936035</v>
      </c>
      <c r="F2400" s="5">
        <v>0.665082812309265</v>
      </c>
      <c r="G2400" s="5">
        <v>2.45112943649292</v>
      </c>
      <c r="H2400" s="5" t="s">
        <v>86</v>
      </c>
      <c r="I2400" t="s">
        <v>57</v>
      </c>
    </row>
    <row r="2401" spans="1:9">
      <c r="A2401" s="4" t="s">
        <v>4856</v>
      </c>
      <c r="B2401" s="4" t="s">
        <v>4857</v>
      </c>
      <c r="C2401" s="4" t="s">
        <v>31</v>
      </c>
      <c r="D2401" s="2">
        <f>2236508416/(10^6)</f>
        <v>2236.508416</v>
      </c>
      <c r="E2401" s="5">
        <v>15.0034008026123</v>
      </c>
      <c r="F2401" s="5">
        <v>0.64939820766449</v>
      </c>
      <c r="G2401" s="5">
        <v>0.703951954841614</v>
      </c>
      <c r="H2401" s="5">
        <v>9.39494228363037</v>
      </c>
      <c r="I2401" t="s">
        <v>57</v>
      </c>
    </row>
    <row r="2402" spans="1:9">
      <c r="A2402" s="4" t="s">
        <v>4858</v>
      </c>
      <c r="B2402" s="4" t="s">
        <v>4859</v>
      </c>
      <c r="C2402" s="4" t="s">
        <v>47</v>
      </c>
      <c r="D2402" s="2">
        <f>2234931456/(10^6)</f>
        <v>2234.931456</v>
      </c>
      <c r="E2402" s="5">
        <v>5.39184236526489</v>
      </c>
      <c r="F2402" s="5">
        <v>0.80202317237854</v>
      </c>
      <c r="G2402" s="5">
        <v>0.098754085600376</v>
      </c>
      <c r="H2402" s="5">
        <v>7.3593544960022</v>
      </c>
      <c r="I2402" t="s">
        <v>57</v>
      </c>
    </row>
    <row r="2403" spans="1:9">
      <c r="A2403" s="4" t="s">
        <v>4860</v>
      </c>
      <c r="B2403" s="4" t="s">
        <v>4861</v>
      </c>
      <c r="C2403" s="4" t="s">
        <v>51</v>
      </c>
      <c r="D2403" s="2">
        <f>2234929664/(10^6)</f>
        <v>2234.929664</v>
      </c>
      <c r="E2403" s="5" t="s">
        <v>86</v>
      </c>
      <c r="F2403" s="5">
        <v>9.9438304901123</v>
      </c>
      <c r="G2403" s="5">
        <v>5.4364447593689</v>
      </c>
      <c r="H2403" s="5">
        <v>39.8163299560547</v>
      </c>
      <c r="I2403" t="s">
        <v>57</v>
      </c>
    </row>
    <row r="2404" spans="1:9">
      <c r="A2404" s="4" t="s">
        <v>4862</v>
      </c>
      <c r="B2404" s="4" t="s">
        <v>4863</v>
      </c>
      <c r="C2404" s="4" t="s">
        <v>43</v>
      </c>
      <c r="D2404" s="2">
        <f>2233070592/(10^6)</f>
        <v>2233.070592</v>
      </c>
      <c r="E2404" s="5">
        <v>9.14840412139893</v>
      </c>
      <c r="F2404" s="5">
        <v>0.859722316265106</v>
      </c>
      <c r="G2404" s="5">
        <v>1.72625291347504</v>
      </c>
      <c r="H2404" s="5" t="s">
        <v>86</v>
      </c>
      <c r="I2404" t="s">
        <v>57</v>
      </c>
    </row>
    <row r="2405" spans="1:9">
      <c r="A2405" s="4" t="s">
        <v>4864</v>
      </c>
      <c r="B2405" s="4" t="s">
        <v>4865</v>
      </c>
      <c r="C2405" s="4" t="s">
        <v>51</v>
      </c>
      <c r="D2405" s="2">
        <f>2226668032/(10^6)</f>
        <v>2226.668032</v>
      </c>
      <c r="E2405" s="5" t="s">
        <v>86</v>
      </c>
      <c r="F2405" s="5">
        <v>22.3279685974121</v>
      </c>
      <c r="G2405" s="5">
        <v>6.06968927383423</v>
      </c>
      <c r="H2405" s="5" t="s">
        <v>86</v>
      </c>
      <c r="I2405" t="s">
        <v>57</v>
      </c>
    </row>
    <row r="2406" spans="1:9">
      <c r="A2406" s="4" t="s">
        <v>4866</v>
      </c>
      <c r="B2406" s="4" t="s">
        <v>4867</v>
      </c>
      <c r="C2406" s="4" t="s">
        <v>31</v>
      </c>
      <c r="D2406" s="2">
        <f>2224059136/(10^6)</f>
        <v>2224.059136</v>
      </c>
      <c r="E2406" s="5">
        <v>3.18092107772827</v>
      </c>
      <c r="F2406" s="5" t="s">
        <v>86</v>
      </c>
      <c r="G2406" s="5">
        <v>1.33535957336426</v>
      </c>
      <c r="H2406" s="5">
        <v>3.80255961418152</v>
      </c>
      <c r="I2406" t="s">
        <v>57</v>
      </c>
    </row>
    <row r="2407" spans="1:9">
      <c r="A2407" s="4" t="s">
        <v>4868</v>
      </c>
      <c r="B2407" s="4" t="s">
        <v>4869</v>
      </c>
      <c r="C2407" s="4" t="s">
        <v>51</v>
      </c>
      <c r="D2407" s="2">
        <f>2223783936/(10^6)</f>
        <v>2223.783936</v>
      </c>
      <c r="E2407" s="5" t="s">
        <v>86</v>
      </c>
      <c r="F2407" s="5">
        <v>26.579496383667</v>
      </c>
      <c r="G2407" s="5">
        <v>6.60677289962769</v>
      </c>
      <c r="H2407" s="5" t="s">
        <v>86</v>
      </c>
      <c r="I2407" t="s">
        <v>57</v>
      </c>
    </row>
    <row r="2408" spans="1:9">
      <c r="A2408" s="4" t="s">
        <v>4870</v>
      </c>
      <c r="B2408" s="4" t="s">
        <v>4871</v>
      </c>
      <c r="C2408" s="4" t="s">
        <v>41</v>
      </c>
      <c r="D2408" s="2">
        <f>2219724288/(10^6)</f>
        <v>2219.724288</v>
      </c>
      <c r="E2408" s="5" t="s">
        <v>86</v>
      </c>
      <c r="F2408" s="5">
        <v>8.44942188262939</v>
      </c>
      <c r="G2408" s="5">
        <v>715.473510742188</v>
      </c>
      <c r="H2408" s="5" t="s">
        <v>86</v>
      </c>
      <c r="I2408" t="s">
        <v>57</v>
      </c>
    </row>
    <row r="2409" spans="1:9">
      <c r="A2409" s="4" t="s">
        <v>4872</v>
      </c>
      <c r="B2409" s="4" t="s">
        <v>4873</v>
      </c>
      <c r="C2409" s="4" t="s">
        <v>41</v>
      </c>
      <c r="D2409" s="2">
        <f>2211795200/(10^6)</f>
        <v>2211.7952</v>
      </c>
      <c r="E2409" s="5" t="s">
        <v>86</v>
      </c>
      <c r="F2409" s="5" t="s">
        <v>86</v>
      </c>
      <c r="G2409" s="5">
        <v>1173.08728027344</v>
      </c>
      <c r="H2409" s="5" t="s">
        <v>86</v>
      </c>
      <c r="I2409" t="s">
        <v>57</v>
      </c>
    </row>
    <row r="2410" spans="1:9">
      <c r="A2410" s="4" t="s">
        <v>4874</v>
      </c>
      <c r="B2410" s="4" t="s">
        <v>4875</v>
      </c>
      <c r="C2410" s="4" t="s">
        <v>51</v>
      </c>
      <c r="D2410" s="2">
        <f>2211501056/(10^6)</f>
        <v>2211.501056</v>
      </c>
      <c r="E2410" s="5" t="s">
        <v>86</v>
      </c>
      <c r="F2410" s="5">
        <v>1.97398185729981</v>
      </c>
      <c r="G2410" s="5">
        <v>6.32457828521729</v>
      </c>
      <c r="H2410" s="5" t="s">
        <v>86</v>
      </c>
      <c r="I2410" t="s">
        <v>57</v>
      </c>
    </row>
    <row r="2411" spans="1:9">
      <c r="A2411" s="4" t="s">
        <v>4876</v>
      </c>
      <c r="B2411" s="4" t="s">
        <v>4877</v>
      </c>
      <c r="C2411" s="4" t="s">
        <v>43</v>
      </c>
      <c r="D2411" s="2">
        <f>2209622528/(10^6)</f>
        <v>2209.622528</v>
      </c>
      <c r="E2411" s="5">
        <v>4.8741307258606</v>
      </c>
      <c r="F2411" s="5">
        <v>0.458606660366058</v>
      </c>
      <c r="G2411" s="5">
        <v>1.65635550022125</v>
      </c>
      <c r="H2411" s="5" t="s">
        <v>86</v>
      </c>
      <c r="I2411" t="s">
        <v>57</v>
      </c>
    </row>
    <row r="2412" spans="1:9">
      <c r="A2412" s="4" t="s">
        <v>4878</v>
      </c>
      <c r="B2412" s="4" t="s">
        <v>4879</v>
      </c>
      <c r="C2412" s="4" t="s">
        <v>43</v>
      </c>
      <c r="D2412" s="2">
        <f>2200510464/(10^6)</f>
        <v>2200.510464</v>
      </c>
      <c r="E2412" s="5">
        <v>9.27298259735107</v>
      </c>
      <c r="F2412" s="5">
        <v>0.799429774284363</v>
      </c>
      <c r="G2412" s="5">
        <v>2.40738987922669</v>
      </c>
      <c r="H2412" s="5" t="s">
        <v>86</v>
      </c>
      <c r="I2412" t="s">
        <v>57</v>
      </c>
    </row>
    <row r="2413" spans="1:9">
      <c r="A2413" s="4" t="s">
        <v>4880</v>
      </c>
      <c r="B2413" s="4" t="s">
        <v>4881</v>
      </c>
      <c r="C2413" s="4" t="s">
        <v>43</v>
      </c>
      <c r="D2413" s="2">
        <f>2198282240/(10^6)</f>
        <v>2198.28224</v>
      </c>
      <c r="E2413" s="5">
        <v>41.1370468139648</v>
      </c>
      <c r="F2413" s="5">
        <v>5.41081142425537</v>
      </c>
      <c r="G2413" s="5">
        <v>6.74872159957886</v>
      </c>
      <c r="H2413" s="5" t="s">
        <v>86</v>
      </c>
      <c r="I2413" t="s">
        <v>57</v>
      </c>
    </row>
    <row r="2414" spans="1:9">
      <c r="A2414" s="4" t="s">
        <v>4882</v>
      </c>
      <c r="B2414" s="4" t="s">
        <v>4883</v>
      </c>
      <c r="C2414" s="4" t="s">
        <v>31</v>
      </c>
      <c r="D2414" s="2">
        <f>2198001152/(10^6)</f>
        <v>2198.001152</v>
      </c>
      <c r="E2414" s="5">
        <v>12.3629493713379</v>
      </c>
      <c r="F2414" s="5">
        <v>1.75726091861725</v>
      </c>
      <c r="G2414" s="5">
        <v>0.487292975187302</v>
      </c>
      <c r="H2414" s="5">
        <v>7.25012445449829</v>
      </c>
      <c r="I2414" t="s">
        <v>57</v>
      </c>
    </row>
    <row r="2415" spans="1:9">
      <c r="A2415" s="4" t="s">
        <v>4884</v>
      </c>
      <c r="B2415" s="4" t="s">
        <v>4885</v>
      </c>
      <c r="C2415" s="4" t="s">
        <v>43</v>
      </c>
      <c r="D2415" s="2">
        <f>2193519616/(10^6)</f>
        <v>2193.519616</v>
      </c>
      <c r="E2415" s="5">
        <v>5.12176942825317</v>
      </c>
      <c r="F2415" s="5">
        <v>0.500596225261688</v>
      </c>
      <c r="G2415" s="5">
        <v>1.70824289321899</v>
      </c>
      <c r="H2415" s="5" t="s">
        <v>86</v>
      </c>
      <c r="I2415" t="s">
        <v>57</v>
      </c>
    </row>
    <row r="2416" spans="1:9">
      <c r="A2416" s="4" t="s">
        <v>4886</v>
      </c>
      <c r="B2416" s="4" t="s">
        <v>4887</v>
      </c>
      <c r="C2416" s="4" t="s">
        <v>41</v>
      </c>
      <c r="D2416" s="2">
        <f>2191789312/(10^6)</f>
        <v>2191.789312</v>
      </c>
      <c r="E2416" s="5" t="s">
        <v>86</v>
      </c>
      <c r="F2416" s="5">
        <v>16.1149787902832</v>
      </c>
      <c r="G2416" s="5">
        <v>9.65064144134521</v>
      </c>
      <c r="H2416" s="5" t="s">
        <v>86</v>
      </c>
      <c r="I2416" t="s">
        <v>57</v>
      </c>
    </row>
    <row r="2417" spans="1:9">
      <c r="A2417" s="4" t="s">
        <v>4888</v>
      </c>
      <c r="B2417" s="4" t="s">
        <v>4889</v>
      </c>
      <c r="C2417" s="4" t="s">
        <v>41</v>
      </c>
      <c r="D2417" s="2">
        <f>2191189504/(10^6)</f>
        <v>2191.189504</v>
      </c>
      <c r="E2417" s="5">
        <v>23.1436042785645</v>
      </c>
      <c r="F2417" s="5">
        <v>2.5631365776062</v>
      </c>
      <c r="G2417" s="5">
        <v>3.41903567314148</v>
      </c>
      <c r="H2417" s="5">
        <v>15.1619548797607</v>
      </c>
      <c r="I2417" t="s">
        <v>57</v>
      </c>
    </row>
    <row r="2418" spans="1:9">
      <c r="A2418" s="4" t="s">
        <v>4890</v>
      </c>
      <c r="B2418" s="4" t="s">
        <v>4891</v>
      </c>
      <c r="C2418" s="4" t="s">
        <v>37</v>
      </c>
      <c r="D2418" s="2">
        <f>2181727488/(10^6)</f>
        <v>2181.727488</v>
      </c>
      <c r="E2418" s="5">
        <v>9.54513168334961</v>
      </c>
      <c r="F2418" s="5">
        <v>2.43136286735535</v>
      </c>
      <c r="G2418" s="5">
        <v>1.57877659797669</v>
      </c>
      <c r="H2418" s="5" t="s">
        <v>86</v>
      </c>
      <c r="I2418" t="s">
        <v>57</v>
      </c>
    </row>
    <row r="2419" spans="1:9">
      <c r="A2419" s="4" t="s">
        <v>4892</v>
      </c>
      <c r="B2419" s="4" t="s">
        <v>4893</v>
      </c>
      <c r="C2419" s="4" t="s">
        <v>47</v>
      </c>
      <c r="D2419" s="2">
        <f>2175575808/(10^6)</f>
        <v>2175.575808</v>
      </c>
      <c r="E2419" s="5">
        <v>4.7231068611145</v>
      </c>
      <c r="F2419" s="5" t="s">
        <v>86</v>
      </c>
      <c r="G2419" s="5">
        <v>0.567554533481598</v>
      </c>
      <c r="H2419" s="5">
        <v>5.49534273147583</v>
      </c>
      <c r="I2419" t="s">
        <v>57</v>
      </c>
    </row>
    <row r="2420" spans="1:9">
      <c r="A2420" s="4" t="s">
        <v>4894</v>
      </c>
      <c r="B2420" s="4" t="s">
        <v>4895</v>
      </c>
      <c r="C2420" s="4" t="s">
        <v>47</v>
      </c>
      <c r="D2420" s="2">
        <f>2173489664/(10^6)</f>
        <v>2173.489664</v>
      </c>
      <c r="E2420" s="5" t="s">
        <v>86</v>
      </c>
      <c r="F2420" s="5">
        <v>0.775308132171631</v>
      </c>
      <c r="G2420" s="5">
        <v>0.701385974884033</v>
      </c>
      <c r="H2420" s="5">
        <v>5.03118228912354</v>
      </c>
      <c r="I2420" t="s">
        <v>57</v>
      </c>
    </row>
    <row r="2421" spans="1:9">
      <c r="A2421" s="4" t="s">
        <v>4896</v>
      </c>
      <c r="B2421" s="4" t="s">
        <v>4897</v>
      </c>
      <c r="C2421" s="4" t="s">
        <v>51</v>
      </c>
      <c r="D2421" s="2">
        <f>2172515840/(10^6)</f>
        <v>2172.51584</v>
      </c>
      <c r="E2421" s="5">
        <v>68.3893432617188</v>
      </c>
      <c r="F2421" s="5">
        <v>1.87492954730988</v>
      </c>
      <c r="G2421" s="5">
        <v>2.63046479225159</v>
      </c>
      <c r="H2421" s="5">
        <v>16.9003505706787</v>
      </c>
      <c r="I2421" t="s">
        <v>57</v>
      </c>
    </row>
    <row r="2422" spans="1:9">
      <c r="A2422" s="4" t="s">
        <v>4898</v>
      </c>
      <c r="B2422" s="4" t="s">
        <v>4899</v>
      </c>
      <c r="C2422" s="4" t="s">
        <v>31</v>
      </c>
      <c r="D2422" s="2">
        <f>2170295552/(10^6)</f>
        <v>2170.295552</v>
      </c>
      <c r="E2422" s="5">
        <v>16.7626953125</v>
      </c>
      <c r="F2422" s="5">
        <v>0.773283243179321</v>
      </c>
      <c r="G2422" s="5">
        <v>1.24831700325012</v>
      </c>
      <c r="H2422" s="5">
        <v>8.1974458694458</v>
      </c>
      <c r="I2422" t="s">
        <v>57</v>
      </c>
    </row>
    <row r="2423" spans="1:9">
      <c r="A2423" s="4" t="s">
        <v>4900</v>
      </c>
      <c r="B2423" s="4" t="s">
        <v>4901</v>
      </c>
      <c r="C2423" s="4" t="s">
        <v>35</v>
      </c>
      <c r="D2423" s="2">
        <f>2167354112/(10^6)</f>
        <v>2167.354112</v>
      </c>
      <c r="E2423" s="5">
        <v>23.2288646697998</v>
      </c>
      <c r="F2423" s="5">
        <v>2.56989026069641</v>
      </c>
      <c r="G2423" s="5">
        <v>1.80247628688812</v>
      </c>
      <c r="H2423" s="5">
        <v>11.42844581604</v>
      </c>
      <c r="I2423" t="s">
        <v>57</v>
      </c>
    </row>
    <row r="2424" spans="1:9">
      <c r="A2424" s="4" t="s">
        <v>4902</v>
      </c>
      <c r="B2424" s="4" t="s">
        <v>4903</v>
      </c>
      <c r="C2424" s="4" t="s">
        <v>31</v>
      </c>
      <c r="D2424" s="2">
        <f>2163968512/(10^6)</f>
        <v>2163.968512</v>
      </c>
      <c r="E2424" s="5">
        <v>12.9721555709839</v>
      </c>
      <c r="F2424" s="5">
        <v>0.814547061920166</v>
      </c>
      <c r="G2424" s="5">
        <v>0.70142138004303</v>
      </c>
      <c r="H2424" s="5">
        <v>8.21385669708252</v>
      </c>
      <c r="I2424" t="s">
        <v>57</v>
      </c>
    </row>
    <row r="2425" spans="1:9">
      <c r="A2425" s="4" t="s">
        <v>4904</v>
      </c>
      <c r="B2425" s="4" t="s">
        <v>4905</v>
      </c>
      <c r="C2425" s="4" t="s">
        <v>35</v>
      </c>
      <c r="D2425" s="2">
        <f>2161441792/(10^6)</f>
        <v>2161.441792</v>
      </c>
      <c r="E2425" s="5">
        <v>13.2441759109497</v>
      </c>
      <c r="F2425" s="5">
        <v>3.67074370384216</v>
      </c>
      <c r="G2425" s="5">
        <v>0.80513060092926</v>
      </c>
      <c r="H2425" s="5">
        <v>14.0632381439209</v>
      </c>
      <c r="I2425" t="s">
        <v>57</v>
      </c>
    </row>
    <row r="2426" spans="1:9">
      <c r="A2426" s="4" t="s">
        <v>4906</v>
      </c>
      <c r="B2426" s="4" t="s">
        <v>4907</v>
      </c>
      <c r="C2426" s="4" t="s">
        <v>27</v>
      </c>
      <c r="D2426" s="2">
        <f>2158455040/(10^6)</f>
        <v>2158.45504</v>
      </c>
      <c r="E2426" s="5">
        <v>5.83485889434815</v>
      </c>
      <c r="F2426" s="5">
        <v>0.287652641534805</v>
      </c>
      <c r="G2426" s="5">
        <v>0.768487930297852</v>
      </c>
      <c r="H2426" s="5">
        <v>3.25427627563477</v>
      </c>
      <c r="I2426" t="s">
        <v>57</v>
      </c>
    </row>
    <row r="2427" spans="1:9">
      <c r="A2427" s="4" t="s">
        <v>4908</v>
      </c>
      <c r="B2427" s="4" t="s">
        <v>4909</v>
      </c>
      <c r="C2427" s="4" t="s">
        <v>43</v>
      </c>
      <c r="D2427" s="2">
        <f>2155704576/(10^6)</f>
        <v>2155.704576</v>
      </c>
      <c r="E2427" s="5">
        <v>11.2055749893188</v>
      </c>
      <c r="F2427" s="5">
        <v>1.26388716697693</v>
      </c>
      <c r="G2427" s="5">
        <v>3.67221808433533</v>
      </c>
      <c r="H2427" s="5" t="s">
        <v>86</v>
      </c>
      <c r="I2427" t="s">
        <v>57</v>
      </c>
    </row>
    <row r="2428" spans="1:9">
      <c r="A2428" s="4" t="s">
        <v>4910</v>
      </c>
      <c r="B2428" s="4" t="s">
        <v>4911</v>
      </c>
      <c r="C2428" s="4" t="s">
        <v>39</v>
      </c>
      <c r="D2428" s="2">
        <f>2149438976/(10^6)</f>
        <v>2149.438976</v>
      </c>
      <c r="E2428" s="5">
        <v>24.9256362915039</v>
      </c>
      <c r="F2428" s="5">
        <v>2.51195073127747</v>
      </c>
      <c r="G2428" s="5">
        <v>3.77849555015564</v>
      </c>
      <c r="H2428" s="5">
        <v>14.7136068344116</v>
      </c>
      <c r="I2428" t="s">
        <v>57</v>
      </c>
    </row>
    <row r="2429" spans="1:9">
      <c r="A2429" s="4" t="s">
        <v>4912</v>
      </c>
      <c r="B2429" s="4" t="s">
        <v>4913</v>
      </c>
      <c r="C2429" s="4" t="s">
        <v>43</v>
      </c>
      <c r="D2429" s="2">
        <f>2138070144/(10^6)</f>
        <v>2138.070144</v>
      </c>
      <c r="E2429" s="5">
        <v>2.99145436286926</v>
      </c>
      <c r="F2429" s="5">
        <v>0.356954872608185</v>
      </c>
      <c r="G2429" s="5">
        <v>0.525219857692719</v>
      </c>
      <c r="H2429" s="5" t="s">
        <v>86</v>
      </c>
      <c r="I2429" t="s">
        <v>57</v>
      </c>
    </row>
    <row r="2430" spans="1:9">
      <c r="A2430" s="4" t="s">
        <v>4914</v>
      </c>
      <c r="B2430" s="4" t="s">
        <v>4915</v>
      </c>
      <c r="C2430" s="4" t="s">
        <v>41</v>
      </c>
      <c r="D2430" s="2">
        <f>2137748992/(10^6)</f>
        <v>2137.748992</v>
      </c>
      <c r="E2430" s="5" t="s">
        <v>86</v>
      </c>
      <c r="F2430" s="5">
        <v>41.4646110534668</v>
      </c>
      <c r="G2430" s="5">
        <v>8.18734836578369</v>
      </c>
      <c r="H2430" s="5" t="s">
        <v>86</v>
      </c>
      <c r="I2430" t="s">
        <v>57</v>
      </c>
    </row>
    <row r="2431" spans="1:9">
      <c r="A2431" s="4" t="s">
        <v>4916</v>
      </c>
      <c r="B2431" s="4" t="s">
        <v>4917</v>
      </c>
      <c r="C2431" s="4" t="s">
        <v>43</v>
      </c>
      <c r="D2431" s="2">
        <f>2137748480/(10^6)</f>
        <v>2137.74848</v>
      </c>
      <c r="E2431" s="5">
        <v>8.06782627105713</v>
      </c>
      <c r="F2431" s="5">
        <v>0.742385864257813</v>
      </c>
      <c r="G2431" s="5">
        <v>2.42107629776001</v>
      </c>
      <c r="H2431" s="5" t="s">
        <v>86</v>
      </c>
      <c r="I2431" t="s">
        <v>57</v>
      </c>
    </row>
    <row r="2432" spans="1:9">
      <c r="A2432" s="4" t="s">
        <v>4918</v>
      </c>
      <c r="B2432" s="4" t="s">
        <v>4919</v>
      </c>
      <c r="C2432" s="4" t="s">
        <v>43</v>
      </c>
      <c r="D2432" s="2">
        <f>2133841408/(10^6)</f>
        <v>2133.841408</v>
      </c>
      <c r="E2432" s="5">
        <v>7.60463380813599</v>
      </c>
      <c r="F2432" s="5">
        <v>0.805576324462891</v>
      </c>
      <c r="G2432" s="5">
        <v>2.5009171962738</v>
      </c>
      <c r="H2432" s="5" t="s">
        <v>86</v>
      </c>
      <c r="I2432" t="s">
        <v>57</v>
      </c>
    </row>
    <row r="2433" spans="1:9">
      <c r="A2433" s="4" t="s">
        <v>4920</v>
      </c>
      <c r="B2433" s="4" t="s">
        <v>4921</v>
      </c>
      <c r="C2433" s="4" t="s">
        <v>43</v>
      </c>
      <c r="D2433" s="2">
        <f>2131271040/(10^6)</f>
        <v>2131.27104</v>
      </c>
      <c r="E2433" s="5">
        <v>14.8389053344727</v>
      </c>
      <c r="F2433" s="5">
        <v>1.18437373638153</v>
      </c>
      <c r="G2433" s="5">
        <v>0.536442995071411</v>
      </c>
      <c r="H2433" s="5" t="s">
        <v>86</v>
      </c>
      <c r="I2433" t="s">
        <v>57</v>
      </c>
    </row>
    <row r="2434" spans="1:9">
      <c r="A2434" s="4" t="s">
        <v>4922</v>
      </c>
      <c r="B2434" s="4" t="s">
        <v>4923</v>
      </c>
      <c r="C2434" s="4" t="s">
        <v>33</v>
      </c>
      <c r="D2434" s="2">
        <f>2129171456/(10^6)</f>
        <v>2129.171456</v>
      </c>
      <c r="E2434" s="5">
        <v>51.055850982666</v>
      </c>
      <c r="F2434" s="5">
        <v>8.27729988098145</v>
      </c>
      <c r="G2434" s="5">
        <v>3.58875632286072</v>
      </c>
      <c r="H2434" s="5">
        <v>39.2867774963379</v>
      </c>
      <c r="I2434" t="s">
        <v>57</v>
      </c>
    </row>
    <row r="2435" spans="1:9">
      <c r="A2435" s="4" t="s">
        <v>4924</v>
      </c>
      <c r="B2435" s="4" t="s">
        <v>4925</v>
      </c>
      <c r="C2435" s="4" t="s">
        <v>43</v>
      </c>
      <c r="D2435" s="2">
        <f>2128027136/(10^6)</f>
        <v>2128.027136</v>
      </c>
      <c r="E2435" s="5">
        <v>9.55897426605225</v>
      </c>
      <c r="F2435" s="5">
        <v>1.6531366109848</v>
      </c>
      <c r="G2435" s="5">
        <v>2.78364825248718</v>
      </c>
      <c r="H2435" s="5" t="s">
        <v>86</v>
      </c>
      <c r="I2435" t="s">
        <v>57</v>
      </c>
    </row>
    <row r="2436" spans="1:9">
      <c r="A2436" s="4" t="s">
        <v>4926</v>
      </c>
      <c r="B2436" s="4" t="s">
        <v>4927</v>
      </c>
      <c r="C2436" s="4" t="s">
        <v>41</v>
      </c>
      <c r="D2436" s="2">
        <f>2125054080/(10^6)</f>
        <v>2125.05408</v>
      </c>
      <c r="E2436" s="5" t="s">
        <v>86</v>
      </c>
      <c r="F2436" s="5">
        <v>6.15225696563721</v>
      </c>
      <c r="G2436" s="5" t="s">
        <v>86</v>
      </c>
      <c r="H2436" s="5" t="s">
        <v>86</v>
      </c>
      <c r="I2436" t="s">
        <v>57</v>
      </c>
    </row>
    <row r="2437" spans="1:9">
      <c r="A2437" s="4" t="s">
        <v>4928</v>
      </c>
      <c r="B2437" s="4" t="s">
        <v>4929</v>
      </c>
      <c r="C2437" s="4" t="s">
        <v>41</v>
      </c>
      <c r="D2437" s="2">
        <f>2113732480/(10^6)</f>
        <v>2113.73248</v>
      </c>
      <c r="E2437" s="5" t="s">
        <v>86</v>
      </c>
      <c r="F2437" s="5">
        <v>6.31171131134033</v>
      </c>
      <c r="G2437" s="5">
        <v>0.750816762447357</v>
      </c>
      <c r="H2437" s="5" t="s">
        <v>86</v>
      </c>
      <c r="I2437" t="s">
        <v>57</v>
      </c>
    </row>
    <row r="2438" spans="1:9">
      <c r="A2438" s="4" t="s">
        <v>4930</v>
      </c>
      <c r="B2438" s="4" t="s">
        <v>4931</v>
      </c>
      <c r="C2438" s="4" t="s">
        <v>33</v>
      </c>
      <c r="D2438" s="2">
        <f>2113374208/(10^6)</f>
        <v>2113.374208</v>
      </c>
      <c r="E2438" s="5">
        <v>13.6759452819824</v>
      </c>
      <c r="F2438" s="5">
        <v>1.77588999271393</v>
      </c>
      <c r="G2438" s="5">
        <v>1.16149008274078</v>
      </c>
      <c r="H2438" s="5">
        <v>8.51870822906494</v>
      </c>
      <c r="I2438" t="s">
        <v>57</v>
      </c>
    </row>
    <row r="2439" spans="1:9">
      <c r="A2439" s="4" t="s">
        <v>4932</v>
      </c>
      <c r="B2439" s="4" t="s">
        <v>4933</v>
      </c>
      <c r="C2439" s="4" t="s">
        <v>33</v>
      </c>
      <c r="D2439" s="2">
        <f>2113374208/(10^6)</f>
        <v>2113.374208</v>
      </c>
      <c r="E2439" s="5">
        <v>13.6759452819824</v>
      </c>
      <c r="F2439" s="5">
        <v>1.77588999271393</v>
      </c>
      <c r="G2439" s="5">
        <v>1.16149008274078</v>
      </c>
      <c r="H2439" s="5">
        <v>8.51870822906494</v>
      </c>
      <c r="I2439" t="s">
        <v>57</v>
      </c>
    </row>
    <row r="2440" spans="1:9">
      <c r="A2440" s="4" t="s">
        <v>4934</v>
      </c>
      <c r="B2440" s="4" t="s">
        <v>4935</v>
      </c>
      <c r="C2440" s="4" t="s">
        <v>35</v>
      </c>
      <c r="D2440" s="2">
        <f>2112259712/(10^6)</f>
        <v>2112.259712</v>
      </c>
      <c r="E2440" s="5">
        <v>14.3671722412109</v>
      </c>
      <c r="F2440" s="5">
        <v>3.62961149215698</v>
      </c>
      <c r="G2440" s="5">
        <v>0.380561351776123</v>
      </c>
      <c r="H2440" s="5">
        <v>7.28831434249878</v>
      </c>
      <c r="I2440" t="s">
        <v>57</v>
      </c>
    </row>
    <row r="2441" spans="1:9">
      <c r="A2441" s="4" t="s">
        <v>4936</v>
      </c>
      <c r="B2441" s="4" t="s">
        <v>4937</v>
      </c>
      <c r="C2441" s="4" t="s">
        <v>47</v>
      </c>
      <c r="D2441" s="2">
        <f>2107338368/(10^6)</f>
        <v>2107.338368</v>
      </c>
      <c r="E2441" s="5">
        <v>11.8583221435547</v>
      </c>
      <c r="F2441" s="5" t="s">
        <v>86</v>
      </c>
      <c r="G2441" s="5">
        <v>0.813163638114929</v>
      </c>
      <c r="H2441" s="5">
        <v>7.58231115341187</v>
      </c>
      <c r="I2441" t="s">
        <v>57</v>
      </c>
    </row>
    <row r="2442" spans="1:9">
      <c r="A2442" s="4" t="s">
        <v>4938</v>
      </c>
      <c r="B2442" s="4" t="s">
        <v>4939</v>
      </c>
      <c r="C2442" s="4" t="s">
        <v>51</v>
      </c>
      <c r="D2442" s="2">
        <f>2103183744/(10^6)</f>
        <v>2103.183744</v>
      </c>
      <c r="E2442" s="5">
        <v>11.5163793563843</v>
      </c>
      <c r="F2442" s="5">
        <v>1.41496896743774</v>
      </c>
      <c r="G2442" s="5">
        <v>0.788519561290741</v>
      </c>
      <c r="H2442" s="5">
        <v>4.23153734207153</v>
      </c>
      <c r="I2442" t="s">
        <v>57</v>
      </c>
    </row>
    <row r="2443" spans="1:9">
      <c r="A2443" s="4" t="s">
        <v>4940</v>
      </c>
      <c r="B2443" s="4" t="s">
        <v>4941</v>
      </c>
      <c r="C2443" s="4" t="s">
        <v>43</v>
      </c>
      <c r="D2443" s="2">
        <f>2097969664/(10^6)</f>
        <v>2097.969664</v>
      </c>
      <c r="E2443" s="5">
        <v>6.55122566223145</v>
      </c>
      <c r="F2443" s="5">
        <v>0.704247355461121</v>
      </c>
      <c r="G2443" s="5">
        <v>1.84360980987549</v>
      </c>
      <c r="H2443" s="5" t="s">
        <v>86</v>
      </c>
      <c r="I2443" t="s">
        <v>57</v>
      </c>
    </row>
    <row r="2444" spans="1:9">
      <c r="A2444" s="4" t="s">
        <v>4942</v>
      </c>
      <c r="B2444" s="4" t="s">
        <v>4943</v>
      </c>
      <c r="C2444" s="4" t="s">
        <v>31</v>
      </c>
      <c r="D2444" s="2">
        <f>2097290496/(10^6)</f>
        <v>2097.290496</v>
      </c>
      <c r="E2444" s="5">
        <v>13.8042831420898</v>
      </c>
      <c r="F2444" s="5">
        <v>1.88867974281311</v>
      </c>
      <c r="G2444" s="5">
        <v>0.762735605239868</v>
      </c>
      <c r="H2444" s="5">
        <v>7.83959531784058</v>
      </c>
      <c r="I2444" t="s">
        <v>57</v>
      </c>
    </row>
    <row r="2445" spans="1:9">
      <c r="A2445" s="4" t="s">
        <v>4944</v>
      </c>
      <c r="B2445" s="4" t="s">
        <v>4945</v>
      </c>
      <c r="C2445" s="4" t="s">
        <v>31</v>
      </c>
      <c r="D2445" s="2">
        <f>2092135680/(10^6)</f>
        <v>2092.13568</v>
      </c>
      <c r="E2445" s="5">
        <v>33.2340431213379</v>
      </c>
      <c r="F2445" s="5">
        <v>3.57128405570984</v>
      </c>
      <c r="G2445" s="5">
        <v>4.57394933700562</v>
      </c>
      <c r="H2445" s="5">
        <v>16.8330898284912</v>
      </c>
      <c r="I2445" t="s">
        <v>57</v>
      </c>
    </row>
    <row r="2446" spans="1:9">
      <c r="A2446" s="4" t="s">
        <v>4946</v>
      </c>
      <c r="B2446" s="4" t="s">
        <v>4947</v>
      </c>
      <c r="C2446" s="4" t="s">
        <v>31</v>
      </c>
      <c r="D2446" s="2">
        <f>2085376128/(10^6)</f>
        <v>2085.376128</v>
      </c>
      <c r="E2446" s="5">
        <v>21.9300289154053</v>
      </c>
      <c r="F2446" s="5">
        <v>2.61790013313294</v>
      </c>
      <c r="G2446" s="5">
        <v>1.59189462661743</v>
      </c>
      <c r="H2446" s="5">
        <v>12.1174087524414</v>
      </c>
      <c r="I2446" t="s">
        <v>57</v>
      </c>
    </row>
    <row r="2447" spans="1:9">
      <c r="A2447" s="4" t="s">
        <v>4948</v>
      </c>
      <c r="B2447" s="4" t="s">
        <v>4949</v>
      </c>
      <c r="C2447" s="4" t="s">
        <v>43</v>
      </c>
      <c r="D2447" s="2">
        <f>2072335488/(10^6)</f>
        <v>2072.335488</v>
      </c>
      <c r="E2447" s="5">
        <v>4.88727045059204</v>
      </c>
      <c r="F2447" s="5">
        <v>0.49929341673851</v>
      </c>
      <c r="G2447" s="5">
        <v>1.63126456737518</v>
      </c>
      <c r="H2447" s="5" t="s">
        <v>86</v>
      </c>
      <c r="I2447" t="s">
        <v>57</v>
      </c>
    </row>
    <row r="2448" spans="1:9">
      <c r="A2448" s="4" t="s">
        <v>4950</v>
      </c>
      <c r="B2448" s="4" t="s">
        <v>4951</v>
      </c>
      <c r="C2448" s="4" t="s">
        <v>35</v>
      </c>
      <c r="D2448" s="2">
        <f>2065561984/(10^6)</f>
        <v>2065.561984</v>
      </c>
      <c r="E2448" s="5" t="s">
        <v>86</v>
      </c>
      <c r="F2448" s="5">
        <v>2.21215438842773</v>
      </c>
      <c r="G2448" s="5">
        <v>1.6897748708725</v>
      </c>
      <c r="H2448" s="5" t="s">
        <v>86</v>
      </c>
      <c r="I2448" t="s">
        <v>57</v>
      </c>
    </row>
    <row r="2449" spans="1:9">
      <c r="A2449" s="4" t="s">
        <v>4952</v>
      </c>
      <c r="B2449" s="4" t="s">
        <v>4953</v>
      </c>
      <c r="C2449" s="4" t="s">
        <v>41</v>
      </c>
      <c r="D2449" s="2">
        <f>2060396288/(10^6)</f>
        <v>2060.396288</v>
      </c>
      <c r="E2449" s="5">
        <v>11.587100982666</v>
      </c>
      <c r="F2449" s="5">
        <v>2.69137978553772</v>
      </c>
      <c r="G2449" s="5">
        <v>0.36564689874649</v>
      </c>
      <c r="H2449" s="5">
        <v>7.73508024215698</v>
      </c>
      <c r="I2449" t="s">
        <v>57</v>
      </c>
    </row>
    <row r="2450" spans="1:9">
      <c r="A2450" s="4" t="s">
        <v>4954</v>
      </c>
      <c r="B2450" s="4" t="s">
        <v>4955</v>
      </c>
      <c r="C2450" s="4" t="s">
        <v>47</v>
      </c>
      <c r="D2450" s="2">
        <f>2057840000/(10^6)</f>
        <v>2057.84</v>
      </c>
      <c r="E2450" s="5">
        <v>36.4592056274414</v>
      </c>
      <c r="F2450" s="5">
        <v>3.08664608001709</v>
      </c>
      <c r="G2450" s="5">
        <v>3.63966202735901</v>
      </c>
      <c r="H2450" s="5">
        <v>15.5981035232544</v>
      </c>
      <c r="I2450" t="s">
        <v>57</v>
      </c>
    </row>
    <row r="2451" spans="1:9">
      <c r="A2451" s="4" t="s">
        <v>4956</v>
      </c>
      <c r="B2451" s="4" t="s">
        <v>4957</v>
      </c>
      <c r="C2451" s="4" t="s">
        <v>41</v>
      </c>
      <c r="D2451" s="2">
        <f>2056492288/(10^6)</f>
        <v>2056.492288</v>
      </c>
      <c r="E2451" s="5" t="s">
        <v>86</v>
      </c>
      <c r="F2451" s="5" t="s">
        <v>86</v>
      </c>
      <c r="G2451" s="5" t="s">
        <v>86</v>
      </c>
      <c r="H2451" s="5" t="s">
        <v>86</v>
      </c>
      <c r="I2451" t="s">
        <v>57</v>
      </c>
    </row>
    <row r="2452" spans="1:9">
      <c r="A2452" s="4" t="s">
        <v>4958</v>
      </c>
      <c r="B2452" s="4" t="s">
        <v>4959</v>
      </c>
      <c r="C2452" s="4" t="s">
        <v>43</v>
      </c>
      <c r="D2452" s="2">
        <f>2053433216/(10^6)</f>
        <v>2053.433216</v>
      </c>
      <c r="E2452" s="5">
        <v>11.0666666030884</v>
      </c>
      <c r="F2452" s="5">
        <v>0.783291578292847</v>
      </c>
      <c r="G2452" s="5">
        <v>1.98916268348694</v>
      </c>
      <c r="H2452" s="5" t="s">
        <v>86</v>
      </c>
      <c r="I2452" t="s">
        <v>57</v>
      </c>
    </row>
    <row r="2453" spans="1:9">
      <c r="A2453" s="4" t="s">
        <v>4960</v>
      </c>
      <c r="B2453" s="4" t="s">
        <v>4961</v>
      </c>
      <c r="C2453" s="4" t="s">
        <v>31</v>
      </c>
      <c r="D2453" s="2">
        <f>2041168256/(10^6)</f>
        <v>2041.168256</v>
      </c>
      <c r="E2453" s="5">
        <v>14.0145416259766</v>
      </c>
      <c r="F2453" s="5">
        <v>1.10909175872803</v>
      </c>
      <c r="G2453" s="5">
        <v>1.49520862102509</v>
      </c>
      <c r="H2453" s="5">
        <v>9.91177749633789</v>
      </c>
      <c r="I2453" t="s">
        <v>57</v>
      </c>
    </row>
    <row r="2454" spans="1:9">
      <c r="A2454" s="4" t="s">
        <v>4962</v>
      </c>
      <c r="B2454" s="4" t="s">
        <v>4963</v>
      </c>
      <c r="C2454" s="4" t="s">
        <v>37</v>
      </c>
      <c r="D2454" s="2">
        <f>2024576512/(10^6)</f>
        <v>2024.576512</v>
      </c>
      <c r="E2454" s="5" t="s">
        <v>86</v>
      </c>
      <c r="F2454" s="5" t="s">
        <v>86</v>
      </c>
      <c r="G2454" s="5" t="s">
        <v>86</v>
      </c>
      <c r="H2454" s="5" t="s">
        <v>86</v>
      </c>
      <c r="I2454" t="s">
        <v>57</v>
      </c>
    </row>
    <row r="2455" spans="1:9">
      <c r="A2455" s="4" t="s">
        <v>4964</v>
      </c>
      <c r="B2455" s="4" t="s">
        <v>4965</v>
      </c>
      <c r="C2455" s="4" t="s">
        <v>51</v>
      </c>
      <c r="D2455" s="2">
        <f>2022443648/(10^6)</f>
        <v>2022.443648</v>
      </c>
      <c r="E2455" s="5" t="s">
        <v>86</v>
      </c>
      <c r="F2455" s="5">
        <v>90.4056777954102</v>
      </c>
      <c r="G2455" s="5">
        <v>2.84831762313843</v>
      </c>
      <c r="H2455" s="5" t="s">
        <v>86</v>
      </c>
      <c r="I2455" t="s">
        <v>57</v>
      </c>
    </row>
    <row r="2456" spans="1:9">
      <c r="A2456" s="4" t="s">
        <v>4966</v>
      </c>
      <c r="B2456" s="4" t="s">
        <v>4967</v>
      </c>
      <c r="C2456" s="4" t="s">
        <v>31</v>
      </c>
      <c r="D2456" s="2">
        <f>2009249664/(10^6)</f>
        <v>2009.249664</v>
      </c>
      <c r="E2456" s="5">
        <v>10.6178169250488</v>
      </c>
      <c r="F2456" s="5">
        <v>1.47044384479523</v>
      </c>
      <c r="G2456" s="5">
        <v>0.651288747787476</v>
      </c>
      <c r="H2456" s="5">
        <v>9.38505458831787</v>
      </c>
      <c r="I2456" t="s">
        <v>57</v>
      </c>
    </row>
    <row r="2457" spans="1:9">
      <c r="A2457" s="4" t="s">
        <v>4968</v>
      </c>
      <c r="B2457" s="4" t="s">
        <v>4969</v>
      </c>
      <c r="C2457" s="4" t="s">
        <v>31</v>
      </c>
      <c r="D2457" s="2">
        <f>2006757248/(10^6)</f>
        <v>2006.757248</v>
      </c>
      <c r="E2457" s="5">
        <v>55.4002418518066</v>
      </c>
      <c r="F2457" s="5">
        <v>16.3478221893311</v>
      </c>
      <c r="G2457" s="5">
        <v>2.6699116230011</v>
      </c>
      <c r="H2457" s="5">
        <v>16.9486789703369</v>
      </c>
      <c r="I2457" t="s">
        <v>57</v>
      </c>
    </row>
    <row r="2458" spans="1:9">
      <c r="A2458" s="4" t="s">
        <v>4970</v>
      </c>
      <c r="B2458" s="4" t="s">
        <v>4971</v>
      </c>
      <c r="C2458" s="4" t="s">
        <v>43</v>
      </c>
      <c r="D2458" s="2">
        <f>2005035008/(10^6)</f>
        <v>2005.035008</v>
      </c>
      <c r="E2458" s="5">
        <v>10.804799079895</v>
      </c>
      <c r="F2458" s="5">
        <v>0.848510921001434</v>
      </c>
      <c r="G2458" s="5">
        <v>2.80659747123718</v>
      </c>
      <c r="H2458" s="5" t="s">
        <v>86</v>
      </c>
      <c r="I2458" t="s">
        <v>57</v>
      </c>
    </row>
    <row r="2459" spans="1:9">
      <c r="A2459" s="4" t="s">
        <v>4972</v>
      </c>
      <c r="B2459" s="4" t="s">
        <v>4973</v>
      </c>
      <c r="C2459" s="4" t="s">
        <v>47</v>
      </c>
      <c r="D2459" s="2">
        <f>2004478976/(10^6)</f>
        <v>2004.478976</v>
      </c>
      <c r="E2459" s="5">
        <v>12.1642007827759</v>
      </c>
      <c r="F2459" s="5">
        <v>2.41134095191956</v>
      </c>
      <c r="G2459" s="5">
        <v>1.073401927948</v>
      </c>
      <c r="H2459" s="5">
        <v>7.66361618041992</v>
      </c>
      <c r="I2459" t="s">
        <v>57</v>
      </c>
    </row>
    <row r="2460" spans="1:9">
      <c r="A2460" s="4" t="s">
        <v>4974</v>
      </c>
      <c r="B2460" s="4" t="s">
        <v>4975</v>
      </c>
      <c r="C2460" s="4" t="s">
        <v>51</v>
      </c>
      <c r="D2460" s="2">
        <f>1997732352/(10^6)</f>
        <v>1997.732352</v>
      </c>
      <c r="E2460" s="5">
        <v>22.1831455230713</v>
      </c>
      <c r="F2460" s="5">
        <v>2.88628888130188</v>
      </c>
      <c r="G2460" s="5">
        <v>1.46403896808624</v>
      </c>
      <c r="H2460" s="5">
        <v>19.7660217285156</v>
      </c>
      <c r="I2460" t="s">
        <v>57</v>
      </c>
    </row>
    <row r="2461" spans="1:9">
      <c r="A2461" s="4" t="s">
        <v>4976</v>
      </c>
      <c r="B2461" s="4" t="s">
        <v>4977</v>
      </c>
      <c r="C2461" s="4" t="s">
        <v>41</v>
      </c>
      <c r="D2461" s="2">
        <f>1994608384/(10^6)</f>
        <v>1994.608384</v>
      </c>
      <c r="E2461" s="5" t="s">
        <v>86</v>
      </c>
      <c r="F2461" s="5">
        <v>4.6086597442627</v>
      </c>
      <c r="G2461" s="5">
        <v>67.8710327148438</v>
      </c>
      <c r="H2461" s="5" t="s">
        <v>86</v>
      </c>
      <c r="I2461" t="s">
        <v>57</v>
      </c>
    </row>
    <row r="2462" spans="1:9">
      <c r="A2462" s="4" t="s">
        <v>4978</v>
      </c>
      <c r="B2462" s="4" t="s">
        <v>4979</v>
      </c>
      <c r="C2462" s="4" t="s">
        <v>41</v>
      </c>
      <c r="D2462" s="2">
        <f>1992304768/(10^6)</f>
        <v>1992.304768</v>
      </c>
      <c r="E2462" s="5" t="s">
        <v>86</v>
      </c>
      <c r="F2462" s="5">
        <v>7.12568664550781</v>
      </c>
      <c r="G2462" s="5">
        <v>5.8604998588562</v>
      </c>
      <c r="H2462" s="5" t="s">
        <v>86</v>
      </c>
      <c r="I2462" t="s">
        <v>57</v>
      </c>
    </row>
    <row r="2463" spans="1:9">
      <c r="A2463" s="4" t="s">
        <v>4980</v>
      </c>
      <c r="B2463" s="4" t="s">
        <v>4981</v>
      </c>
      <c r="C2463" s="4" t="s">
        <v>51</v>
      </c>
      <c r="D2463" s="2">
        <f>1991982720/(10^6)</f>
        <v>1991.98272</v>
      </c>
      <c r="E2463" s="5" t="s">
        <v>86</v>
      </c>
      <c r="F2463" s="5">
        <v>21.2800121307373</v>
      </c>
      <c r="G2463" s="5">
        <v>7.75111198425293</v>
      </c>
      <c r="H2463" s="5" t="s">
        <v>86</v>
      </c>
      <c r="I2463" t="s">
        <v>57</v>
      </c>
    </row>
    <row r="2464" spans="1:9">
      <c r="A2464" s="4" t="s">
        <v>4982</v>
      </c>
      <c r="B2464" s="4" t="s">
        <v>4983</v>
      </c>
      <c r="C2464" s="4" t="s">
        <v>33</v>
      </c>
      <c r="D2464" s="2">
        <f>1987062656/(10^6)</f>
        <v>1987.062656</v>
      </c>
      <c r="E2464" s="5">
        <v>14.5051708221436</v>
      </c>
      <c r="F2464" s="5">
        <v>0.648723304271698</v>
      </c>
      <c r="G2464" s="5">
        <v>0.52028900384903</v>
      </c>
      <c r="H2464" s="5">
        <v>7.03507471084595</v>
      </c>
      <c r="I2464" t="s">
        <v>57</v>
      </c>
    </row>
    <row r="2465" spans="1:9">
      <c r="A2465" s="4" t="s">
        <v>4984</v>
      </c>
      <c r="B2465" s="4" t="s">
        <v>4985</v>
      </c>
      <c r="C2465" s="4" t="s">
        <v>33</v>
      </c>
      <c r="D2465" s="2">
        <f>1987062656/(10^6)</f>
        <v>1987.062656</v>
      </c>
      <c r="E2465" s="5">
        <v>14.5051708221436</v>
      </c>
      <c r="F2465" s="5">
        <v>0.648723304271698</v>
      </c>
      <c r="G2465" s="5">
        <v>0.52028900384903</v>
      </c>
      <c r="H2465" s="5">
        <v>7.03507471084595</v>
      </c>
      <c r="I2465" t="s">
        <v>57</v>
      </c>
    </row>
    <row r="2466" spans="1:9">
      <c r="A2466" s="4" t="s">
        <v>4986</v>
      </c>
      <c r="B2466" s="4" t="s">
        <v>4987</v>
      </c>
      <c r="C2466" s="4" t="s">
        <v>33</v>
      </c>
      <c r="D2466" s="2">
        <f>1987062656/(10^6)</f>
        <v>1987.062656</v>
      </c>
      <c r="E2466" s="5">
        <v>14.5051708221436</v>
      </c>
      <c r="F2466" s="5">
        <v>0.648723304271698</v>
      </c>
      <c r="G2466" s="5">
        <v>0.52028900384903</v>
      </c>
      <c r="H2466" s="5">
        <v>7.03507471084595</v>
      </c>
      <c r="I2466" t="s">
        <v>57</v>
      </c>
    </row>
    <row r="2467" spans="1:9">
      <c r="A2467" s="4" t="s">
        <v>4988</v>
      </c>
      <c r="B2467" s="4" t="s">
        <v>4989</v>
      </c>
      <c r="C2467" s="4" t="s">
        <v>43</v>
      </c>
      <c r="D2467" s="2">
        <f>1986176128/(10^6)</f>
        <v>1986.176128</v>
      </c>
      <c r="E2467" s="5">
        <v>14.9697685241699</v>
      </c>
      <c r="F2467" s="5">
        <v>9.19568347930908</v>
      </c>
      <c r="G2467" s="5">
        <v>4.70896911621094</v>
      </c>
      <c r="H2467" s="5">
        <v>9.64307880401611</v>
      </c>
      <c r="I2467" t="s">
        <v>57</v>
      </c>
    </row>
    <row r="2468" spans="1:9">
      <c r="A2468" s="4" t="s">
        <v>4990</v>
      </c>
      <c r="B2468" s="4" t="s">
        <v>4991</v>
      </c>
      <c r="C2468" s="4" t="s">
        <v>43</v>
      </c>
      <c r="D2468" s="2">
        <f>1982728320/(10^6)</f>
        <v>1982.72832</v>
      </c>
      <c r="E2468" s="5">
        <v>6.44795799255371</v>
      </c>
      <c r="F2468" s="5">
        <v>0.545294046401978</v>
      </c>
      <c r="G2468" s="5">
        <v>1.3119660615921</v>
      </c>
      <c r="H2468" s="5" t="s">
        <v>86</v>
      </c>
      <c r="I2468" t="s">
        <v>57</v>
      </c>
    </row>
    <row r="2469" spans="1:9">
      <c r="A2469" s="4" t="s">
        <v>4992</v>
      </c>
      <c r="B2469" s="4" t="s">
        <v>4993</v>
      </c>
      <c r="C2469" s="4" t="s">
        <v>41</v>
      </c>
      <c r="D2469" s="2">
        <f>1977941888/(10^6)</f>
        <v>1977.941888</v>
      </c>
      <c r="E2469" s="5" t="s">
        <v>86</v>
      </c>
      <c r="F2469" s="5">
        <v>49.0513801574707</v>
      </c>
      <c r="G2469" s="5" t="s">
        <v>86</v>
      </c>
      <c r="H2469" s="5" t="s">
        <v>86</v>
      </c>
      <c r="I2469" t="s">
        <v>57</v>
      </c>
    </row>
    <row r="2470" spans="1:9">
      <c r="A2470" s="4" t="s">
        <v>4994</v>
      </c>
      <c r="B2470" s="4" t="s">
        <v>4995</v>
      </c>
      <c r="C2470" s="4" t="s">
        <v>43</v>
      </c>
      <c r="D2470" s="2">
        <f>1974036864/(10^6)</f>
        <v>1974.036864</v>
      </c>
      <c r="E2470" s="5">
        <v>15.7210531234741</v>
      </c>
      <c r="F2470" s="5">
        <v>4.07510280609131</v>
      </c>
      <c r="G2470" s="5">
        <v>2.02098298072815</v>
      </c>
      <c r="H2470" s="5">
        <v>14.3225030899048</v>
      </c>
      <c r="I2470" t="s">
        <v>57</v>
      </c>
    </row>
    <row r="2471" spans="1:9">
      <c r="A2471" s="4" t="s">
        <v>4996</v>
      </c>
      <c r="B2471" s="4" t="s">
        <v>4997</v>
      </c>
      <c r="C2471" s="4" t="s">
        <v>37</v>
      </c>
      <c r="D2471" s="2">
        <f>1970435072/(10^6)</f>
        <v>1970.435072</v>
      </c>
      <c r="E2471" s="5">
        <v>45.3406600952148</v>
      </c>
      <c r="F2471" s="5">
        <v>1.98699581623077</v>
      </c>
      <c r="G2471" s="5">
        <v>0.93343597650528</v>
      </c>
      <c r="H2471" s="5">
        <v>19.0559577941895</v>
      </c>
      <c r="I2471" t="s">
        <v>57</v>
      </c>
    </row>
    <row r="2472" spans="1:9">
      <c r="A2472" s="4" t="s">
        <v>4998</v>
      </c>
      <c r="B2472" s="4" t="s">
        <v>4999</v>
      </c>
      <c r="C2472" s="4" t="s">
        <v>31</v>
      </c>
      <c r="D2472" s="2">
        <f>1966692736/(10^6)</f>
        <v>1966.692736</v>
      </c>
      <c r="E2472" s="5">
        <v>11.9005174636841</v>
      </c>
      <c r="F2472" s="5">
        <v>1.54761147499085</v>
      </c>
      <c r="G2472" s="5">
        <v>1.32889938354492</v>
      </c>
      <c r="H2472" s="5">
        <v>7.78975057601929</v>
      </c>
      <c r="I2472" t="s">
        <v>57</v>
      </c>
    </row>
    <row r="2473" spans="1:9">
      <c r="A2473" s="4" t="s">
        <v>5000</v>
      </c>
      <c r="B2473" s="4" t="s">
        <v>5001</v>
      </c>
      <c r="C2473" s="4" t="s">
        <v>43</v>
      </c>
      <c r="D2473" s="2">
        <f>1964289792/(10^6)</f>
        <v>1964.289792</v>
      </c>
      <c r="E2473" s="5">
        <v>6.90290975570679</v>
      </c>
      <c r="F2473" s="5">
        <v>0.783664107322693</v>
      </c>
      <c r="G2473" s="5">
        <v>2.42837929725647</v>
      </c>
      <c r="H2473" s="5" t="s">
        <v>86</v>
      </c>
      <c r="I2473" t="s">
        <v>57</v>
      </c>
    </row>
    <row r="2474" spans="1:9">
      <c r="A2474" s="4" t="s">
        <v>5002</v>
      </c>
      <c r="B2474" s="4" t="s">
        <v>5003</v>
      </c>
      <c r="C2474" s="4" t="s">
        <v>43</v>
      </c>
      <c r="D2474" s="2">
        <f>1958152320/(10^6)</f>
        <v>1958.15232</v>
      </c>
      <c r="E2474" s="5">
        <v>5.56225490570068</v>
      </c>
      <c r="F2474" s="5">
        <v>0.553371548652649</v>
      </c>
      <c r="G2474" s="5">
        <v>1.08278000354767</v>
      </c>
      <c r="H2474" s="5" t="s">
        <v>86</v>
      </c>
      <c r="I2474" t="s">
        <v>57</v>
      </c>
    </row>
    <row r="2475" spans="1:9">
      <c r="A2475" s="4" t="s">
        <v>5004</v>
      </c>
      <c r="B2475" s="4" t="s">
        <v>5005</v>
      </c>
      <c r="C2475" s="4" t="s">
        <v>33</v>
      </c>
      <c r="D2475" s="2">
        <f>1953511424/(10^6)</f>
        <v>1953.511424</v>
      </c>
      <c r="E2475" s="5">
        <v>15.450927734375</v>
      </c>
      <c r="F2475" s="5">
        <v>0.420653373003006</v>
      </c>
      <c r="G2475" s="5">
        <v>0.376614779233932</v>
      </c>
      <c r="H2475" s="5">
        <v>4.36947298049927</v>
      </c>
      <c r="I2475" t="s">
        <v>57</v>
      </c>
    </row>
    <row r="2476" spans="1:9">
      <c r="A2476" s="4" t="s">
        <v>5006</v>
      </c>
      <c r="B2476" s="4" t="s">
        <v>5007</v>
      </c>
      <c r="C2476" s="4" t="s">
        <v>33</v>
      </c>
      <c r="D2476" s="2">
        <f>1953511424/(10^6)</f>
        <v>1953.511424</v>
      </c>
      <c r="E2476" s="5">
        <v>15.450927734375</v>
      </c>
      <c r="F2476" s="5">
        <v>0.420653373003006</v>
      </c>
      <c r="G2476" s="5">
        <v>0.376614779233932</v>
      </c>
      <c r="H2476" s="5">
        <v>4.36947298049927</v>
      </c>
      <c r="I2476" t="s">
        <v>57</v>
      </c>
    </row>
    <row r="2477" spans="1:9">
      <c r="A2477" s="4" t="s">
        <v>5008</v>
      </c>
      <c r="B2477" s="4" t="s">
        <v>5009</v>
      </c>
      <c r="C2477" s="4" t="s">
        <v>47</v>
      </c>
      <c r="D2477" s="2">
        <f>1949194112/(10^6)</f>
        <v>1949.194112</v>
      </c>
      <c r="E2477" s="5">
        <v>7.11655187606812</v>
      </c>
      <c r="F2477" s="5">
        <v>1.31941401958466</v>
      </c>
      <c r="G2477" s="5">
        <v>0.153140664100647</v>
      </c>
      <c r="H2477" s="5">
        <v>9.10702991485596</v>
      </c>
      <c r="I2477" t="s">
        <v>57</v>
      </c>
    </row>
    <row r="2478" spans="1:9">
      <c r="A2478" s="4" t="s">
        <v>5010</v>
      </c>
      <c r="B2478" s="4" t="s">
        <v>5011</v>
      </c>
      <c r="C2478" s="4" t="s">
        <v>51</v>
      </c>
      <c r="D2478" s="2">
        <f>1941605504/(10^6)</f>
        <v>1941.605504</v>
      </c>
      <c r="E2478" s="5">
        <v>33.3237953186035</v>
      </c>
      <c r="F2478" s="5">
        <v>5.45408201217651</v>
      </c>
      <c r="G2478" s="5">
        <v>3.84047508239746</v>
      </c>
      <c r="H2478" s="5">
        <v>24.0091590881348</v>
      </c>
      <c r="I2478" t="s">
        <v>57</v>
      </c>
    </row>
    <row r="2479" spans="1:9">
      <c r="A2479" s="4" t="s">
        <v>5012</v>
      </c>
      <c r="B2479" s="4" t="s">
        <v>5013</v>
      </c>
      <c r="C2479" s="4" t="s">
        <v>45</v>
      </c>
      <c r="D2479" s="2">
        <f>1933511936/(10^6)</f>
        <v>1933.511936</v>
      </c>
      <c r="E2479" s="5" t="s">
        <v>86</v>
      </c>
      <c r="F2479" s="5">
        <v>1.15270841121674</v>
      </c>
      <c r="G2479" s="5">
        <v>3.33756184577942</v>
      </c>
      <c r="H2479" s="5">
        <v>19.1595878601074</v>
      </c>
      <c r="I2479" t="s">
        <v>57</v>
      </c>
    </row>
    <row r="2480" spans="1:9">
      <c r="A2480" s="4" t="s">
        <v>5014</v>
      </c>
      <c r="B2480" s="4" t="s">
        <v>5015</v>
      </c>
      <c r="C2480" s="4" t="s">
        <v>51</v>
      </c>
      <c r="D2480" s="2">
        <f>1930358912/(10^6)</f>
        <v>1930.358912</v>
      </c>
      <c r="E2480" s="5" t="s">
        <v>86</v>
      </c>
      <c r="F2480" s="5">
        <v>12.1319589614868</v>
      </c>
      <c r="G2480" s="5">
        <v>3.28309059143066</v>
      </c>
      <c r="H2480" s="5">
        <v>28.9317493438721</v>
      </c>
      <c r="I2480" t="s">
        <v>57</v>
      </c>
    </row>
    <row r="2481" spans="1:9">
      <c r="A2481" s="4" t="s">
        <v>5016</v>
      </c>
      <c r="B2481" s="4" t="s">
        <v>5017</v>
      </c>
      <c r="C2481" s="4" t="s">
        <v>43</v>
      </c>
      <c r="D2481" s="2">
        <f>1928806272/(10^6)</f>
        <v>1928.806272</v>
      </c>
      <c r="E2481" s="5">
        <v>5.15037965774536</v>
      </c>
      <c r="F2481" s="5">
        <v>0.633523225784302</v>
      </c>
      <c r="G2481" s="5">
        <v>1.34064173698425</v>
      </c>
      <c r="H2481" s="5" t="s">
        <v>86</v>
      </c>
      <c r="I2481" t="s">
        <v>57</v>
      </c>
    </row>
    <row r="2482" spans="1:9">
      <c r="A2482" s="4" t="s">
        <v>5018</v>
      </c>
      <c r="B2482" s="4" t="s">
        <v>5019</v>
      </c>
      <c r="C2482" s="4" t="s">
        <v>51</v>
      </c>
      <c r="D2482" s="2">
        <f>1927901824/(10^6)</f>
        <v>1927.901824</v>
      </c>
      <c r="E2482" s="5">
        <v>26.7257347106934</v>
      </c>
      <c r="F2482" s="5">
        <v>2.8443398475647</v>
      </c>
      <c r="G2482" s="5">
        <v>2.43587851524353</v>
      </c>
      <c r="H2482" s="5">
        <v>25.1725311279297</v>
      </c>
      <c r="I2482" t="s">
        <v>57</v>
      </c>
    </row>
    <row r="2483" spans="1:9">
      <c r="A2483" s="4" t="s">
        <v>5020</v>
      </c>
      <c r="B2483" s="4" t="s">
        <v>5021</v>
      </c>
      <c r="C2483" s="4" t="s">
        <v>43</v>
      </c>
      <c r="D2483" s="2">
        <f>1926119552/(10^6)</f>
        <v>1926.119552</v>
      </c>
      <c r="E2483" s="5">
        <v>5.22046899795532</v>
      </c>
      <c r="F2483" s="5">
        <v>0.468411207199097</v>
      </c>
      <c r="G2483" s="5">
        <v>1.25270795822144</v>
      </c>
      <c r="H2483" s="5" t="s">
        <v>86</v>
      </c>
      <c r="I2483" t="s">
        <v>57</v>
      </c>
    </row>
    <row r="2484" spans="1:9">
      <c r="A2484" s="4" t="s">
        <v>5022</v>
      </c>
      <c r="B2484" s="4" t="s">
        <v>5023</v>
      </c>
      <c r="C2484" s="4" t="s">
        <v>51</v>
      </c>
      <c r="D2484" s="2">
        <f>1923333888/(10^6)</f>
        <v>1923.333888</v>
      </c>
      <c r="E2484" s="5">
        <v>14.2726211547852</v>
      </c>
      <c r="F2484" s="5">
        <v>1.73833334445953</v>
      </c>
      <c r="G2484" s="5">
        <v>1.52704775333404</v>
      </c>
      <c r="H2484" s="5">
        <v>5.71608543395996</v>
      </c>
      <c r="I2484" t="s">
        <v>57</v>
      </c>
    </row>
    <row r="2485" spans="1:9">
      <c r="A2485" s="4" t="s">
        <v>5024</v>
      </c>
      <c r="B2485" s="4" t="s">
        <v>5025</v>
      </c>
      <c r="C2485" s="4" t="s">
        <v>31</v>
      </c>
      <c r="D2485" s="2">
        <f>1922928256/(10^6)</f>
        <v>1922.928256</v>
      </c>
      <c r="E2485" s="5">
        <v>26.4220733642578</v>
      </c>
      <c r="F2485" s="5">
        <v>2.0998101234436</v>
      </c>
      <c r="G2485" s="5">
        <v>2.39499473571777</v>
      </c>
      <c r="H2485" s="5">
        <v>13.022912979126</v>
      </c>
      <c r="I2485" t="s">
        <v>57</v>
      </c>
    </row>
    <row r="2486" spans="1:9">
      <c r="A2486" s="4" t="s">
        <v>5026</v>
      </c>
      <c r="B2486" s="4" t="s">
        <v>5027</v>
      </c>
      <c r="C2486" s="4" t="s">
        <v>43</v>
      </c>
      <c r="D2486" s="2">
        <f>1916827648/(10^6)</f>
        <v>1916.827648</v>
      </c>
      <c r="E2486" s="5">
        <v>10.2117538452148</v>
      </c>
      <c r="F2486" s="5">
        <v>0.938783228397369</v>
      </c>
      <c r="G2486" s="5">
        <v>2.56996130943298</v>
      </c>
      <c r="H2486" s="5" t="s">
        <v>86</v>
      </c>
      <c r="I2486" t="s">
        <v>57</v>
      </c>
    </row>
    <row r="2487" spans="1:9">
      <c r="A2487" s="4" t="s">
        <v>5028</v>
      </c>
      <c r="B2487" s="4" t="s">
        <v>5029</v>
      </c>
      <c r="C2487" s="4" t="s">
        <v>31</v>
      </c>
      <c r="D2487" s="2">
        <f>1909279744/(10^6)</f>
        <v>1909.279744</v>
      </c>
      <c r="E2487" s="5">
        <v>18.6229305267334</v>
      </c>
      <c r="F2487" s="5">
        <v>0.9404536485672</v>
      </c>
      <c r="G2487" s="5">
        <v>0.663711547851563</v>
      </c>
      <c r="H2487" s="5">
        <v>9.89407444000244</v>
      </c>
      <c r="I2487" t="s">
        <v>57</v>
      </c>
    </row>
    <row r="2488" spans="1:9">
      <c r="A2488" s="4" t="s">
        <v>5030</v>
      </c>
      <c r="B2488" s="4" t="s">
        <v>5031</v>
      </c>
      <c r="C2488" s="4" t="s">
        <v>31</v>
      </c>
      <c r="D2488" s="2">
        <f>1907315840/(10^6)</f>
        <v>1907.31584</v>
      </c>
      <c r="E2488" s="5">
        <v>17.0263938903809</v>
      </c>
      <c r="F2488" s="5">
        <v>2.32823204994202</v>
      </c>
      <c r="G2488" s="5">
        <v>1.0630099773407</v>
      </c>
      <c r="H2488" s="5">
        <v>7.28184795379639</v>
      </c>
      <c r="I2488" t="s">
        <v>57</v>
      </c>
    </row>
    <row r="2489" spans="1:9">
      <c r="A2489" s="4" t="s">
        <v>5032</v>
      </c>
      <c r="B2489" s="4" t="s">
        <v>5033</v>
      </c>
      <c r="C2489" s="4" t="s">
        <v>31</v>
      </c>
      <c r="D2489" s="2">
        <f>1901242752/(10^6)</f>
        <v>1901.242752</v>
      </c>
      <c r="E2489" s="5">
        <v>122.292770385742</v>
      </c>
      <c r="F2489" s="5">
        <v>3.75716400146484</v>
      </c>
      <c r="G2489" s="5">
        <v>1.06670928001404</v>
      </c>
      <c r="H2489" s="5">
        <v>2577.57373046875</v>
      </c>
      <c r="I2489" t="s">
        <v>57</v>
      </c>
    </row>
    <row r="2490" spans="1:9">
      <c r="A2490" s="4" t="s">
        <v>5034</v>
      </c>
      <c r="B2490" s="4" t="s">
        <v>5035</v>
      </c>
      <c r="C2490" s="4" t="s">
        <v>47</v>
      </c>
      <c r="D2490" s="2">
        <f>1898272384/(10^6)</f>
        <v>1898.272384</v>
      </c>
      <c r="E2490" s="5">
        <v>15.7016201019287</v>
      </c>
      <c r="F2490" s="5">
        <v>2.10118460655212</v>
      </c>
      <c r="G2490" s="5">
        <v>1.14514601230621</v>
      </c>
      <c r="H2490" s="5">
        <v>9.62818145751953</v>
      </c>
      <c r="I2490" t="s">
        <v>57</v>
      </c>
    </row>
    <row r="2491" spans="1:9">
      <c r="A2491" s="4" t="s">
        <v>5036</v>
      </c>
      <c r="B2491" s="4" t="s">
        <v>5037</v>
      </c>
      <c r="C2491" s="4" t="s">
        <v>43</v>
      </c>
      <c r="D2491" s="2">
        <f>1892879872/(10^6)</f>
        <v>1892.879872</v>
      </c>
      <c r="E2491" s="5">
        <v>4.68056106567383</v>
      </c>
      <c r="F2491" s="5">
        <v>0.133239343762398</v>
      </c>
      <c r="G2491" s="5">
        <v>0.224015608429909</v>
      </c>
      <c r="H2491" s="5" t="s">
        <v>86</v>
      </c>
      <c r="I2491" t="s">
        <v>57</v>
      </c>
    </row>
    <row r="2492" spans="1:9">
      <c r="A2492" s="4" t="s">
        <v>5038</v>
      </c>
      <c r="B2492" s="4" t="s">
        <v>5039</v>
      </c>
      <c r="C2492" s="4" t="s">
        <v>43</v>
      </c>
      <c r="D2492" s="2">
        <f>1890218752/(10^6)</f>
        <v>1890.218752</v>
      </c>
      <c r="E2492" s="5">
        <v>6.62336730957031</v>
      </c>
      <c r="F2492" s="5">
        <v>2.0950288772583</v>
      </c>
      <c r="G2492" s="5">
        <v>0.915412545204163</v>
      </c>
      <c r="H2492" s="5">
        <v>4.02179288864136</v>
      </c>
      <c r="I2492" t="s">
        <v>57</v>
      </c>
    </row>
    <row r="2493" spans="1:9">
      <c r="A2493" s="4" t="s">
        <v>5040</v>
      </c>
      <c r="B2493" s="4" t="s">
        <v>5041</v>
      </c>
      <c r="C2493" s="4" t="s">
        <v>43</v>
      </c>
      <c r="D2493" s="2">
        <f>1890067840/(10^6)</f>
        <v>1890.06784</v>
      </c>
      <c r="E2493" s="5">
        <v>7.49741458892822</v>
      </c>
      <c r="F2493" s="5">
        <v>0.750479102134705</v>
      </c>
      <c r="G2493" s="5">
        <v>1.73533153533936</v>
      </c>
      <c r="H2493" s="5" t="s">
        <v>86</v>
      </c>
      <c r="I2493" t="s">
        <v>57</v>
      </c>
    </row>
    <row r="2494" spans="1:9">
      <c r="A2494" s="4" t="s">
        <v>5042</v>
      </c>
      <c r="B2494" s="4" t="s">
        <v>5043</v>
      </c>
      <c r="C2494" s="4" t="s">
        <v>47</v>
      </c>
      <c r="D2494" s="2">
        <f>1890045056/(10^6)</f>
        <v>1890.045056</v>
      </c>
      <c r="E2494" s="5">
        <v>5.86220979690552</v>
      </c>
      <c r="F2494" s="5">
        <v>1.0489205121994</v>
      </c>
      <c r="G2494" s="5">
        <v>0.21641306579113</v>
      </c>
      <c r="H2494" s="5">
        <v>3.99667263031006</v>
      </c>
      <c r="I2494" t="s">
        <v>57</v>
      </c>
    </row>
    <row r="2495" spans="1:9">
      <c r="A2495" s="4" t="s">
        <v>5044</v>
      </c>
      <c r="B2495" s="4" t="s">
        <v>5045</v>
      </c>
      <c r="C2495" s="4" t="s">
        <v>43</v>
      </c>
      <c r="D2495" s="2">
        <f>1886181376/(10^6)</f>
        <v>1886.181376</v>
      </c>
      <c r="E2495" s="5">
        <v>4.91002035140991</v>
      </c>
      <c r="F2495" s="5">
        <v>0.914450585842133</v>
      </c>
      <c r="G2495" s="5">
        <v>0.826588928699493</v>
      </c>
      <c r="H2495" s="5">
        <v>9.92510604858398</v>
      </c>
      <c r="I2495" t="s">
        <v>57</v>
      </c>
    </row>
    <row r="2496" spans="1:9">
      <c r="A2496" s="4" t="s">
        <v>5046</v>
      </c>
      <c r="B2496" s="4" t="s">
        <v>5047</v>
      </c>
      <c r="C2496" s="4" t="s">
        <v>35</v>
      </c>
      <c r="D2496" s="2">
        <f>1885236352/(10^6)</f>
        <v>1885.236352</v>
      </c>
      <c r="E2496" s="5">
        <v>29.6029605865479</v>
      </c>
      <c r="F2496" s="5">
        <v>5.42256546020508</v>
      </c>
      <c r="G2496" s="5">
        <v>0.39044451713562</v>
      </c>
      <c r="H2496" s="5">
        <v>7.99698686599731</v>
      </c>
      <c r="I2496" t="s">
        <v>57</v>
      </c>
    </row>
    <row r="2497" spans="1:9">
      <c r="A2497" s="4" t="s">
        <v>5048</v>
      </c>
      <c r="B2497" s="4" t="s">
        <v>5049</v>
      </c>
      <c r="C2497" s="4" t="s">
        <v>41</v>
      </c>
      <c r="D2497" s="2">
        <f>1880087168/(10^6)</f>
        <v>1880.087168</v>
      </c>
      <c r="E2497" s="5">
        <v>15.4822731018066</v>
      </c>
      <c r="F2497" s="5">
        <v>1.62610280513763</v>
      </c>
      <c r="G2497" s="5">
        <v>1.48623120784759</v>
      </c>
      <c r="H2497" s="5">
        <v>10.9279527664185</v>
      </c>
      <c r="I2497" t="s">
        <v>57</v>
      </c>
    </row>
    <row r="2498" spans="1:9">
      <c r="A2498" s="4" t="s">
        <v>5050</v>
      </c>
      <c r="B2498" s="4" t="s">
        <v>5051</v>
      </c>
      <c r="C2498" s="4" t="s">
        <v>43</v>
      </c>
      <c r="D2498" s="2">
        <f>1878242432/(10^6)</f>
        <v>1878.242432</v>
      </c>
      <c r="E2498" s="5">
        <v>6.51539182662964</v>
      </c>
      <c r="F2498" s="5">
        <v>0.406542837619781</v>
      </c>
      <c r="G2498" s="5">
        <v>0.49834531545639</v>
      </c>
      <c r="H2498" s="5" t="s">
        <v>86</v>
      </c>
      <c r="I2498" t="s">
        <v>57</v>
      </c>
    </row>
    <row r="2499" spans="1:9">
      <c r="A2499" s="4" t="s">
        <v>5052</v>
      </c>
      <c r="B2499" s="4" t="s">
        <v>5053</v>
      </c>
      <c r="C2499" s="4" t="s">
        <v>35</v>
      </c>
      <c r="D2499" s="2">
        <f>1873516288/(10^6)</f>
        <v>1873.516288</v>
      </c>
      <c r="E2499" s="5">
        <v>15.6346464157104</v>
      </c>
      <c r="F2499" s="5">
        <v>4.43897008895874</v>
      </c>
      <c r="G2499" s="5">
        <v>1.91670727729797</v>
      </c>
      <c r="H2499" s="5">
        <v>9.15237998962402</v>
      </c>
      <c r="I2499" t="s">
        <v>57</v>
      </c>
    </row>
    <row r="2500" spans="1:9">
      <c r="A2500" s="4" t="s">
        <v>5054</v>
      </c>
      <c r="B2500" s="4" t="s">
        <v>5055</v>
      </c>
      <c r="C2500" s="4" t="s">
        <v>47</v>
      </c>
      <c r="D2500" s="2">
        <f>1863585920/(10^6)</f>
        <v>1863.58592</v>
      </c>
      <c r="E2500" s="5">
        <v>8.16901779174805</v>
      </c>
      <c r="F2500" s="5">
        <v>0.561449766159058</v>
      </c>
      <c r="G2500" s="5">
        <v>0.632262647151947</v>
      </c>
      <c r="H2500" s="5">
        <v>6.16754102706909</v>
      </c>
      <c r="I2500" t="s">
        <v>57</v>
      </c>
    </row>
    <row r="2501" spans="1:9">
      <c r="A2501" s="4" t="s">
        <v>5056</v>
      </c>
      <c r="B2501" s="4" t="s">
        <v>5057</v>
      </c>
      <c r="C2501" s="4" t="s">
        <v>51</v>
      </c>
      <c r="D2501" s="2">
        <f>1863362816/(10^6)</f>
        <v>1863.362816</v>
      </c>
      <c r="E2501" s="5">
        <v>15.5711460113525</v>
      </c>
      <c r="F2501" s="5">
        <v>0.94789719581604</v>
      </c>
      <c r="G2501" s="5">
        <v>0.457320868968964</v>
      </c>
      <c r="H2501" s="5">
        <v>3.1754846572876</v>
      </c>
      <c r="I2501" t="s">
        <v>57</v>
      </c>
    </row>
    <row r="2502" spans="1:9">
      <c r="A2502" s="4" t="s">
        <v>5058</v>
      </c>
      <c r="B2502" s="4" t="s">
        <v>5059</v>
      </c>
      <c r="C2502" s="4" t="s">
        <v>51</v>
      </c>
      <c r="D2502" s="2">
        <f>1860808192/(10^6)</f>
        <v>1860.808192</v>
      </c>
      <c r="E2502" s="5" t="s">
        <v>86</v>
      </c>
      <c r="F2502" s="5">
        <v>6.14077663421631</v>
      </c>
      <c r="G2502" s="5">
        <v>5.84023571014404</v>
      </c>
      <c r="H2502" s="5" t="s">
        <v>86</v>
      </c>
      <c r="I2502" t="s">
        <v>57</v>
      </c>
    </row>
    <row r="2503" spans="1:9">
      <c r="A2503" s="4" t="s">
        <v>5060</v>
      </c>
      <c r="B2503" s="4" t="s">
        <v>5061</v>
      </c>
      <c r="C2503" s="4" t="s">
        <v>43</v>
      </c>
      <c r="D2503" s="2">
        <f>1858165248/(10^6)</f>
        <v>1858.165248</v>
      </c>
      <c r="E2503" s="5">
        <v>8.44223880767822</v>
      </c>
      <c r="F2503" s="5">
        <v>0.792896032333374</v>
      </c>
      <c r="G2503" s="5">
        <v>1.81189870834351</v>
      </c>
      <c r="H2503" s="5" t="s">
        <v>86</v>
      </c>
      <c r="I2503" t="s">
        <v>57</v>
      </c>
    </row>
    <row r="2504" spans="1:9">
      <c r="A2504" s="4" t="s">
        <v>5062</v>
      </c>
      <c r="B2504" s="4" t="s">
        <v>5063</v>
      </c>
      <c r="C2504" s="4" t="s">
        <v>41</v>
      </c>
      <c r="D2504" s="2">
        <f>1846916736/(10^6)</f>
        <v>1846.916736</v>
      </c>
      <c r="E2504" s="5" t="s">
        <v>86</v>
      </c>
      <c r="F2504" s="5">
        <v>4.72399950027466</v>
      </c>
      <c r="G2504" s="5" t="s">
        <v>86</v>
      </c>
      <c r="H2504" s="5" t="s">
        <v>86</v>
      </c>
      <c r="I2504" t="s">
        <v>57</v>
      </c>
    </row>
    <row r="2505" spans="1:9">
      <c r="A2505" s="4" t="s">
        <v>5064</v>
      </c>
      <c r="B2505" s="4" t="s">
        <v>5065</v>
      </c>
      <c r="C2505" s="4" t="s">
        <v>51</v>
      </c>
      <c r="D2505" s="2">
        <f>1845437440/(10^6)</f>
        <v>1845.43744</v>
      </c>
      <c r="E2505" s="5" t="s">
        <v>86</v>
      </c>
      <c r="F2505" s="5">
        <v>2.19852375984192</v>
      </c>
      <c r="G2505" s="5">
        <v>0.219522967934608</v>
      </c>
      <c r="H2505" s="5">
        <v>35.0776634216309</v>
      </c>
      <c r="I2505" t="s">
        <v>57</v>
      </c>
    </row>
    <row r="2506" spans="1:9">
      <c r="A2506" s="4" t="s">
        <v>5066</v>
      </c>
      <c r="B2506" s="4" t="s">
        <v>5067</v>
      </c>
      <c r="C2506" s="4" t="s">
        <v>43</v>
      </c>
      <c r="D2506" s="2">
        <f>1834442368/(10^6)</f>
        <v>1834.442368</v>
      </c>
      <c r="E2506" s="5">
        <v>6.7784013748169</v>
      </c>
      <c r="F2506" s="5">
        <v>1.76193559169769</v>
      </c>
      <c r="G2506" s="5">
        <v>1.32971954345703</v>
      </c>
      <c r="H2506" s="5">
        <v>5.10623025894165</v>
      </c>
      <c r="I2506" t="s">
        <v>57</v>
      </c>
    </row>
    <row r="2507" spans="1:9">
      <c r="A2507" s="4" t="s">
        <v>5068</v>
      </c>
      <c r="B2507" s="4" t="s">
        <v>5069</v>
      </c>
      <c r="C2507" s="4" t="s">
        <v>27</v>
      </c>
      <c r="D2507" s="2">
        <f>1833756544/(10^6)</f>
        <v>1833.756544</v>
      </c>
      <c r="E2507" s="5">
        <v>8.63517951965332</v>
      </c>
      <c r="F2507" s="5">
        <v>0.561494529247284</v>
      </c>
      <c r="G2507" s="5">
        <v>0.285194396972656</v>
      </c>
      <c r="H2507" s="5">
        <v>35.9495658874512</v>
      </c>
      <c r="I2507" t="s">
        <v>57</v>
      </c>
    </row>
    <row r="2508" spans="1:9">
      <c r="A2508" s="4" t="s">
        <v>5070</v>
      </c>
      <c r="B2508" s="4" t="s">
        <v>5071</v>
      </c>
      <c r="C2508" s="4" t="s">
        <v>27</v>
      </c>
      <c r="D2508" s="2">
        <f>1833499520/(10^6)</f>
        <v>1833.49952</v>
      </c>
      <c r="E2508" s="5">
        <v>10.5451946258545</v>
      </c>
      <c r="F2508" s="5">
        <v>0.461193591356277</v>
      </c>
      <c r="G2508" s="5">
        <v>0.687387764453888</v>
      </c>
      <c r="H2508" s="5">
        <v>3.52904391288757</v>
      </c>
      <c r="I2508" t="s">
        <v>57</v>
      </c>
    </row>
    <row r="2509" spans="1:9">
      <c r="A2509" s="4" t="s">
        <v>5072</v>
      </c>
      <c r="B2509" s="4" t="s">
        <v>5073</v>
      </c>
      <c r="C2509" s="4" t="s">
        <v>43</v>
      </c>
      <c r="D2509" s="2">
        <f>1830352896/(10^6)</f>
        <v>1830.352896</v>
      </c>
      <c r="E2509" s="5">
        <v>9.48720550537109</v>
      </c>
      <c r="F2509" s="5">
        <v>0.847138047218323</v>
      </c>
      <c r="G2509" s="5">
        <v>2.91262269020081</v>
      </c>
      <c r="H2509" s="5" t="s">
        <v>86</v>
      </c>
      <c r="I2509" t="s">
        <v>57</v>
      </c>
    </row>
    <row r="2510" spans="1:9">
      <c r="A2510" s="4" t="s">
        <v>5074</v>
      </c>
      <c r="B2510" s="4" t="s">
        <v>5075</v>
      </c>
      <c r="C2510" s="4" t="s">
        <v>41</v>
      </c>
      <c r="D2510" s="2">
        <f>1829676544/(10^6)</f>
        <v>1829.676544</v>
      </c>
      <c r="E2510" s="5">
        <v>12.7223224639893</v>
      </c>
      <c r="F2510" s="5">
        <v>1.58171653747559</v>
      </c>
      <c r="G2510" s="5">
        <v>1.95206999778748</v>
      </c>
      <c r="H2510" s="5">
        <v>37.5150680541992</v>
      </c>
      <c r="I2510" t="s">
        <v>57</v>
      </c>
    </row>
    <row r="2511" spans="1:9">
      <c r="A2511" s="4" t="s">
        <v>5076</v>
      </c>
      <c r="B2511" s="4" t="s">
        <v>5077</v>
      </c>
      <c r="C2511" s="4" t="s">
        <v>39</v>
      </c>
      <c r="D2511" s="2">
        <f>1822207360/(10^6)</f>
        <v>1822.20736</v>
      </c>
      <c r="E2511" s="5">
        <v>24.4748725891113</v>
      </c>
      <c r="F2511" s="5">
        <v>2.10770773887634</v>
      </c>
      <c r="G2511" s="5">
        <v>2.38181376457214</v>
      </c>
      <c r="H2511" s="5">
        <v>11.9038105010986</v>
      </c>
      <c r="I2511" t="s">
        <v>57</v>
      </c>
    </row>
    <row r="2512" spans="1:9">
      <c r="A2512" s="4" t="s">
        <v>5078</v>
      </c>
      <c r="B2512" s="4" t="s">
        <v>5079</v>
      </c>
      <c r="C2512" s="4" t="s">
        <v>47</v>
      </c>
      <c r="D2512" s="2">
        <f>1816440192/(10^6)</f>
        <v>1816.440192</v>
      </c>
      <c r="E2512" s="5">
        <v>34.1541976928711</v>
      </c>
      <c r="F2512" s="5">
        <v>14.8861074447632</v>
      </c>
      <c r="G2512" s="5">
        <v>1.952521443367</v>
      </c>
      <c r="H2512" s="5">
        <v>17.6112041473389</v>
      </c>
      <c r="I2512" t="s">
        <v>57</v>
      </c>
    </row>
    <row r="2513" spans="1:9">
      <c r="A2513" s="4" t="s">
        <v>5080</v>
      </c>
      <c r="B2513" s="4" t="s">
        <v>5081</v>
      </c>
      <c r="C2513" s="4" t="s">
        <v>41</v>
      </c>
      <c r="D2513" s="2">
        <f>1815780608/(10^6)</f>
        <v>1815.780608</v>
      </c>
      <c r="E2513" s="5" t="s">
        <v>86</v>
      </c>
      <c r="F2513" s="5">
        <v>5.08447504043579</v>
      </c>
      <c r="G2513" s="5">
        <v>8.76663494110107</v>
      </c>
      <c r="H2513" s="5" t="s">
        <v>86</v>
      </c>
      <c r="I2513" t="s">
        <v>57</v>
      </c>
    </row>
    <row r="2514" spans="1:9">
      <c r="A2514" s="4" t="s">
        <v>5082</v>
      </c>
      <c r="B2514" s="4" t="s">
        <v>5083</v>
      </c>
      <c r="C2514" s="4" t="s">
        <v>41</v>
      </c>
      <c r="D2514" s="2">
        <f>1815773824/(10^6)</f>
        <v>1815.773824</v>
      </c>
      <c r="E2514" s="5">
        <v>16.0959911346436</v>
      </c>
      <c r="F2514" s="5">
        <v>2.77329134941101</v>
      </c>
      <c r="G2514" s="5">
        <v>0.793472468852997</v>
      </c>
      <c r="H2514" s="5">
        <v>9.35282611846924</v>
      </c>
      <c r="I2514" t="s">
        <v>57</v>
      </c>
    </row>
    <row r="2515" spans="1:9">
      <c r="A2515" s="4" t="s">
        <v>5084</v>
      </c>
      <c r="B2515" s="4" t="s">
        <v>5085</v>
      </c>
      <c r="C2515" s="4" t="s">
        <v>43</v>
      </c>
      <c r="D2515" s="2">
        <f>1813467264/(10^6)</f>
        <v>1813.467264</v>
      </c>
      <c r="E2515" s="5">
        <v>6.06689596176147</v>
      </c>
      <c r="F2515" s="5">
        <v>0.617533624172211</v>
      </c>
      <c r="G2515" s="5">
        <v>1.29245531558991</v>
      </c>
      <c r="H2515" s="5" t="s">
        <v>86</v>
      </c>
      <c r="I2515" t="s">
        <v>57</v>
      </c>
    </row>
    <row r="2516" spans="1:9">
      <c r="A2516" s="4" t="s">
        <v>5086</v>
      </c>
      <c r="B2516" s="4" t="s">
        <v>5087</v>
      </c>
      <c r="C2516" s="4" t="s">
        <v>37</v>
      </c>
      <c r="D2516" s="2">
        <f>1810651392/(10^6)</f>
        <v>1810.651392</v>
      </c>
      <c r="E2516" s="5">
        <v>19.4296360015869</v>
      </c>
      <c r="F2516" s="5">
        <v>0.748871147632599</v>
      </c>
      <c r="G2516" s="5">
        <v>0.305334806442261</v>
      </c>
      <c r="H2516" s="5">
        <v>5.92798328399658</v>
      </c>
      <c r="I2516" t="s">
        <v>57</v>
      </c>
    </row>
    <row r="2517" spans="1:9">
      <c r="A2517" s="4" t="s">
        <v>5088</v>
      </c>
      <c r="B2517" s="4" t="s">
        <v>5089</v>
      </c>
      <c r="C2517" s="4" t="s">
        <v>41</v>
      </c>
      <c r="D2517" s="2">
        <f>1805372544/(10^6)</f>
        <v>1805.372544</v>
      </c>
      <c r="E2517" s="5" t="s">
        <v>86</v>
      </c>
      <c r="F2517" s="5">
        <v>15.6778612136841</v>
      </c>
      <c r="G2517" s="5" t="s">
        <v>86</v>
      </c>
      <c r="H2517" s="5" t="s">
        <v>86</v>
      </c>
      <c r="I2517" t="s">
        <v>57</v>
      </c>
    </row>
    <row r="2518" spans="1:9">
      <c r="A2518" s="4" t="s">
        <v>5090</v>
      </c>
      <c r="B2518" s="4" t="s">
        <v>5091</v>
      </c>
      <c r="C2518" s="4" t="s">
        <v>31</v>
      </c>
      <c r="D2518" s="2">
        <f>1800785536/(10^6)</f>
        <v>1800.785536</v>
      </c>
      <c r="E2518" s="5">
        <v>5.47046136856079</v>
      </c>
      <c r="F2518" s="5" t="s">
        <v>86</v>
      </c>
      <c r="G2518" s="5">
        <v>0.168771803379059</v>
      </c>
      <c r="H2518" s="5">
        <v>4.73929882049561</v>
      </c>
      <c r="I2518" t="s">
        <v>57</v>
      </c>
    </row>
    <row r="2519" spans="1:9">
      <c r="A2519" s="4" t="s">
        <v>5092</v>
      </c>
      <c r="B2519" s="4" t="s">
        <v>5093</v>
      </c>
      <c r="C2519" s="4" t="s">
        <v>51</v>
      </c>
      <c r="D2519" s="2">
        <f>1799206144/(10^6)</f>
        <v>1799.206144</v>
      </c>
      <c r="E2519" s="5" t="s">
        <v>86</v>
      </c>
      <c r="F2519" s="5">
        <v>9.74781799316406</v>
      </c>
      <c r="G2519" s="5">
        <v>3.73531675338745</v>
      </c>
      <c r="H2519" s="5" t="s">
        <v>86</v>
      </c>
      <c r="I2519" t="s">
        <v>57</v>
      </c>
    </row>
    <row r="2520" spans="1:9">
      <c r="A2520" s="4" t="s">
        <v>5094</v>
      </c>
      <c r="B2520" s="4" t="s">
        <v>5095</v>
      </c>
      <c r="C2520" s="4" t="s">
        <v>41</v>
      </c>
      <c r="D2520" s="2">
        <f>1797633024/(10^6)</f>
        <v>1797.633024</v>
      </c>
      <c r="E2520" s="5" t="s">
        <v>86</v>
      </c>
      <c r="F2520" s="5" t="s">
        <v>86</v>
      </c>
      <c r="G2520" s="5">
        <v>63.4113998413086</v>
      </c>
      <c r="H2520" s="5" t="s">
        <v>86</v>
      </c>
      <c r="I2520" t="s">
        <v>57</v>
      </c>
    </row>
    <row r="2521" spans="1:9">
      <c r="A2521" s="4" t="s">
        <v>5096</v>
      </c>
      <c r="B2521" s="4" t="s">
        <v>5097</v>
      </c>
      <c r="C2521" s="4" t="s">
        <v>51</v>
      </c>
      <c r="D2521" s="2">
        <f>1796092928/(10^6)</f>
        <v>1796.092928</v>
      </c>
      <c r="E2521" s="5" t="s">
        <v>86</v>
      </c>
      <c r="F2521" s="5">
        <v>8.04935264587402</v>
      </c>
      <c r="G2521" s="5">
        <v>4.09519290924072</v>
      </c>
      <c r="H2521" s="5" t="s">
        <v>86</v>
      </c>
      <c r="I2521" t="s">
        <v>57</v>
      </c>
    </row>
    <row r="2522" spans="1:9">
      <c r="A2522" s="4" t="s">
        <v>5098</v>
      </c>
      <c r="B2522" s="4" t="s">
        <v>5099</v>
      </c>
      <c r="C2522" s="4" t="s">
        <v>43</v>
      </c>
      <c r="D2522" s="2">
        <f>1796076800/(10^6)</f>
        <v>1796.0768</v>
      </c>
      <c r="E2522" s="5">
        <v>6.47988510131836</v>
      </c>
      <c r="F2522" s="5">
        <v>0.783642768859863</v>
      </c>
      <c r="G2522" s="5">
        <v>2.21615982055664</v>
      </c>
      <c r="H2522" s="5" t="s">
        <v>86</v>
      </c>
      <c r="I2522" t="s">
        <v>57</v>
      </c>
    </row>
    <row r="2523" spans="1:9">
      <c r="A2523" s="4" t="s">
        <v>5100</v>
      </c>
      <c r="B2523" s="4" t="s">
        <v>5101</v>
      </c>
      <c r="C2523" s="4" t="s">
        <v>41</v>
      </c>
      <c r="D2523" s="2">
        <f>1791715200/(10^6)</f>
        <v>1791.7152</v>
      </c>
      <c r="E2523" s="5" t="s">
        <v>86</v>
      </c>
      <c r="F2523" s="5">
        <v>5.25034523010254</v>
      </c>
      <c r="G2523" s="5">
        <v>66.1955795288086</v>
      </c>
      <c r="H2523" s="5" t="s">
        <v>86</v>
      </c>
      <c r="I2523" t="s">
        <v>57</v>
      </c>
    </row>
    <row r="2524" spans="1:9">
      <c r="A2524" s="4" t="s">
        <v>5102</v>
      </c>
      <c r="B2524" s="4" t="s">
        <v>5103</v>
      </c>
      <c r="C2524" s="4" t="s">
        <v>51</v>
      </c>
      <c r="D2524" s="2">
        <f>1788720768/(10^6)</f>
        <v>1788.720768</v>
      </c>
      <c r="E2524" s="5">
        <v>8.77570533752441</v>
      </c>
      <c r="F2524" s="5">
        <v>1.06227648258209</v>
      </c>
      <c r="G2524" s="5">
        <v>0.223360612988472</v>
      </c>
      <c r="H2524" s="5">
        <v>4.65515756607056</v>
      </c>
      <c r="I2524" t="s">
        <v>57</v>
      </c>
    </row>
    <row r="2525" spans="1:9">
      <c r="A2525" s="4" t="s">
        <v>5104</v>
      </c>
      <c r="B2525" s="4" t="s">
        <v>5105</v>
      </c>
      <c r="C2525" s="4" t="s">
        <v>43</v>
      </c>
      <c r="D2525" s="2">
        <f>1787823616/(10^6)</f>
        <v>1787.823616</v>
      </c>
      <c r="E2525" s="5">
        <v>8.87760543823242</v>
      </c>
      <c r="F2525" s="5">
        <v>0.887714266777039</v>
      </c>
      <c r="G2525" s="5">
        <v>2.47721791267395</v>
      </c>
      <c r="H2525" s="5" t="s">
        <v>86</v>
      </c>
      <c r="I2525" t="s">
        <v>57</v>
      </c>
    </row>
    <row r="2526" spans="1:9">
      <c r="A2526" s="4" t="s">
        <v>5106</v>
      </c>
      <c r="B2526" s="4" t="s">
        <v>5107</v>
      </c>
      <c r="C2526" s="4" t="s">
        <v>51</v>
      </c>
      <c r="D2526" s="2">
        <f>1787231616/(10^6)</f>
        <v>1787.231616</v>
      </c>
      <c r="E2526" s="5" t="s">
        <v>86</v>
      </c>
      <c r="F2526" s="5">
        <v>5.06121873855591</v>
      </c>
      <c r="G2526" s="5">
        <v>3.89005303382873</v>
      </c>
      <c r="H2526" s="5">
        <v>41.1962432861328</v>
      </c>
      <c r="I2526" t="s">
        <v>57</v>
      </c>
    </row>
    <row r="2527" spans="1:9">
      <c r="A2527" s="4" t="s">
        <v>5108</v>
      </c>
      <c r="B2527" s="4" t="s">
        <v>5109</v>
      </c>
      <c r="C2527" s="4" t="s">
        <v>51</v>
      </c>
      <c r="D2527" s="2">
        <f>1786620288/(10^6)</f>
        <v>1786.620288</v>
      </c>
      <c r="E2527" s="5">
        <v>29.4218349456787</v>
      </c>
      <c r="F2527" s="5">
        <v>2.65266871452331</v>
      </c>
      <c r="G2527" s="5">
        <v>1.80138206481934</v>
      </c>
      <c r="H2527" s="5">
        <v>11.549108505249</v>
      </c>
      <c r="I2527" t="s">
        <v>57</v>
      </c>
    </row>
    <row r="2528" spans="1:9">
      <c r="A2528" s="4" t="s">
        <v>5110</v>
      </c>
      <c r="B2528" s="4" t="s">
        <v>5111</v>
      </c>
      <c r="C2528" s="4" t="s">
        <v>51</v>
      </c>
      <c r="D2528" s="2">
        <f>1785286016/(10^6)</f>
        <v>1785.286016</v>
      </c>
      <c r="E2528" s="5">
        <v>136.972106933594</v>
      </c>
      <c r="F2528" s="5">
        <v>4.26522874832153</v>
      </c>
      <c r="G2528" s="5">
        <v>2.54484510421753</v>
      </c>
      <c r="H2528" s="5">
        <v>233.427749633789</v>
      </c>
      <c r="I2528" t="s">
        <v>57</v>
      </c>
    </row>
    <row r="2529" spans="1:9">
      <c r="A2529" s="4" t="s">
        <v>5112</v>
      </c>
      <c r="B2529" s="4" t="s">
        <v>5113</v>
      </c>
      <c r="C2529" s="4" t="s">
        <v>31</v>
      </c>
      <c r="D2529" s="2">
        <f>1784509952/(10^6)</f>
        <v>1784.509952</v>
      </c>
      <c r="E2529" s="5">
        <v>9.06869792938232</v>
      </c>
      <c r="F2529" s="5">
        <v>1.29424715042114</v>
      </c>
      <c r="G2529" s="5">
        <v>0.452658325433731</v>
      </c>
      <c r="H2529" s="5">
        <v>6.6898341178894</v>
      </c>
      <c r="I2529" t="s">
        <v>57</v>
      </c>
    </row>
    <row r="2530" spans="1:9">
      <c r="A2530" s="4" t="s">
        <v>5114</v>
      </c>
      <c r="B2530" s="4" t="s">
        <v>5115</v>
      </c>
      <c r="C2530" s="4" t="s">
        <v>31</v>
      </c>
      <c r="D2530" s="2">
        <f>1783863040/(10^6)</f>
        <v>1783.86304</v>
      </c>
      <c r="E2530" s="5">
        <v>9.30017566680908</v>
      </c>
      <c r="F2530" s="5">
        <v>1.46431303024292</v>
      </c>
      <c r="G2530" s="5">
        <v>0.616215646266937</v>
      </c>
      <c r="H2530" s="5">
        <v>6.94801616668701</v>
      </c>
      <c r="I2530" t="s">
        <v>57</v>
      </c>
    </row>
    <row r="2531" spans="1:9">
      <c r="A2531" s="4" t="s">
        <v>5116</v>
      </c>
      <c r="B2531" s="4" t="s">
        <v>5117</v>
      </c>
      <c r="C2531" s="4" t="s">
        <v>31</v>
      </c>
      <c r="D2531" s="2">
        <f>1783863040/(10^6)</f>
        <v>1783.86304</v>
      </c>
      <c r="E2531" s="5">
        <v>9.30017566680908</v>
      </c>
      <c r="F2531" s="5">
        <v>1.46431303024292</v>
      </c>
      <c r="G2531" s="5">
        <v>0.616215646266937</v>
      </c>
      <c r="H2531" s="5">
        <v>6.94801616668701</v>
      </c>
      <c r="I2531" t="s">
        <v>57</v>
      </c>
    </row>
    <row r="2532" spans="1:9">
      <c r="A2532" s="4" t="s">
        <v>5118</v>
      </c>
      <c r="B2532" s="4" t="s">
        <v>5119</v>
      </c>
      <c r="C2532" s="4" t="s">
        <v>41</v>
      </c>
      <c r="D2532" s="2">
        <f>1779166848/(10^6)</f>
        <v>1779.166848</v>
      </c>
      <c r="E2532" s="5">
        <v>6.25428676605225</v>
      </c>
      <c r="F2532" s="5" t="s">
        <v>86</v>
      </c>
      <c r="G2532" s="5">
        <v>0.097155094146729</v>
      </c>
      <c r="H2532" s="5">
        <v>8.20722007751465</v>
      </c>
      <c r="I2532" t="s">
        <v>57</v>
      </c>
    </row>
    <row r="2533" spans="1:9">
      <c r="A2533" s="4" t="s">
        <v>5120</v>
      </c>
      <c r="B2533" s="4" t="s">
        <v>5121</v>
      </c>
      <c r="C2533" s="4" t="s">
        <v>37</v>
      </c>
      <c r="D2533" s="2">
        <f>1774763392/(10^6)</f>
        <v>1774.763392</v>
      </c>
      <c r="E2533" s="5">
        <v>14.2781648635864</v>
      </c>
      <c r="F2533" s="5">
        <v>2.01054549217224</v>
      </c>
      <c r="G2533" s="5">
        <v>1.33950734138489</v>
      </c>
      <c r="H2533" s="5">
        <v>12.9539413452148</v>
      </c>
      <c r="I2533" t="s">
        <v>57</v>
      </c>
    </row>
    <row r="2534" spans="1:9">
      <c r="A2534" s="4" t="s">
        <v>5122</v>
      </c>
      <c r="B2534" s="4" t="s">
        <v>5123</v>
      </c>
      <c r="C2534" s="4" t="s">
        <v>31</v>
      </c>
      <c r="D2534" s="2">
        <f>1772906624/(10^6)</f>
        <v>1772.906624</v>
      </c>
      <c r="E2534" s="5">
        <v>9.2378101348877</v>
      </c>
      <c r="F2534" s="5">
        <v>1.02224719524384</v>
      </c>
      <c r="G2534" s="5">
        <v>0.185381591320038</v>
      </c>
      <c r="H2534" s="5">
        <v>9.26825428009033</v>
      </c>
      <c r="I2534" t="s">
        <v>57</v>
      </c>
    </row>
    <row r="2535" spans="1:9">
      <c r="A2535" s="4" t="s">
        <v>5124</v>
      </c>
      <c r="B2535" s="4" t="s">
        <v>5125</v>
      </c>
      <c r="C2535" s="4" t="s">
        <v>37</v>
      </c>
      <c r="D2535" s="2">
        <f>1770311296/(10^6)</f>
        <v>1770.311296</v>
      </c>
      <c r="E2535" s="5">
        <v>17.1513938903809</v>
      </c>
      <c r="F2535" s="5">
        <v>1.98304235935211</v>
      </c>
      <c r="G2535" s="5">
        <v>0.974303364753723</v>
      </c>
      <c r="H2535" s="5">
        <v>7.91327142715454</v>
      </c>
      <c r="I2535" t="s">
        <v>57</v>
      </c>
    </row>
    <row r="2536" spans="1:9">
      <c r="A2536" s="4" t="s">
        <v>5126</v>
      </c>
      <c r="B2536" s="4" t="s">
        <v>5127</v>
      </c>
      <c r="C2536" s="4" t="s">
        <v>43</v>
      </c>
      <c r="D2536" s="2">
        <f>1763289472/(10^6)</f>
        <v>1763.289472</v>
      </c>
      <c r="E2536" s="5">
        <v>5.36637306213379</v>
      </c>
      <c r="F2536" s="5">
        <v>0.501969814300537</v>
      </c>
      <c r="G2536" s="5">
        <v>1.19382417201996</v>
      </c>
      <c r="H2536" s="5" t="s">
        <v>86</v>
      </c>
      <c r="I2536" t="s">
        <v>57</v>
      </c>
    </row>
    <row r="2537" spans="1:9">
      <c r="A2537" s="4" t="s">
        <v>5128</v>
      </c>
      <c r="B2537" s="4" t="s">
        <v>5129</v>
      </c>
      <c r="C2537" s="4" t="s">
        <v>27</v>
      </c>
      <c r="D2537" s="2">
        <f>1762632576/(10^6)</f>
        <v>1762.632576</v>
      </c>
      <c r="E2537" s="5">
        <v>8.32258796691895</v>
      </c>
      <c r="F2537" s="5">
        <v>0.179595470428467</v>
      </c>
      <c r="G2537" s="5">
        <v>0.433024704456329</v>
      </c>
      <c r="H2537" s="5">
        <v>15.4302568435669</v>
      </c>
      <c r="I2537" t="s">
        <v>57</v>
      </c>
    </row>
    <row r="2538" spans="1:9">
      <c r="A2538" s="4" t="s">
        <v>5130</v>
      </c>
      <c r="B2538" s="4" t="s">
        <v>5131</v>
      </c>
      <c r="C2538" s="4" t="s">
        <v>31</v>
      </c>
      <c r="D2538" s="2">
        <f>1756396544/(10^6)</f>
        <v>1756.396544</v>
      </c>
      <c r="E2538" s="5">
        <v>16.2074203491211</v>
      </c>
      <c r="F2538" s="5">
        <v>0.981431066989899</v>
      </c>
      <c r="G2538" s="5">
        <v>1.0027586221695</v>
      </c>
      <c r="H2538" s="5">
        <v>6.65166664123535</v>
      </c>
      <c r="I2538" t="s">
        <v>57</v>
      </c>
    </row>
    <row r="2539" spans="1:9">
      <c r="A2539" s="4" t="s">
        <v>5132</v>
      </c>
      <c r="B2539" s="4" t="s">
        <v>5133</v>
      </c>
      <c r="C2539" s="4" t="s">
        <v>27</v>
      </c>
      <c r="D2539" s="2">
        <f>1755523712/(10^6)</f>
        <v>1755.523712</v>
      </c>
      <c r="E2539" s="5">
        <v>12.5966730117798</v>
      </c>
      <c r="F2539" s="5">
        <v>0.284328669309616</v>
      </c>
      <c r="G2539" s="5">
        <v>0.536504745483398</v>
      </c>
      <c r="H2539" s="5">
        <v>3.50708174705505</v>
      </c>
      <c r="I2539" t="s">
        <v>57</v>
      </c>
    </row>
    <row r="2540" spans="1:9">
      <c r="A2540" s="4" t="s">
        <v>5134</v>
      </c>
      <c r="B2540" s="4" t="s">
        <v>5135</v>
      </c>
      <c r="C2540" s="4" t="s">
        <v>47</v>
      </c>
      <c r="D2540" s="2">
        <f>1751927424/(10^6)</f>
        <v>1751.927424</v>
      </c>
      <c r="E2540" s="5">
        <v>7.76925420761108</v>
      </c>
      <c r="F2540" s="5">
        <v>2.78114628791809</v>
      </c>
      <c r="G2540" s="5">
        <v>0.5629021525383</v>
      </c>
      <c r="H2540" s="5">
        <v>5.99370050430298</v>
      </c>
      <c r="I2540" t="s">
        <v>57</v>
      </c>
    </row>
    <row r="2541" spans="1:9">
      <c r="A2541" s="4" t="s">
        <v>5136</v>
      </c>
      <c r="B2541" s="4" t="s">
        <v>5137</v>
      </c>
      <c r="C2541" s="4" t="s">
        <v>51</v>
      </c>
      <c r="D2541" s="2">
        <f>1746338944/(10^6)</f>
        <v>1746.338944</v>
      </c>
      <c r="E2541" s="5" t="s">
        <v>86</v>
      </c>
      <c r="F2541" s="5">
        <v>6.70140600204468</v>
      </c>
      <c r="G2541" s="5">
        <v>3.28947997093201</v>
      </c>
      <c r="H2541" s="5" t="s">
        <v>86</v>
      </c>
      <c r="I2541" t="s">
        <v>57</v>
      </c>
    </row>
    <row r="2542" spans="1:9">
      <c r="A2542" s="4" t="s">
        <v>5138</v>
      </c>
      <c r="B2542" s="4" t="s">
        <v>5139</v>
      </c>
      <c r="C2542" s="4" t="s">
        <v>39</v>
      </c>
      <c r="D2542" s="2">
        <f>1743518080/(10^6)</f>
        <v>1743.51808</v>
      </c>
      <c r="E2542" s="5">
        <v>19.8715591430664</v>
      </c>
      <c r="F2542" s="5">
        <v>2.22606134414673</v>
      </c>
      <c r="G2542" s="5">
        <v>1.87123286724091</v>
      </c>
      <c r="H2542" s="5">
        <v>11.1772718429565</v>
      </c>
      <c r="I2542" t="s">
        <v>57</v>
      </c>
    </row>
    <row r="2543" spans="1:9">
      <c r="A2543" s="4" t="s">
        <v>5140</v>
      </c>
      <c r="B2543" s="4" t="s">
        <v>5141</v>
      </c>
      <c r="C2543" s="4" t="s">
        <v>43</v>
      </c>
      <c r="D2543" s="2">
        <f>1743003520/(10^6)</f>
        <v>1743.00352</v>
      </c>
      <c r="E2543" s="5">
        <v>3.64463543891907</v>
      </c>
      <c r="F2543" s="5">
        <v>0.289736926555634</v>
      </c>
      <c r="G2543" s="5">
        <v>0.527300953865051</v>
      </c>
      <c r="H2543" s="5">
        <v>2.73226237297058</v>
      </c>
      <c r="I2543" t="s">
        <v>57</v>
      </c>
    </row>
    <row r="2544" spans="1:9">
      <c r="A2544" s="4" t="s">
        <v>5142</v>
      </c>
      <c r="B2544" s="4" t="s">
        <v>5143</v>
      </c>
      <c r="C2544" s="4" t="s">
        <v>51</v>
      </c>
      <c r="D2544" s="2">
        <f>1736979072/(10^6)</f>
        <v>1736.979072</v>
      </c>
      <c r="E2544" s="5">
        <v>2.53743386268616</v>
      </c>
      <c r="F2544" s="5">
        <v>1.09297502040863</v>
      </c>
      <c r="G2544" s="5">
        <v>0.325804620981216</v>
      </c>
      <c r="H2544" s="5">
        <v>12.7948923110962</v>
      </c>
      <c r="I2544" t="s">
        <v>57</v>
      </c>
    </row>
    <row r="2545" spans="1:9">
      <c r="A2545" s="4" t="s">
        <v>5144</v>
      </c>
      <c r="B2545" s="4" t="s">
        <v>5145</v>
      </c>
      <c r="C2545" s="4" t="s">
        <v>27</v>
      </c>
      <c r="D2545" s="2">
        <f>1734920064/(10^6)</f>
        <v>1734.920064</v>
      </c>
      <c r="E2545" s="5" t="s">
        <v>86</v>
      </c>
      <c r="F2545" s="5">
        <v>20.4577541351318</v>
      </c>
      <c r="G2545" s="5">
        <v>1.15054714679718</v>
      </c>
      <c r="H2545" s="5" t="s">
        <v>86</v>
      </c>
      <c r="I2545" t="s">
        <v>57</v>
      </c>
    </row>
    <row r="2546" spans="1:9">
      <c r="A2546" s="4" t="s">
        <v>5146</v>
      </c>
      <c r="B2546" s="4" t="s">
        <v>5147</v>
      </c>
      <c r="C2546" s="4" t="s">
        <v>33</v>
      </c>
      <c r="D2546" s="2">
        <f>1724722816/(10^6)</f>
        <v>1724.722816</v>
      </c>
      <c r="E2546" s="5" t="s">
        <v>86</v>
      </c>
      <c r="F2546" s="5">
        <v>3.0406346321106</v>
      </c>
      <c r="G2546" s="5">
        <v>1.44489526748657</v>
      </c>
      <c r="H2546" s="5">
        <v>21.6519680023193</v>
      </c>
      <c r="I2546" t="s">
        <v>57</v>
      </c>
    </row>
    <row r="2547" spans="1:9">
      <c r="A2547" s="4" t="s">
        <v>5148</v>
      </c>
      <c r="B2547" s="4" t="s">
        <v>5149</v>
      </c>
      <c r="C2547" s="4" t="s">
        <v>43</v>
      </c>
      <c r="D2547" s="2">
        <f>1720850560/(10^6)</f>
        <v>1720.85056</v>
      </c>
      <c r="E2547" s="5">
        <v>11.6760778427124</v>
      </c>
      <c r="F2547" s="5">
        <v>0.411829352378845</v>
      </c>
      <c r="G2547" s="5">
        <v>0.854403376579285</v>
      </c>
      <c r="H2547" s="5" t="s">
        <v>86</v>
      </c>
      <c r="I2547" t="s">
        <v>57</v>
      </c>
    </row>
    <row r="2548" spans="1:9">
      <c r="A2548" s="4" t="s">
        <v>5150</v>
      </c>
      <c r="B2548" s="4" t="s">
        <v>5151</v>
      </c>
      <c r="C2548" s="4" t="s">
        <v>43</v>
      </c>
      <c r="D2548" s="2">
        <f>1716915584/(10^6)</f>
        <v>1716.915584</v>
      </c>
      <c r="E2548" s="5">
        <v>9.04905796051025</v>
      </c>
      <c r="F2548" s="5">
        <v>12.2685394287109</v>
      </c>
      <c r="G2548" s="5">
        <v>1.53168368339539</v>
      </c>
      <c r="H2548" s="5">
        <v>7.02372455596924</v>
      </c>
      <c r="I2548" t="s">
        <v>57</v>
      </c>
    </row>
    <row r="2549" spans="1:9">
      <c r="A2549" s="4" t="s">
        <v>5152</v>
      </c>
      <c r="B2549" s="4" t="s">
        <v>5153</v>
      </c>
      <c r="C2549" s="4" t="s">
        <v>51</v>
      </c>
      <c r="D2549" s="2">
        <f>1713677696/(10^6)</f>
        <v>1713.677696</v>
      </c>
      <c r="E2549" s="5" t="s">
        <v>86</v>
      </c>
      <c r="F2549" s="5">
        <v>3.51175141334534</v>
      </c>
      <c r="G2549" s="5">
        <v>1.16211259365082</v>
      </c>
      <c r="H2549" s="5" t="s">
        <v>86</v>
      </c>
      <c r="I2549" t="s">
        <v>57</v>
      </c>
    </row>
    <row r="2550" spans="1:9">
      <c r="A2550" s="4" t="s">
        <v>5154</v>
      </c>
      <c r="B2550" s="4" t="s">
        <v>5155</v>
      </c>
      <c r="C2550" s="4" t="s">
        <v>47</v>
      </c>
      <c r="D2550" s="2">
        <f>1708770048/(10^6)</f>
        <v>1708.770048</v>
      </c>
      <c r="E2550" s="5">
        <v>2.18760991096497</v>
      </c>
      <c r="F2550" s="5">
        <v>0.267958283424377</v>
      </c>
      <c r="G2550" s="5">
        <v>0.067612670361996</v>
      </c>
      <c r="H2550" s="5">
        <v>3.67260646820068</v>
      </c>
      <c r="I2550" t="s">
        <v>57</v>
      </c>
    </row>
    <row r="2551" spans="1:9">
      <c r="A2551" s="4" t="s">
        <v>5156</v>
      </c>
      <c r="B2551" s="4" t="s">
        <v>5157</v>
      </c>
      <c r="C2551" s="4" t="s">
        <v>31</v>
      </c>
      <c r="D2551" s="2">
        <f>1708431744/(10^6)</f>
        <v>1708.431744</v>
      </c>
      <c r="E2551" s="5">
        <v>10.7210760116577</v>
      </c>
      <c r="F2551" s="5">
        <v>1.77544629573822</v>
      </c>
      <c r="G2551" s="5">
        <v>0.493311107158661</v>
      </c>
      <c r="H2551" s="5">
        <v>8.60261249542236</v>
      </c>
      <c r="I2551" t="s">
        <v>57</v>
      </c>
    </row>
    <row r="2552" spans="1:9">
      <c r="A2552" s="4" t="s">
        <v>5158</v>
      </c>
      <c r="B2552" s="4" t="s">
        <v>5159</v>
      </c>
      <c r="C2552" s="4" t="s">
        <v>47</v>
      </c>
      <c r="D2552" s="2">
        <f>1707817600/(10^6)</f>
        <v>1707.8176</v>
      </c>
      <c r="E2552" s="5">
        <v>20.5439968109131</v>
      </c>
      <c r="F2552" s="5">
        <v>2.20790696144104</v>
      </c>
      <c r="G2552" s="5">
        <v>1.72573816776276</v>
      </c>
      <c r="H2552" s="5">
        <v>12.0379753112793</v>
      </c>
      <c r="I2552" t="s">
        <v>57</v>
      </c>
    </row>
    <row r="2553" spans="1:9">
      <c r="A2553" s="4" t="s">
        <v>5160</v>
      </c>
      <c r="B2553" s="4" t="s">
        <v>5161</v>
      </c>
      <c r="C2553" s="4" t="s">
        <v>47</v>
      </c>
      <c r="D2553" s="2">
        <f>1707594240/(10^6)</f>
        <v>1707.59424</v>
      </c>
      <c r="E2553" s="5">
        <v>8.59759712219238</v>
      </c>
      <c r="F2553" s="5">
        <v>1.34882843494415</v>
      </c>
      <c r="G2553" s="5">
        <v>0.521967053413391</v>
      </c>
      <c r="H2553" s="5">
        <v>6.74387407302856</v>
      </c>
      <c r="I2553" t="s">
        <v>57</v>
      </c>
    </row>
    <row r="2554" spans="1:9">
      <c r="A2554" s="4" t="s">
        <v>5162</v>
      </c>
      <c r="B2554" s="4" t="s">
        <v>5163</v>
      </c>
      <c r="C2554" s="4" t="s">
        <v>43</v>
      </c>
      <c r="D2554" s="2">
        <f>1704685440/(10^6)</f>
        <v>1704.68544</v>
      </c>
      <c r="E2554" s="5">
        <v>10.112419128418</v>
      </c>
      <c r="F2554" s="5">
        <v>0.764747738838196</v>
      </c>
      <c r="G2554" s="5">
        <v>4.79782629013062</v>
      </c>
      <c r="H2554" s="5" t="s">
        <v>86</v>
      </c>
      <c r="I2554" t="s">
        <v>57</v>
      </c>
    </row>
    <row r="2555" spans="1:9">
      <c r="A2555" s="4" t="s">
        <v>5164</v>
      </c>
      <c r="B2555" s="4" t="s">
        <v>5165</v>
      </c>
      <c r="C2555" s="4" t="s">
        <v>43</v>
      </c>
      <c r="D2555" s="2">
        <f>1704497792/(10^6)</f>
        <v>1704.497792</v>
      </c>
      <c r="E2555" s="5">
        <v>5.86976480484009</v>
      </c>
      <c r="F2555" s="5">
        <v>0.772645652294159</v>
      </c>
      <c r="G2555" s="5">
        <v>0.327614396810532</v>
      </c>
      <c r="H2555" s="5" t="s">
        <v>86</v>
      </c>
      <c r="I2555" t="s">
        <v>57</v>
      </c>
    </row>
    <row r="2556" spans="1:9">
      <c r="A2556" s="4" t="s">
        <v>5166</v>
      </c>
      <c r="B2556" s="4" t="s">
        <v>5167</v>
      </c>
      <c r="C2556" s="4" t="s">
        <v>31</v>
      </c>
      <c r="D2556" s="2">
        <f>1688226816/(10^6)</f>
        <v>1688.226816</v>
      </c>
      <c r="E2556" s="5">
        <v>26.3837223052979</v>
      </c>
      <c r="F2556" s="5">
        <v>3.6550567150116</v>
      </c>
      <c r="G2556" s="5">
        <v>0.916585326194763</v>
      </c>
      <c r="H2556" s="5">
        <v>16.5704402923584</v>
      </c>
      <c r="I2556" t="s">
        <v>57</v>
      </c>
    </row>
    <row r="2557" spans="1:9">
      <c r="A2557" s="4" t="s">
        <v>5168</v>
      </c>
      <c r="B2557" s="4" t="s">
        <v>5169</v>
      </c>
      <c r="C2557" s="4" t="s">
        <v>41</v>
      </c>
      <c r="D2557" s="2">
        <f>1684291200/(10^6)</f>
        <v>1684.2912</v>
      </c>
      <c r="E2557" s="5" t="s">
        <v>86</v>
      </c>
      <c r="F2557" s="5">
        <v>7.31078720092773</v>
      </c>
      <c r="G2557" s="5">
        <v>141.187561035156</v>
      </c>
      <c r="H2557" s="5" t="s">
        <v>86</v>
      </c>
      <c r="I2557" t="s">
        <v>57</v>
      </c>
    </row>
    <row r="2558" spans="1:9">
      <c r="A2558" s="4" t="s">
        <v>5170</v>
      </c>
      <c r="B2558" s="4" t="s">
        <v>5171</v>
      </c>
      <c r="C2558" s="4" t="s">
        <v>43</v>
      </c>
      <c r="D2558" s="2">
        <f>1683551744/(10^6)</f>
        <v>1683.551744</v>
      </c>
      <c r="E2558" s="5">
        <v>9.40089225769043</v>
      </c>
      <c r="F2558" s="5">
        <v>0.705306947231293</v>
      </c>
      <c r="G2558" s="5">
        <v>0.953361332416534</v>
      </c>
      <c r="H2558" s="5">
        <v>20.4498233795166</v>
      </c>
      <c r="I2558" t="s">
        <v>57</v>
      </c>
    </row>
    <row r="2559" spans="1:9">
      <c r="A2559" s="4" t="s">
        <v>5172</v>
      </c>
      <c r="B2559" s="4" t="s">
        <v>5173</v>
      </c>
      <c r="C2559" s="4" t="s">
        <v>41</v>
      </c>
      <c r="D2559" s="2">
        <f>1672890880/(10^6)</f>
        <v>1672.89088</v>
      </c>
      <c r="E2559" s="5" t="s">
        <v>86</v>
      </c>
      <c r="F2559" s="5">
        <v>3.3692901134491</v>
      </c>
      <c r="G2559" s="5">
        <v>34.4759101867676</v>
      </c>
      <c r="H2559" s="5" t="s">
        <v>86</v>
      </c>
      <c r="I2559" t="s">
        <v>57</v>
      </c>
    </row>
    <row r="2560" spans="1:9">
      <c r="A2560" s="4" t="s">
        <v>5174</v>
      </c>
      <c r="B2560" s="4" t="s">
        <v>5175</v>
      </c>
      <c r="C2560" s="4" t="s">
        <v>41</v>
      </c>
      <c r="D2560" s="2">
        <f>1671415808/(10^6)</f>
        <v>1671.415808</v>
      </c>
      <c r="E2560" s="5">
        <v>48.7072563171387</v>
      </c>
      <c r="F2560" s="5">
        <v>1.75936436653137</v>
      </c>
      <c r="G2560" s="5">
        <v>1.67577195167542</v>
      </c>
      <c r="H2560" s="5">
        <v>17.4013671875</v>
      </c>
      <c r="I2560" t="s">
        <v>57</v>
      </c>
    </row>
    <row r="2561" spans="1:9">
      <c r="A2561" s="4" t="s">
        <v>5176</v>
      </c>
      <c r="B2561" s="4" t="s">
        <v>5177</v>
      </c>
      <c r="C2561" s="4" t="s">
        <v>43</v>
      </c>
      <c r="D2561" s="2">
        <f>1669395584/(10^6)</f>
        <v>1669.395584</v>
      </c>
      <c r="E2561" s="5">
        <v>7.25808572769165</v>
      </c>
      <c r="F2561" s="5">
        <v>0.673918187618256</v>
      </c>
      <c r="G2561" s="5">
        <v>2.04144191741943</v>
      </c>
      <c r="H2561" s="5" t="s">
        <v>86</v>
      </c>
      <c r="I2561" t="s">
        <v>57</v>
      </c>
    </row>
    <row r="2562" spans="1:9">
      <c r="A2562" s="4" t="s">
        <v>5178</v>
      </c>
      <c r="B2562" s="4" t="s">
        <v>5179</v>
      </c>
      <c r="C2562" s="4" t="s">
        <v>51</v>
      </c>
      <c r="D2562" s="2">
        <f>1667174400/(10^6)</f>
        <v>1667.1744</v>
      </c>
      <c r="E2562" s="5">
        <v>7.42906713485718</v>
      </c>
      <c r="F2562" s="5">
        <v>1.77517592906952</v>
      </c>
      <c r="G2562" s="5">
        <v>0.42032465338707</v>
      </c>
      <c r="H2562" s="5">
        <v>5.78941774368286</v>
      </c>
      <c r="I2562" t="s">
        <v>57</v>
      </c>
    </row>
    <row r="2563" spans="1:9">
      <c r="A2563" s="4" t="s">
        <v>5180</v>
      </c>
      <c r="B2563" s="4" t="s">
        <v>5181</v>
      </c>
      <c r="C2563" s="4" t="s">
        <v>43</v>
      </c>
      <c r="D2563" s="2">
        <f>1663308800/(10^6)</f>
        <v>1663.3088</v>
      </c>
      <c r="E2563" s="5">
        <v>208.31819152832</v>
      </c>
      <c r="F2563" s="5" t="s">
        <v>86</v>
      </c>
      <c r="G2563" s="5">
        <v>8.7914867401123</v>
      </c>
      <c r="H2563" s="5">
        <v>103.165176391602</v>
      </c>
      <c r="I2563" t="s">
        <v>57</v>
      </c>
    </row>
    <row r="2564" spans="1:9">
      <c r="A2564" s="4" t="s">
        <v>5182</v>
      </c>
      <c r="B2564" s="4" t="s">
        <v>5183</v>
      </c>
      <c r="C2564" s="4" t="s">
        <v>51</v>
      </c>
      <c r="D2564" s="2">
        <f>1659526784/(10^6)</f>
        <v>1659.526784</v>
      </c>
      <c r="E2564" s="5">
        <v>122.456283569336</v>
      </c>
      <c r="F2564" s="5">
        <v>0.845486521720886</v>
      </c>
      <c r="G2564" s="5">
        <v>1.90639245510101</v>
      </c>
      <c r="H2564" s="5">
        <v>11.0638132095337</v>
      </c>
      <c r="I2564" t="s">
        <v>57</v>
      </c>
    </row>
    <row r="2565" spans="1:9">
      <c r="A2565" s="4" t="s">
        <v>5184</v>
      </c>
      <c r="B2565" s="4" t="s">
        <v>5185</v>
      </c>
      <c r="C2565" s="4" t="s">
        <v>51</v>
      </c>
      <c r="D2565" s="2">
        <f>1655832192/(10^6)</f>
        <v>1655.832192</v>
      </c>
      <c r="E2565" s="5" t="s">
        <v>86</v>
      </c>
      <c r="F2565" s="5">
        <v>25.2027626037598</v>
      </c>
      <c r="G2565" s="5">
        <v>5.4901180267334</v>
      </c>
      <c r="H2565" s="5" t="s">
        <v>86</v>
      </c>
      <c r="I2565" t="s">
        <v>57</v>
      </c>
    </row>
    <row r="2566" spans="1:9">
      <c r="A2566" s="4" t="s">
        <v>5186</v>
      </c>
      <c r="B2566" s="4" t="s">
        <v>5187</v>
      </c>
      <c r="C2566" s="4" t="s">
        <v>47</v>
      </c>
      <c r="D2566" s="2">
        <f>1652562432/(10^6)</f>
        <v>1652.562432</v>
      </c>
      <c r="E2566" s="5">
        <v>11.3173246383667</v>
      </c>
      <c r="F2566" s="5">
        <v>2.06393527984619</v>
      </c>
      <c r="G2566" s="5">
        <v>0.695624470710754</v>
      </c>
      <c r="H2566" s="5">
        <v>7.89846754074097</v>
      </c>
      <c r="I2566" t="s">
        <v>57</v>
      </c>
    </row>
    <row r="2567" spans="1:9">
      <c r="A2567" s="4" t="s">
        <v>5188</v>
      </c>
      <c r="B2567" s="4" t="s">
        <v>5189</v>
      </c>
      <c r="C2567" s="4" t="s">
        <v>37</v>
      </c>
      <c r="D2567" s="2">
        <f>1652062464/(10^6)</f>
        <v>1652.062464</v>
      </c>
      <c r="E2567" s="5">
        <v>14.5122213363647</v>
      </c>
      <c r="F2567" s="5">
        <v>1.77593970298767</v>
      </c>
      <c r="G2567" s="5">
        <v>1.07662618160248</v>
      </c>
      <c r="H2567" s="5">
        <v>7.88923645019531</v>
      </c>
      <c r="I2567" t="s">
        <v>57</v>
      </c>
    </row>
    <row r="2568" spans="1:9">
      <c r="A2568" s="4" t="s">
        <v>5190</v>
      </c>
      <c r="B2568" s="4" t="s">
        <v>5191</v>
      </c>
      <c r="C2568" s="4" t="s">
        <v>43</v>
      </c>
      <c r="D2568" s="2">
        <f>1651714304/(10^6)</f>
        <v>1651.714304</v>
      </c>
      <c r="E2568" s="5">
        <v>8.1699743270874</v>
      </c>
      <c r="F2568" s="5">
        <v>0.779731929302216</v>
      </c>
      <c r="G2568" s="5">
        <v>2.56250715255737</v>
      </c>
      <c r="H2568" s="5" t="s">
        <v>86</v>
      </c>
      <c r="I2568" t="s">
        <v>57</v>
      </c>
    </row>
    <row r="2569" spans="1:9">
      <c r="A2569" s="4" t="s">
        <v>5192</v>
      </c>
      <c r="B2569" s="4" t="s">
        <v>5193</v>
      </c>
      <c r="C2569" s="4" t="s">
        <v>43</v>
      </c>
      <c r="D2569" s="2">
        <f>1650786048/(10^6)</f>
        <v>1650.786048</v>
      </c>
      <c r="E2569" s="5">
        <v>5.73693370819092</v>
      </c>
      <c r="F2569" s="5">
        <v>0.518380343914032</v>
      </c>
      <c r="G2569" s="5">
        <v>2.47638463973999</v>
      </c>
      <c r="H2569" s="5" t="s">
        <v>86</v>
      </c>
      <c r="I2569" t="s">
        <v>57</v>
      </c>
    </row>
    <row r="2570" spans="1:9">
      <c r="A2570" s="4" t="s">
        <v>5194</v>
      </c>
      <c r="B2570" s="4" t="s">
        <v>5195</v>
      </c>
      <c r="C2570" s="4" t="s">
        <v>41</v>
      </c>
      <c r="D2570" s="2">
        <f>1646881152/(10^6)</f>
        <v>1646.881152</v>
      </c>
      <c r="E2570" s="5" t="s">
        <v>86</v>
      </c>
      <c r="F2570" s="5">
        <v>1.81493985652924</v>
      </c>
      <c r="G2570" s="5">
        <v>0.480441182851791</v>
      </c>
      <c r="H2570" s="5">
        <v>37.5957984924316</v>
      </c>
      <c r="I2570" t="s">
        <v>57</v>
      </c>
    </row>
    <row r="2571" spans="1:9">
      <c r="A2571" s="4" t="s">
        <v>5196</v>
      </c>
      <c r="B2571" s="4" t="s">
        <v>5197</v>
      </c>
      <c r="C2571" s="4" t="s">
        <v>37</v>
      </c>
      <c r="D2571" s="2">
        <f>1641933184/(10^6)</f>
        <v>1641.933184</v>
      </c>
      <c r="E2571" s="5">
        <v>6.28433704376221</v>
      </c>
      <c r="F2571" s="5">
        <v>1.24839913845062</v>
      </c>
      <c r="G2571" s="5">
        <v>0.302226424217224</v>
      </c>
      <c r="H2571" s="5">
        <v>7.17584800720215</v>
      </c>
      <c r="I2571" t="s">
        <v>57</v>
      </c>
    </row>
    <row r="2572" spans="1:9">
      <c r="A2572" s="4" t="s">
        <v>5198</v>
      </c>
      <c r="B2572" s="4" t="s">
        <v>5199</v>
      </c>
      <c r="C2572" s="4" t="s">
        <v>37</v>
      </c>
      <c r="D2572" s="2">
        <f>1641933184/(10^6)</f>
        <v>1641.933184</v>
      </c>
      <c r="E2572" s="5">
        <v>6.28433704376221</v>
      </c>
      <c r="F2572" s="5">
        <v>1.24839913845062</v>
      </c>
      <c r="G2572" s="5">
        <v>0.302226424217224</v>
      </c>
      <c r="H2572" s="5">
        <v>7.17584800720215</v>
      </c>
      <c r="I2572" t="s">
        <v>57</v>
      </c>
    </row>
    <row r="2573" spans="1:9">
      <c r="A2573" s="4" t="s">
        <v>5200</v>
      </c>
      <c r="B2573" s="4" t="s">
        <v>5201</v>
      </c>
      <c r="C2573" s="4" t="s">
        <v>51</v>
      </c>
      <c r="D2573" s="2">
        <f>1637905280/(10^6)</f>
        <v>1637.90528</v>
      </c>
      <c r="E2573" s="5" t="s">
        <v>86</v>
      </c>
      <c r="F2573" s="5">
        <v>3.61239385604858</v>
      </c>
      <c r="G2573" s="5">
        <v>6.93189144134521</v>
      </c>
      <c r="H2573" s="5" t="s">
        <v>86</v>
      </c>
      <c r="I2573" t="s">
        <v>57</v>
      </c>
    </row>
    <row r="2574" spans="1:9">
      <c r="A2574" s="4" t="s">
        <v>5202</v>
      </c>
      <c r="B2574" s="4" t="s">
        <v>5203</v>
      </c>
      <c r="C2574" s="4" t="s">
        <v>41</v>
      </c>
      <c r="D2574" s="2">
        <f>1635200256/(10^6)</f>
        <v>1635.200256</v>
      </c>
      <c r="E2574" s="5" t="s">
        <v>86</v>
      </c>
      <c r="F2574" s="5">
        <v>1.7299724817276</v>
      </c>
      <c r="G2574" s="5">
        <v>235.9921875</v>
      </c>
      <c r="H2574" s="5" t="s">
        <v>86</v>
      </c>
      <c r="I2574" t="s">
        <v>57</v>
      </c>
    </row>
    <row r="2575" spans="1:9">
      <c r="A2575" s="4" t="s">
        <v>5204</v>
      </c>
      <c r="B2575" s="4" t="s">
        <v>5205</v>
      </c>
      <c r="C2575" s="4" t="s">
        <v>47</v>
      </c>
      <c r="D2575" s="2">
        <f>1633279744/(10^6)</f>
        <v>1633.279744</v>
      </c>
      <c r="E2575" s="5">
        <v>43.4136009216309</v>
      </c>
      <c r="F2575" s="5" t="s">
        <v>86</v>
      </c>
      <c r="G2575" s="5">
        <v>0.98829573392868</v>
      </c>
      <c r="H2575" s="5">
        <v>23.1449146270752</v>
      </c>
      <c r="I2575" t="s">
        <v>57</v>
      </c>
    </row>
    <row r="2576" spans="1:9">
      <c r="A2576" s="4" t="s">
        <v>5206</v>
      </c>
      <c r="B2576" s="4" t="s">
        <v>5207</v>
      </c>
      <c r="C2576" s="4" t="s">
        <v>35</v>
      </c>
      <c r="D2576" s="2">
        <f>1632015104/(10^6)</f>
        <v>1632.015104</v>
      </c>
      <c r="E2576" s="5">
        <v>25.8376922607422</v>
      </c>
      <c r="F2576" s="5">
        <v>1.11952197551727</v>
      </c>
      <c r="G2576" s="5">
        <v>0.46071645617485</v>
      </c>
      <c r="H2576" s="5">
        <v>23.9496669769287</v>
      </c>
      <c r="I2576" t="s">
        <v>57</v>
      </c>
    </row>
    <row r="2577" spans="1:9">
      <c r="A2577" s="4" t="s">
        <v>5208</v>
      </c>
      <c r="B2577" s="4" t="s">
        <v>5209</v>
      </c>
      <c r="C2577" s="4" t="s">
        <v>27</v>
      </c>
      <c r="D2577" s="2">
        <f>1628991872/(10^6)</f>
        <v>1628.991872</v>
      </c>
      <c r="E2577" s="5">
        <v>56.9835395812988</v>
      </c>
      <c r="F2577" s="5">
        <v>0.384360879659653</v>
      </c>
      <c r="G2577" s="5">
        <v>0.187445804476738</v>
      </c>
      <c r="H2577" s="5">
        <v>11.5353698730469</v>
      </c>
      <c r="I2577" t="s">
        <v>57</v>
      </c>
    </row>
    <row r="2578" spans="1:9">
      <c r="A2578" s="4" t="s">
        <v>5210</v>
      </c>
      <c r="B2578" s="4" t="s">
        <v>5211</v>
      </c>
      <c r="C2578" s="4" t="s">
        <v>27</v>
      </c>
      <c r="D2578" s="2">
        <f>1628041088/(10^6)</f>
        <v>1628.041088</v>
      </c>
      <c r="E2578" s="5">
        <v>3.85665059089661</v>
      </c>
      <c r="F2578" s="5">
        <v>0.452869653701782</v>
      </c>
      <c r="G2578" s="5">
        <v>0.670087277889252</v>
      </c>
      <c r="H2578" s="5">
        <v>5.37483787536621</v>
      </c>
      <c r="I2578" t="s">
        <v>57</v>
      </c>
    </row>
    <row r="2579" spans="1:9">
      <c r="A2579" s="4" t="s">
        <v>5212</v>
      </c>
      <c r="B2579" s="4" t="s">
        <v>5213</v>
      </c>
      <c r="C2579" s="4" t="s">
        <v>41</v>
      </c>
      <c r="D2579" s="2">
        <f>1620622208/(10^6)</f>
        <v>1620.622208</v>
      </c>
      <c r="E2579" s="5">
        <v>63.3087348937988</v>
      </c>
      <c r="F2579" s="5">
        <v>2.73000121116638</v>
      </c>
      <c r="G2579" s="5">
        <v>10.238410949707</v>
      </c>
      <c r="H2579" s="5">
        <v>49.4715995788574</v>
      </c>
      <c r="I2579" t="s">
        <v>57</v>
      </c>
    </row>
    <row r="2580" spans="1:9">
      <c r="A2580" s="4" t="s">
        <v>5214</v>
      </c>
      <c r="B2580" s="4" t="s">
        <v>5215</v>
      </c>
      <c r="C2580" s="4" t="s">
        <v>37</v>
      </c>
      <c r="D2580" s="2">
        <f>1620470784/(10^6)</f>
        <v>1620.470784</v>
      </c>
      <c r="E2580" s="5">
        <v>8.1785717010498</v>
      </c>
      <c r="F2580" s="5">
        <v>1.28373789787293</v>
      </c>
      <c r="G2580" s="5">
        <v>0.428345233201981</v>
      </c>
      <c r="H2580" s="5">
        <v>7.05421781539917</v>
      </c>
      <c r="I2580" t="s">
        <v>57</v>
      </c>
    </row>
    <row r="2581" spans="1:9">
      <c r="A2581" s="4" t="s">
        <v>5216</v>
      </c>
      <c r="B2581" s="4" t="s">
        <v>5217</v>
      </c>
      <c r="C2581" s="4" t="s">
        <v>41</v>
      </c>
      <c r="D2581" s="2">
        <f>1618184320/(10^6)</f>
        <v>1618.18432</v>
      </c>
      <c r="E2581" s="5" t="s">
        <v>86</v>
      </c>
      <c r="F2581" s="5">
        <v>9.32449340820312</v>
      </c>
      <c r="G2581" s="5" t="s">
        <v>86</v>
      </c>
      <c r="H2581" s="5" t="s">
        <v>86</v>
      </c>
      <c r="I2581" t="s">
        <v>57</v>
      </c>
    </row>
    <row r="2582" spans="1:9">
      <c r="A2582" s="4" t="s">
        <v>5218</v>
      </c>
      <c r="B2582" s="4" t="s">
        <v>5219</v>
      </c>
      <c r="C2582" s="4" t="s">
        <v>31</v>
      </c>
      <c r="D2582" s="2">
        <f>1617582208/(10^6)</f>
        <v>1617.582208</v>
      </c>
      <c r="E2582" s="5">
        <v>14.8453693389893</v>
      </c>
      <c r="F2582" s="5">
        <v>2.5120325088501</v>
      </c>
      <c r="G2582" s="5">
        <v>1.31262266635895</v>
      </c>
      <c r="H2582" s="5">
        <v>9.41200542449951</v>
      </c>
      <c r="I2582" t="s">
        <v>57</v>
      </c>
    </row>
    <row r="2583" spans="1:9">
      <c r="A2583" s="4" t="s">
        <v>5220</v>
      </c>
      <c r="B2583" s="4" t="s">
        <v>5221</v>
      </c>
      <c r="C2583" s="4" t="s">
        <v>47</v>
      </c>
      <c r="D2583" s="2">
        <f>1617307520/(10^6)</f>
        <v>1617.30752</v>
      </c>
      <c r="E2583" s="5">
        <v>5.3516640663147</v>
      </c>
      <c r="F2583" s="5">
        <v>0.658361554145813</v>
      </c>
      <c r="G2583" s="5">
        <v>0.330692946910858</v>
      </c>
      <c r="H2583" s="5">
        <v>7.33173799514771</v>
      </c>
      <c r="I2583" t="s">
        <v>57</v>
      </c>
    </row>
    <row r="2584" spans="1:9">
      <c r="A2584" s="4" t="s">
        <v>5222</v>
      </c>
      <c r="B2584" s="4" t="s">
        <v>5223</v>
      </c>
      <c r="C2584" s="4" t="s">
        <v>51</v>
      </c>
      <c r="D2584" s="2">
        <f>1609143040/(10^6)</f>
        <v>1609.14304</v>
      </c>
      <c r="E2584" s="5">
        <v>323.003814697266</v>
      </c>
      <c r="F2584" s="5">
        <v>2.26297807693481</v>
      </c>
      <c r="G2584" s="5">
        <v>5.72755718231201</v>
      </c>
      <c r="H2584" s="5">
        <v>39.4815063476562</v>
      </c>
      <c r="I2584" t="s">
        <v>57</v>
      </c>
    </row>
    <row r="2585" spans="1:9">
      <c r="A2585" s="4" t="s">
        <v>5224</v>
      </c>
      <c r="B2585" s="4" t="s">
        <v>5225</v>
      </c>
      <c r="C2585" s="4" t="s">
        <v>43</v>
      </c>
      <c r="D2585" s="2">
        <f>1605825664/(10^6)</f>
        <v>1605.825664</v>
      </c>
      <c r="E2585" s="5">
        <v>4.05145740509033</v>
      </c>
      <c r="F2585" s="5">
        <v>0.417791843414307</v>
      </c>
      <c r="G2585" s="5">
        <v>2.12550759315491</v>
      </c>
      <c r="H2585" s="5">
        <v>13.4427146911621</v>
      </c>
      <c r="I2585" t="s">
        <v>57</v>
      </c>
    </row>
    <row r="2586" spans="1:9">
      <c r="A2586" s="4" t="s">
        <v>5226</v>
      </c>
      <c r="B2586" s="4" t="s">
        <v>5227</v>
      </c>
      <c r="C2586" s="4" t="s">
        <v>37</v>
      </c>
      <c r="D2586" s="2">
        <f>1604954240/(10^6)</f>
        <v>1604.95424</v>
      </c>
      <c r="E2586" s="5">
        <v>4.98480892181396</v>
      </c>
      <c r="F2586" s="5">
        <v>0.913024842739105</v>
      </c>
      <c r="G2586" s="5">
        <v>0.271504163742065</v>
      </c>
      <c r="H2586" s="5">
        <v>4.12167644500732</v>
      </c>
      <c r="I2586" t="s">
        <v>57</v>
      </c>
    </row>
    <row r="2587" spans="1:9">
      <c r="A2587" s="4" t="s">
        <v>5228</v>
      </c>
      <c r="B2587" s="4" t="s">
        <v>5229</v>
      </c>
      <c r="C2587" s="4" t="s">
        <v>41</v>
      </c>
      <c r="D2587" s="2">
        <f>1600692480/(10^6)</f>
        <v>1600.69248</v>
      </c>
      <c r="E2587" s="5">
        <v>8.85103034973145</v>
      </c>
      <c r="F2587" s="5">
        <v>0.631246149539948</v>
      </c>
      <c r="G2587" s="5">
        <v>0.508339703083038</v>
      </c>
      <c r="H2587" s="5">
        <v>9.49243831634521</v>
      </c>
      <c r="I2587" t="s">
        <v>57</v>
      </c>
    </row>
    <row r="2588" spans="1:9">
      <c r="A2588" s="4" t="s">
        <v>5230</v>
      </c>
      <c r="B2588" s="4" t="s">
        <v>5231</v>
      </c>
      <c r="C2588" s="4" t="s">
        <v>51</v>
      </c>
      <c r="D2588" s="2">
        <f>1599306880/(10^6)</f>
        <v>1599.30688</v>
      </c>
      <c r="E2588" s="5">
        <v>21.1305732727051</v>
      </c>
      <c r="F2588" s="5">
        <v>3.8209114074707</v>
      </c>
      <c r="G2588" s="5">
        <v>0.970588684082031</v>
      </c>
      <c r="H2588" s="5">
        <v>8.4573917388916</v>
      </c>
      <c r="I2588" t="s">
        <v>57</v>
      </c>
    </row>
    <row r="2589" spans="1:9">
      <c r="A2589" s="4" t="s">
        <v>5232</v>
      </c>
      <c r="B2589" s="4" t="s">
        <v>5233</v>
      </c>
      <c r="C2589" s="4" t="s">
        <v>47</v>
      </c>
      <c r="D2589" s="2">
        <f>1598530432/(10^6)</f>
        <v>1598.530432</v>
      </c>
      <c r="E2589" s="5">
        <v>33.1175880432129</v>
      </c>
      <c r="F2589" s="5">
        <v>2.04521751403809</v>
      </c>
      <c r="G2589" s="5">
        <v>0.907851874828339</v>
      </c>
      <c r="H2589" s="5">
        <v>10.8366537094116</v>
      </c>
      <c r="I2589" t="s">
        <v>57</v>
      </c>
    </row>
    <row r="2590" spans="1:9">
      <c r="A2590" s="4" t="s">
        <v>5234</v>
      </c>
      <c r="B2590" s="4" t="s">
        <v>5235</v>
      </c>
      <c r="C2590" s="4" t="s">
        <v>51</v>
      </c>
      <c r="D2590" s="2">
        <f>1598363904/(10^6)</f>
        <v>1598.363904</v>
      </c>
      <c r="E2590" s="5">
        <v>11.9740285873413</v>
      </c>
      <c r="F2590" s="5">
        <v>1.66516470909119</v>
      </c>
      <c r="G2590" s="5">
        <v>0.615431785583496</v>
      </c>
      <c r="H2590" s="5">
        <v>159.198120117188</v>
      </c>
      <c r="I2590" t="s">
        <v>57</v>
      </c>
    </row>
    <row r="2591" spans="1:9">
      <c r="A2591" s="4" t="s">
        <v>5236</v>
      </c>
      <c r="B2591" s="4" t="s">
        <v>5237</v>
      </c>
      <c r="C2591" s="4" t="s">
        <v>43</v>
      </c>
      <c r="D2591" s="2">
        <f>1593426944/(10^6)</f>
        <v>1593.426944</v>
      </c>
      <c r="E2591" s="5">
        <v>16.8059711456299</v>
      </c>
      <c r="F2591" s="5">
        <v>1.21944534778595</v>
      </c>
      <c r="G2591" s="5">
        <v>4.43599462509155</v>
      </c>
      <c r="H2591" s="5" t="s">
        <v>86</v>
      </c>
      <c r="I2591" t="s">
        <v>57</v>
      </c>
    </row>
    <row r="2592" spans="1:9">
      <c r="A2592" s="4" t="s">
        <v>5238</v>
      </c>
      <c r="B2592" s="4" t="s">
        <v>5239</v>
      </c>
      <c r="C2592" s="4" t="s">
        <v>33</v>
      </c>
      <c r="D2592" s="2">
        <f>1592417280/(10^6)</f>
        <v>1592.41728</v>
      </c>
      <c r="E2592" s="5">
        <v>7.79527282714844</v>
      </c>
      <c r="F2592" s="5">
        <v>1.06004655361175</v>
      </c>
      <c r="G2592" s="5">
        <v>0.377333611249924</v>
      </c>
      <c r="H2592" s="5">
        <v>15.1020832061768</v>
      </c>
      <c r="I2592" t="s">
        <v>57</v>
      </c>
    </row>
    <row r="2593" spans="1:9">
      <c r="A2593" s="4" t="s">
        <v>5240</v>
      </c>
      <c r="B2593" s="4" t="s">
        <v>5241</v>
      </c>
      <c r="C2593" s="4" t="s">
        <v>39</v>
      </c>
      <c r="D2593" s="2">
        <f>1591912320/(10^6)</f>
        <v>1591.91232</v>
      </c>
      <c r="E2593" s="5">
        <v>46.1082000732422</v>
      </c>
      <c r="F2593" s="5">
        <v>1.78639733791351</v>
      </c>
      <c r="G2593" s="5">
        <v>3.77951645851135</v>
      </c>
      <c r="H2593" s="5">
        <v>23.7921237945557</v>
      </c>
      <c r="I2593" t="s">
        <v>57</v>
      </c>
    </row>
    <row r="2594" spans="1:9">
      <c r="A2594" s="4" t="s">
        <v>5242</v>
      </c>
      <c r="B2594" s="4" t="s">
        <v>5243</v>
      </c>
      <c r="C2594" s="4" t="s">
        <v>33</v>
      </c>
      <c r="D2594" s="2">
        <f>1587611648/(10^6)</f>
        <v>1587.611648</v>
      </c>
      <c r="E2594" s="5">
        <v>569.688659667969</v>
      </c>
      <c r="F2594" s="5">
        <v>5.87165832519531</v>
      </c>
      <c r="G2594" s="5">
        <v>6.56108236312866</v>
      </c>
      <c r="H2594" s="5" t="s">
        <v>86</v>
      </c>
      <c r="I2594" t="s">
        <v>57</v>
      </c>
    </row>
    <row r="2595" spans="1:9">
      <c r="A2595" s="4" t="s">
        <v>5244</v>
      </c>
      <c r="B2595" s="4" t="s">
        <v>5245</v>
      </c>
      <c r="C2595" s="4" t="s">
        <v>51</v>
      </c>
      <c r="D2595" s="2">
        <f>1585507840/(10^6)</f>
        <v>1585.50784</v>
      </c>
      <c r="E2595" s="5">
        <v>28.1003398895264</v>
      </c>
      <c r="F2595" s="5">
        <v>1.69001162052154</v>
      </c>
      <c r="G2595" s="5">
        <v>1.75662744045258</v>
      </c>
      <c r="H2595" s="5">
        <v>9.52848815917969</v>
      </c>
      <c r="I2595" t="s">
        <v>57</v>
      </c>
    </row>
    <row r="2596" spans="1:9">
      <c r="A2596" s="4" t="s">
        <v>5246</v>
      </c>
      <c r="B2596" s="4" t="s">
        <v>5247</v>
      </c>
      <c r="C2596" s="4" t="s">
        <v>43</v>
      </c>
      <c r="D2596" s="2">
        <f>1581537408/(10^6)</f>
        <v>1581.537408</v>
      </c>
      <c r="E2596" s="5">
        <v>19.4323406219482</v>
      </c>
      <c r="F2596" s="5">
        <v>28.9436550140381</v>
      </c>
      <c r="G2596" s="5">
        <v>1.31601166725159</v>
      </c>
      <c r="H2596" s="5">
        <v>17.829833984375</v>
      </c>
      <c r="I2596" t="s">
        <v>57</v>
      </c>
    </row>
    <row r="2597" spans="1:9">
      <c r="A2597" s="4" t="s">
        <v>5248</v>
      </c>
      <c r="B2597" s="4" t="s">
        <v>5249</v>
      </c>
      <c r="C2597" s="4" t="s">
        <v>47</v>
      </c>
      <c r="D2597" s="2">
        <f>1578507776/(10^6)</f>
        <v>1578.507776</v>
      </c>
      <c r="E2597" s="5">
        <v>6.74213838577271</v>
      </c>
      <c r="F2597" s="5">
        <v>0.908259630203247</v>
      </c>
      <c r="G2597" s="5">
        <v>0.403289020061493</v>
      </c>
      <c r="H2597" s="5">
        <v>7.8624963760376</v>
      </c>
      <c r="I2597" t="s">
        <v>57</v>
      </c>
    </row>
    <row r="2598" spans="1:9">
      <c r="A2598" s="4" t="s">
        <v>5250</v>
      </c>
      <c r="B2598" s="4" t="s">
        <v>5251</v>
      </c>
      <c r="C2598" s="4" t="s">
        <v>41</v>
      </c>
      <c r="D2598" s="2">
        <f>1574468096/(10^6)</f>
        <v>1574.468096</v>
      </c>
      <c r="E2598" s="5">
        <v>36.7692794799805</v>
      </c>
      <c r="F2598" s="5">
        <v>2.21069431304932</v>
      </c>
      <c r="G2598" s="5">
        <v>1.63774394989014</v>
      </c>
      <c r="H2598" s="5">
        <v>14.6845970153809</v>
      </c>
      <c r="I2598" t="s">
        <v>57</v>
      </c>
    </row>
    <row r="2599" spans="1:9">
      <c r="A2599" s="4" t="s">
        <v>5252</v>
      </c>
      <c r="B2599" s="4" t="s">
        <v>5253</v>
      </c>
      <c r="C2599" s="4" t="s">
        <v>47</v>
      </c>
      <c r="D2599" s="2">
        <f>1568747264/(10^6)</f>
        <v>1568.747264</v>
      </c>
      <c r="E2599" s="5">
        <v>6.96728849411011</v>
      </c>
      <c r="F2599" s="5">
        <v>0.873423874378204</v>
      </c>
      <c r="G2599" s="5">
        <v>0.46605858206749</v>
      </c>
      <c r="H2599" s="5">
        <v>5.91571378707886</v>
      </c>
      <c r="I2599" t="s">
        <v>57</v>
      </c>
    </row>
    <row r="2600" spans="1:9">
      <c r="A2600" s="4" t="s">
        <v>5254</v>
      </c>
      <c r="B2600" s="4" t="s">
        <v>5255</v>
      </c>
      <c r="C2600" s="4" t="s">
        <v>43</v>
      </c>
      <c r="D2600" s="2">
        <f>1561831296/(10^6)</f>
        <v>1561.831296</v>
      </c>
      <c r="E2600" s="5">
        <v>27.5037841796875</v>
      </c>
      <c r="F2600" s="5">
        <v>1.60947728157044</v>
      </c>
      <c r="G2600" s="5">
        <v>5.27399110794067</v>
      </c>
      <c r="H2600" s="5" t="s">
        <v>86</v>
      </c>
      <c r="I2600" t="s">
        <v>57</v>
      </c>
    </row>
    <row r="2601" spans="1:9">
      <c r="A2601" s="4" t="s">
        <v>5256</v>
      </c>
      <c r="B2601" s="4" t="s">
        <v>5257</v>
      </c>
      <c r="C2601" s="4" t="s">
        <v>43</v>
      </c>
      <c r="D2601" s="2">
        <f>1561463552/(10^6)</f>
        <v>1561.463552</v>
      </c>
      <c r="E2601" s="5">
        <v>5.88529682159424</v>
      </c>
      <c r="F2601" s="5">
        <v>0.633802175521851</v>
      </c>
      <c r="G2601" s="5">
        <v>1.58889532089233</v>
      </c>
      <c r="H2601" s="5" t="s">
        <v>86</v>
      </c>
      <c r="I2601" t="s">
        <v>57</v>
      </c>
    </row>
    <row r="2602" spans="1:9">
      <c r="A2602" s="4" t="s">
        <v>5258</v>
      </c>
      <c r="B2602" s="4" t="s">
        <v>5259</v>
      </c>
      <c r="C2602" s="4" t="s">
        <v>37</v>
      </c>
      <c r="D2602" s="2">
        <f>1560976896/(10^6)</f>
        <v>1560.976896</v>
      </c>
      <c r="E2602" s="5">
        <v>11.7712144851685</v>
      </c>
      <c r="F2602" s="5">
        <v>2.25775170326233</v>
      </c>
      <c r="G2602" s="5">
        <v>0.283608853816986</v>
      </c>
      <c r="H2602" s="5">
        <v>6.72160577774048</v>
      </c>
      <c r="I2602" t="s">
        <v>57</v>
      </c>
    </row>
    <row r="2603" spans="1:9">
      <c r="A2603" s="4" t="s">
        <v>5260</v>
      </c>
      <c r="B2603" s="4" t="s">
        <v>5261</v>
      </c>
      <c r="C2603" s="4" t="s">
        <v>35</v>
      </c>
      <c r="D2603" s="2">
        <f>1553940992/(10^6)</f>
        <v>1553.940992</v>
      </c>
      <c r="E2603" s="5">
        <v>19.8618431091309</v>
      </c>
      <c r="F2603" s="5">
        <v>1.31394624710083</v>
      </c>
      <c r="G2603" s="5">
        <v>2.46553349494934</v>
      </c>
      <c r="H2603" s="5">
        <v>37.2576599121094</v>
      </c>
      <c r="I2603" t="s">
        <v>57</v>
      </c>
    </row>
    <row r="2604" spans="1:9">
      <c r="A2604" s="4" t="s">
        <v>5262</v>
      </c>
      <c r="B2604" s="4" t="s">
        <v>5263</v>
      </c>
      <c r="C2604" s="4" t="s">
        <v>43</v>
      </c>
      <c r="D2604" s="2">
        <f>1552465024/(10^6)</f>
        <v>1552.465024</v>
      </c>
      <c r="E2604" s="5">
        <v>3.26655650138855</v>
      </c>
      <c r="F2604" s="5">
        <v>0.51752096414566</v>
      </c>
      <c r="G2604" s="5">
        <v>0.338611304759979</v>
      </c>
      <c r="H2604" s="5" t="s">
        <v>86</v>
      </c>
      <c r="I2604" t="s">
        <v>57</v>
      </c>
    </row>
    <row r="2605" spans="1:9">
      <c r="A2605" s="4" t="s">
        <v>5264</v>
      </c>
      <c r="B2605" s="4" t="s">
        <v>5265</v>
      </c>
      <c r="C2605" s="4" t="s">
        <v>41</v>
      </c>
      <c r="D2605" s="2">
        <f>1550427776/(10^6)</f>
        <v>1550.427776</v>
      </c>
      <c r="E2605" s="5">
        <v>18.7058963775635</v>
      </c>
      <c r="F2605" s="5" t="s">
        <v>86</v>
      </c>
      <c r="G2605" s="5">
        <v>3.57967472076416</v>
      </c>
      <c r="H2605" s="5">
        <v>17.2333698272705</v>
      </c>
      <c r="I2605" t="s">
        <v>57</v>
      </c>
    </row>
    <row r="2606" spans="1:9">
      <c r="A2606" s="4" t="s">
        <v>5266</v>
      </c>
      <c r="B2606" s="4" t="s">
        <v>5267</v>
      </c>
      <c r="C2606" s="4" t="s">
        <v>31</v>
      </c>
      <c r="D2606" s="2">
        <f>1549753984/(10^6)</f>
        <v>1549.753984</v>
      </c>
      <c r="E2606" s="5">
        <v>11.6479291915894</v>
      </c>
      <c r="F2606" s="5">
        <v>2.21865820884705</v>
      </c>
      <c r="G2606" s="5">
        <v>1.47001254558563</v>
      </c>
      <c r="H2606" s="5">
        <v>6.77417469024658</v>
      </c>
      <c r="I2606" t="s">
        <v>57</v>
      </c>
    </row>
    <row r="2607" spans="1:9">
      <c r="A2607" s="4" t="s">
        <v>5268</v>
      </c>
      <c r="B2607" s="4" t="s">
        <v>5269</v>
      </c>
      <c r="C2607" s="4" t="s">
        <v>31</v>
      </c>
      <c r="D2607" s="2">
        <f>1548016640/(10^6)</f>
        <v>1548.01664</v>
      </c>
      <c r="E2607" s="5">
        <v>6.48447847366333</v>
      </c>
      <c r="F2607" s="5">
        <v>1.87522578239441</v>
      </c>
      <c r="G2607" s="5">
        <v>0.211872071027756</v>
      </c>
      <c r="H2607" s="5">
        <v>5.63659572601318</v>
      </c>
      <c r="I2607" t="s">
        <v>57</v>
      </c>
    </row>
    <row r="2608" spans="1:9">
      <c r="A2608" s="4" t="s">
        <v>5270</v>
      </c>
      <c r="B2608" s="4" t="s">
        <v>5271</v>
      </c>
      <c r="C2608" s="4" t="s">
        <v>31</v>
      </c>
      <c r="D2608" s="2">
        <f>1547444352/(10^6)</f>
        <v>1547.444352</v>
      </c>
      <c r="E2608" s="5">
        <v>129.313049316406</v>
      </c>
      <c r="F2608" s="5">
        <v>2.68771266937256</v>
      </c>
      <c r="G2608" s="5">
        <v>2.13943934440613</v>
      </c>
      <c r="H2608" s="5">
        <v>24.8101444244385</v>
      </c>
      <c r="I2608" t="s">
        <v>57</v>
      </c>
    </row>
    <row r="2609" spans="1:9">
      <c r="A2609" s="4" t="s">
        <v>5272</v>
      </c>
      <c r="B2609" s="4" t="s">
        <v>5273</v>
      </c>
      <c r="C2609" s="4" t="s">
        <v>43</v>
      </c>
      <c r="D2609" s="2">
        <f>1544807296/(10^6)</f>
        <v>1544.807296</v>
      </c>
      <c r="E2609" s="5">
        <v>7.40211009979248</v>
      </c>
      <c r="F2609" s="5">
        <v>0.60086852312088</v>
      </c>
      <c r="G2609" s="5">
        <v>2.14400720596314</v>
      </c>
      <c r="H2609" s="5" t="s">
        <v>86</v>
      </c>
      <c r="I2609" t="s">
        <v>57</v>
      </c>
    </row>
    <row r="2610" spans="1:9">
      <c r="A2610" s="4" t="s">
        <v>5274</v>
      </c>
      <c r="B2610" s="4" t="s">
        <v>5275</v>
      </c>
      <c r="C2610" s="4" t="s">
        <v>43</v>
      </c>
      <c r="D2610" s="2">
        <f>1544224768/(10^6)</f>
        <v>1544.224768</v>
      </c>
      <c r="E2610" s="5">
        <v>73.4615859985352</v>
      </c>
      <c r="F2610" s="5">
        <v>3.18975591659546</v>
      </c>
      <c r="G2610" s="5">
        <v>0.853937208652496</v>
      </c>
      <c r="H2610" s="5">
        <v>12.9054098129272</v>
      </c>
      <c r="I2610" t="s">
        <v>57</v>
      </c>
    </row>
    <row r="2611" spans="1:9">
      <c r="A2611" s="4" t="s">
        <v>5276</v>
      </c>
      <c r="B2611" s="4" t="s">
        <v>5277</v>
      </c>
      <c r="C2611" s="4" t="s">
        <v>43</v>
      </c>
      <c r="D2611" s="2">
        <f>1543666176/(10^6)</f>
        <v>1543.666176</v>
      </c>
      <c r="E2611" s="5">
        <v>6.82367753982544</v>
      </c>
      <c r="F2611" s="5">
        <v>0.624821662902832</v>
      </c>
      <c r="G2611" s="5">
        <v>1.6951060295105</v>
      </c>
      <c r="H2611" s="5" t="s">
        <v>86</v>
      </c>
      <c r="I2611" t="s">
        <v>57</v>
      </c>
    </row>
    <row r="2612" spans="1:9">
      <c r="A2612" s="4" t="s">
        <v>5278</v>
      </c>
      <c r="B2612" s="4" t="s">
        <v>5279</v>
      </c>
      <c r="C2612" s="4" t="s">
        <v>51</v>
      </c>
      <c r="D2612" s="2">
        <f>1542467840/(10^6)</f>
        <v>1542.46784</v>
      </c>
      <c r="E2612" s="5">
        <v>249.848526000977</v>
      </c>
      <c r="F2612" s="5">
        <v>3.69122076034546</v>
      </c>
      <c r="G2612" s="5">
        <v>3.33353304862976</v>
      </c>
      <c r="H2612" s="5">
        <v>32.197135925293</v>
      </c>
      <c r="I2612" t="s">
        <v>57</v>
      </c>
    </row>
    <row r="2613" spans="1:9">
      <c r="A2613" s="4" t="s">
        <v>5280</v>
      </c>
      <c r="B2613" s="4" t="s">
        <v>5281</v>
      </c>
      <c r="C2613" s="4" t="s">
        <v>51</v>
      </c>
      <c r="D2613" s="2">
        <f>1540565760/(10^6)</f>
        <v>1540.56576</v>
      </c>
      <c r="E2613" s="5">
        <v>57.0030250549316</v>
      </c>
      <c r="F2613" s="5">
        <v>4.34125709533691</v>
      </c>
      <c r="G2613" s="5">
        <v>5.54106760025024</v>
      </c>
      <c r="H2613" s="5">
        <v>23.5294742584229</v>
      </c>
      <c r="I2613" t="s">
        <v>57</v>
      </c>
    </row>
    <row r="2614" spans="1:9">
      <c r="A2614" s="4" t="s">
        <v>5282</v>
      </c>
      <c r="B2614" s="4" t="s">
        <v>5283</v>
      </c>
      <c r="C2614" s="4" t="s">
        <v>41</v>
      </c>
      <c r="D2614" s="2">
        <f>1540550912/(10^6)</f>
        <v>1540.550912</v>
      </c>
      <c r="E2614" s="5" t="s">
        <v>86</v>
      </c>
      <c r="F2614" s="5">
        <v>5.88117170333862</v>
      </c>
      <c r="G2614" s="5">
        <v>10.7556200027466</v>
      </c>
      <c r="H2614" s="5" t="s">
        <v>86</v>
      </c>
      <c r="I2614" t="s">
        <v>57</v>
      </c>
    </row>
    <row r="2615" spans="1:9">
      <c r="A2615" s="4" t="s">
        <v>5284</v>
      </c>
      <c r="B2615" s="4" t="s">
        <v>5285</v>
      </c>
      <c r="C2615" s="4" t="s">
        <v>51</v>
      </c>
      <c r="D2615" s="2">
        <f>1538191488/(10^6)</f>
        <v>1538.191488</v>
      </c>
      <c r="E2615" s="5">
        <v>38.8783798217773</v>
      </c>
      <c r="F2615" s="5">
        <v>2.38761329650879</v>
      </c>
      <c r="G2615" s="5">
        <v>2.57076621055603</v>
      </c>
      <c r="H2615" s="5">
        <v>13.8916130065918</v>
      </c>
      <c r="I2615" t="s">
        <v>57</v>
      </c>
    </row>
    <row r="2616" spans="1:9">
      <c r="A2616" s="4" t="s">
        <v>5286</v>
      </c>
      <c r="B2616" s="4" t="s">
        <v>5287</v>
      </c>
      <c r="C2616" s="4" t="s">
        <v>41</v>
      </c>
      <c r="D2616" s="2">
        <f>1538064000/(10^6)</f>
        <v>1538.064</v>
      </c>
      <c r="E2616" s="5" t="s">
        <v>86</v>
      </c>
      <c r="F2616" s="5">
        <v>6.67812299728394</v>
      </c>
      <c r="G2616" s="5">
        <v>30.1643409729004</v>
      </c>
      <c r="H2616" s="5" t="s">
        <v>86</v>
      </c>
      <c r="I2616" t="s">
        <v>57</v>
      </c>
    </row>
    <row r="2617" spans="1:9">
      <c r="A2617" s="4" t="s">
        <v>5288</v>
      </c>
      <c r="B2617" s="4" t="s">
        <v>5289</v>
      </c>
      <c r="C2617" s="4" t="s">
        <v>35</v>
      </c>
      <c r="D2617" s="2">
        <f>1537360384/(10^6)</f>
        <v>1537.360384</v>
      </c>
      <c r="E2617" s="5">
        <v>19.4514713287354</v>
      </c>
      <c r="F2617" s="5">
        <v>1.88210785388947</v>
      </c>
      <c r="G2617" s="5">
        <v>0.466099381446838</v>
      </c>
      <c r="H2617" s="5">
        <v>9.19843292236328</v>
      </c>
      <c r="I2617" t="s">
        <v>57</v>
      </c>
    </row>
    <row r="2618" spans="1:9">
      <c r="A2618" s="4" t="s">
        <v>5290</v>
      </c>
      <c r="B2618" s="4" t="s">
        <v>5291</v>
      </c>
      <c r="C2618" s="4" t="s">
        <v>31</v>
      </c>
      <c r="D2618" s="2">
        <f>1529503616/(10^6)</f>
        <v>1529.503616</v>
      </c>
      <c r="E2618" s="5">
        <v>114.382354736328</v>
      </c>
      <c r="F2618" s="5">
        <v>7.42662572860718</v>
      </c>
      <c r="G2618" s="5">
        <v>5.77680683135986</v>
      </c>
      <c r="H2618" s="5">
        <v>57.5914268493652</v>
      </c>
      <c r="I2618" t="s">
        <v>57</v>
      </c>
    </row>
    <row r="2619" spans="1:9">
      <c r="A2619" s="4" t="s">
        <v>5292</v>
      </c>
      <c r="B2619" s="4" t="s">
        <v>5293</v>
      </c>
      <c r="C2619" s="4" t="s">
        <v>41</v>
      </c>
      <c r="D2619" s="2">
        <f>1529063808/(10^6)</f>
        <v>1529.063808</v>
      </c>
      <c r="E2619" s="5">
        <v>13.8420791625977</v>
      </c>
      <c r="F2619" s="5">
        <v>1.04043090343475</v>
      </c>
      <c r="G2619" s="5">
        <v>0.265377134084702</v>
      </c>
      <c r="H2619" s="5">
        <v>11.7515325546265</v>
      </c>
      <c r="I2619" t="s">
        <v>57</v>
      </c>
    </row>
    <row r="2620" spans="1:9">
      <c r="A2620" s="4" t="s">
        <v>5294</v>
      </c>
      <c r="B2620" s="4" t="s">
        <v>5295</v>
      </c>
      <c r="C2620" s="4" t="s">
        <v>47</v>
      </c>
      <c r="D2620" s="2">
        <f>1527894784/(10^6)</f>
        <v>1527.894784</v>
      </c>
      <c r="E2620" s="5">
        <v>15.3551502227783</v>
      </c>
      <c r="F2620" s="5">
        <v>3.61479210853577</v>
      </c>
      <c r="G2620" s="5">
        <v>2.02066969871521</v>
      </c>
      <c r="H2620" s="5">
        <v>11.6381072998047</v>
      </c>
      <c r="I2620" t="s">
        <v>57</v>
      </c>
    </row>
    <row r="2621" spans="1:9">
      <c r="A2621" s="4" t="s">
        <v>5296</v>
      </c>
      <c r="B2621" s="4" t="s">
        <v>5297</v>
      </c>
      <c r="C2621" s="4" t="s">
        <v>31</v>
      </c>
      <c r="D2621" s="2">
        <f>1527159040/(10^6)</f>
        <v>1527.15904</v>
      </c>
      <c r="E2621" s="5">
        <v>10.5380430221558</v>
      </c>
      <c r="F2621" s="5">
        <v>374.317077636719</v>
      </c>
      <c r="G2621" s="5">
        <v>0.361715286970139</v>
      </c>
      <c r="H2621" s="5">
        <v>6.35008382797241</v>
      </c>
      <c r="I2621" t="s">
        <v>57</v>
      </c>
    </row>
    <row r="2622" spans="1:9">
      <c r="A2622" s="4" t="s">
        <v>5298</v>
      </c>
      <c r="B2622" s="4" t="s">
        <v>5299</v>
      </c>
      <c r="C2622" s="4" t="s">
        <v>47</v>
      </c>
      <c r="D2622" s="2">
        <f>1526741504/(10^6)</f>
        <v>1526.741504</v>
      </c>
      <c r="E2622" s="5">
        <v>44.9396438598633</v>
      </c>
      <c r="F2622" s="5">
        <v>5.10861158370972</v>
      </c>
      <c r="G2622" s="5">
        <v>2.14327025413513</v>
      </c>
      <c r="H2622" s="5">
        <v>17.2395267486572</v>
      </c>
      <c r="I2622" t="s">
        <v>57</v>
      </c>
    </row>
    <row r="2623" spans="1:9">
      <c r="A2623" s="4" t="s">
        <v>5300</v>
      </c>
      <c r="B2623" s="4" t="s">
        <v>5301</v>
      </c>
      <c r="C2623" s="4" t="s">
        <v>27</v>
      </c>
      <c r="D2623" s="2">
        <f>1524043904/(10^6)</f>
        <v>1524.043904</v>
      </c>
      <c r="E2623" s="5">
        <v>4.04432964324951</v>
      </c>
      <c r="F2623" s="5">
        <v>1.09407317638397</v>
      </c>
      <c r="G2623" s="5">
        <v>0.239406034350395</v>
      </c>
      <c r="H2623" s="5">
        <v>2.74976563453674</v>
      </c>
      <c r="I2623" t="s">
        <v>57</v>
      </c>
    </row>
    <row r="2624" spans="1:9">
      <c r="A2624" s="4" t="s">
        <v>5302</v>
      </c>
      <c r="B2624" s="4" t="s">
        <v>5303</v>
      </c>
      <c r="C2624" s="4" t="s">
        <v>51</v>
      </c>
      <c r="D2624" s="2">
        <f>1522329856/(10^6)</f>
        <v>1522.329856</v>
      </c>
      <c r="E2624" s="5">
        <v>32.2777786254883</v>
      </c>
      <c r="F2624" s="5">
        <v>4.59946489334106</v>
      </c>
      <c r="G2624" s="5">
        <v>3.57454586029053</v>
      </c>
      <c r="H2624" s="5">
        <v>16.6336345672607</v>
      </c>
      <c r="I2624" t="s">
        <v>57</v>
      </c>
    </row>
    <row r="2625" spans="1:9">
      <c r="A2625" s="4" t="s">
        <v>5304</v>
      </c>
      <c r="B2625" s="4" t="s">
        <v>5305</v>
      </c>
      <c r="C2625" s="4" t="s">
        <v>31</v>
      </c>
      <c r="D2625" s="2">
        <f>1520593152/(10^6)</f>
        <v>1520.593152</v>
      </c>
      <c r="E2625" s="5">
        <v>8.53953647613525</v>
      </c>
      <c r="F2625" s="5">
        <v>0.921242713928223</v>
      </c>
      <c r="G2625" s="5">
        <v>0.495357692241669</v>
      </c>
      <c r="H2625" s="5">
        <v>4.92470836639404</v>
      </c>
      <c r="I2625" t="s">
        <v>57</v>
      </c>
    </row>
    <row r="2626" spans="1:9">
      <c r="A2626" s="4" t="s">
        <v>5306</v>
      </c>
      <c r="B2626" s="4" t="s">
        <v>5307</v>
      </c>
      <c r="C2626" s="4" t="s">
        <v>43</v>
      </c>
      <c r="D2626" s="2">
        <f>1518925184/(10^6)</f>
        <v>1518.925184</v>
      </c>
      <c r="E2626" s="5">
        <v>10.8424463272095</v>
      </c>
      <c r="F2626" s="5">
        <v>0.986132562160492</v>
      </c>
      <c r="G2626" s="5">
        <v>6.09831809997559</v>
      </c>
      <c r="H2626" s="5">
        <v>13.8933515548706</v>
      </c>
      <c r="I2626" t="s">
        <v>57</v>
      </c>
    </row>
    <row r="2627" spans="1:9">
      <c r="A2627" s="4" t="s">
        <v>5308</v>
      </c>
      <c r="B2627" s="4" t="s">
        <v>5309</v>
      </c>
      <c r="C2627" s="4" t="s">
        <v>37</v>
      </c>
      <c r="D2627" s="2">
        <f>1514732288/(10^6)</f>
        <v>1514.732288</v>
      </c>
      <c r="E2627" s="5">
        <v>3.38148975372314</v>
      </c>
      <c r="F2627" s="5">
        <v>2.86761498451233</v>
      </c>
      <c r="G2627" s="5">
        <v>0.522979736328125</v>
      </c>
      <c r="H2627" s="5">
        <v>6.36845302581787</v>
      </c>
      <c r="I2627" t="s">
        <v>57</v>
      </c>
    </row>
    <row r="2628" spans="1:9">
      <c r="A2628" s="4" t="s">
        <v>5310</v>
      </c>
      <c r="B2628" s="4" t="s">
        <v>5311</v>
      </c>
      <c r="C2628" s="4" t="s">
        <v>43</v>
      </c>
      <c r="D2628" s="2">
        <f>1514181248/(10^6)</f>
        <v>1514.181248</v>
      </c>
      <c r="E2628" s="5">
        <v>18.7483215332031</v>
      </c>
      <c r="F2628" s="5">
        <v>2.06715726852417</v>
      </c>
      <c r="G2628" s="5">
        <v>7.30731678009033</v>
      </c>
      <c r="H2628" s="5" t="s">
        <v>86</v>
      </c>
      <c r="I2628" t="s">
        <v>57</v>
      </c>
    </row>
    <row r="2629" spans="1:9">
      <c r="A2629" s="4" t="s">
        <v>5312</v>
      </c>
      <c r="B2629" s="4" t="s">
        <v>5313</v>
      </c>
      <c r="C2629" s="4" t="s">
        <v>47</v>
      </c>
      <c r="D2629" s="2">
        <f>1512543872/(10^6)</f>
        <v>1512.543872</v>
      </c>
      <c r="E2629" s="5">
        <v>3.75475859642029</v>
      </c>
      <c r="F2629" s="5">
        <v>0.469253301620483</v>
      </c>
      <c r="G2629" s="5">
        <v>0.252152919769287</v>
      </c>
      <c r="H2629" s="5">
        <v>8.15385341644287</v>
      </c>
      <c r="I2629" t="s">
        <v>57</v>
      </c>
    </row>
    <row r="2630" spans="1:9">
      <c r="A2630" s="4" t="s">
        <v>5314</v>
      </c>
      <c r="B2630" s="4" t="s">
        <v>5315</v>
      </c>
      <c r="C2630" s="4" t="s">
        <v>41</v>
      </c>
      <c r="D2630" s="2">
        <f>1512393344/(10^6)</f>
        <v>1512.393344</v>
      </c>
      <c r="E2630" s="5" t="s">
        <v>86</v>
      </c>
      <c r="F2630" s="5">
        <v>3.73939061164856</v>
      </c>
      <c r="G2630" s="5" t="s">
        <v>86</v>
      </c>
      <c r="H2630" s="5" t="s">
        <v>86</v>
      </c>
      <c r="I2630" t="s">
        <v>57</v>
      </c>
    </row>
    <row r="2631" spans="1:9">
      <c r="A2631" s="4" t="s">
        <v>5316</v>
      </c>
      <c r="B2631" s="4" t="s">
        <v>5317</v>
      </c>
      <c r="C2631" s="4" t="s">
        <v>51</v>
      </c>
      <c r="D2631" s="2">
        <f>1511203200/(10^6)</f>
        <v>1511.2032</v>
      </c>
      <c r="E2631" s="5" t="s">
        <v>86</v>
      </c>
      <c r="F2631" s="5">
        <v>15.3832359313965</v>
      </c>
      <c r="G2631" s="5">
        <v>4.26524257659912</v>
      </c>
      <c r="H2631" s="5" t="s">
        <v>86</v>
      </c>
      <c r="I2631" t="s">
        <v>57</v>
      </c>
    </row>
    <row r="2632" spans="1:9">
      <c r="A2632" s="4" t="s">
        <v>5318</v>
      </c>
      <c r="B2632" s="4" t="s">
        <v>5319</v>
      </c>
      <c r="C2632" s="4" t="s">
        <v>35</v>
      </c>
      <c r="D2632" s="2">
        <f>1509409024/(10^6)</f>
        <v>1509.409024</v>
      </c>
      <c r="E2632" s="5">
        <v>25.0628261566162</v>
      </c>
      <c r="F2632" s="5">
        <v>3.22332310676575</v>
      </c>
      <c r="G2632" s="5">
        <v>2.11008167266846</v>
      </c>
      <c r="H2632" s="5">
        <v>11.1172494888306</v>
      </c>
      <c r="I2632" t="s">
        <v>57</v>
      </c>
    </row>
    <row r="2633" spans="1:9">
      <c r="A2633" s="4" t="s">
        <v>5320</v>
      </c>
      <c r="B2633" s="4" t="s">
        <v>5321</v>
      </c>
      <c r="C2633" s="4" t="s">
        <v>51</v>
      </c>
      <c r="D2633" s="2">
        <f>1501223680/(10^6)</f>
        <v>1501.22368</v>
      </c>
      <c r="E2633" s="5">
        <v>13.1702632904053</v>
      </c>
      <c r="F2633" s="5">
        <v>1.6451553106308</v>
      </c>
      <c r="G2633" s="5">
        <v>0.466919779777527</v>
      </c>
      <c r="H2633" s="5">
        <v>7.77681493759155</v>
      </c>
      <c r="I2633" t="s">
        <v>57</v>
      </c>
    </row>
    <row r="2634" spans="1:9">
      <c r="A2634" s="4" t="s">
        <v>5322</v>
      </c>
      <c r="B2634" s="4" t="s">
        <v>5323</v>
      </c>
      <c r="C2634" s="4" t="s">
        <v>47</v>
      </c>
      <c r="D2634" s="2">
        <f>1498709120/(10^6)</f>
        <v>1498.70912</v>
      </c>
      <c r="E2634" s="5">
        <v>6.03493118286133</v>
      </c>
      <c r="F2634" s="5">
        <v>0.760696411132813</v>
      </c>
      <c r="G2634" s="5">
        <v>0.408929735422134</v>
      </c>
      <c r="H2634" s="5">
        <v>6.52236366271973</v>
      </c>
      <c r="I2634" t="s">
        <v>57</v>
      </c>
    </row>
    <row r="2635" spans="1:9">
      <c r="A2635" s="4" t="s">
        <v>5324</v>
      </c>
      <c r="B2635" s="4" t="s">
        <v>5325</v>
      </c>
      <c r="C2635" s="4" t="s">
        <v>45</v>
      </c>
      <c r="D2635" s="2">
        <f>1498355072/(10^6)</f>
        <v>1498.355072</v>
      </c>
      <c r="E2635" s="5" t="s">
        <v>86</v>
      </c>
      <c r="F2635" s="5">
        <v>4.5147500038147</v>
      </c>
      <c r="G2635" s="5">
        <v>1.8930184841156</v>
      </c>
      <c r="H2635" s="5" t="s">
        <v>86</v>
      </c>
      <c r="I2635" t="s">
        <v>57</v>
      </c>
    </row>
    <row r="2636" spans="1:9">
      <c r="A2636" s="4" t="s">
        <v>5326</v>
      </c>
      <c r="B2636" s="4" t="s">
        <v>5327</v>
      </c>
      <c r="C2636" s="4" t="s">
        <v>27</v>
      </c>
      <c r="D2636" s="2">
        <f>1495014272/(10^6)</f>
        <v>1495.014272</v>
      </c>
      <c r="E2636" s="5" t="s">
        <v>86</v>
      </c>
      <c r="F2636" s="5" t="s">
        <v>86</v>
      </c>
      <c r="G2636" s="5" t="s">
        <v>86</v>
      </c>
      <c r="H2636" s="5" t="s">
        <v>86</v>
      </c>
      <c r="I2636" t="s">
        <v>57</v>
      </c>
    </row>
    <row r="2637" spans="1:9">
      <c r="A2637" s="4" t="s">
        <v>5328</v>
      </c>
      <c r="B2637" s="4" t="s">
        <v>5329</v>
      </c>
      <c r="C2637" s="4" t="s">
        <v>31</v>
      </c>
      <c r="D2637" s="2">
        <f>1489678336/(10^6)</f>
        <v>1489.678336</v>
      </c>
      <c r="E2637" s="5">
        <v>9.24832725524902</v>
      </c>
      <c r="F2637" s="5">
        <v>1.14043915271759</v>
      </c>
      <c r="G2637" s="5">
        <v>0.668442726135254</v>
      </c>
      <c r="H2637" s="5">
        <v>7.91115140914917</v>
      </c>
      <c r="I2637" t="s">
        <v>57</v>
      </c>
    </row>
    <row r="2638" spans="1:9">
      <c r="A2638" s="4" t="s">
        <v>5330</v>
      </c>
      <c r="B2638" s="4" t="s">
        <v>5331</v>
      </c>
      <c r="C2638" s="4" t="s">
        <v>51</v>
      </c>
      <c r="D2638" s="2">
        <f>1488778624/(10^6)</f>
        <v>1488.778624</v>
      </c>
      <c r="E2638" s="5">
        <v>18.5645503997803</v>
      </c>
      <c r="F2638" s="5">
        <v>4.53946971893311</v>
      </c>
      <c r="G2638" s="5">
        <v>3.41058540344238</v>
      </c>
      <c r="H2638" s="5">
        <v>14.9415979385376</v>
      </c>
      <c r="I2638" t="s">
        <v>57</v>
      </c>
    </row>
    <row r="2639" spans="1:9">
      <c r="A2639" s="4" t="s">
        <v>5332</v>
      </c>
      <c r="B2639" s="4" t="s">
        <v>5333</v>
      </c>
      <c r="C2639" s="4" t="s">
        <v>31</v>
      </c>
      <c r="D2639" s="2">
        <f>1488233216/(10^6)</f>
        <v>1488.233216</v>
      </c>
      <c r="E2639" s="5">
        <v>6.48086452484131</v>
      </c>
      <c r="F2639" s="5">
        <v>1.67746925354004</v>
      </c>
      <c r="G2639" s="5">
        <v>0.791503429412842</v>
      </c>
      <c r="H2639" s="5">
        <v>4.73295831680298</v>
      </c>
      <c r="I2639" t="s">
        <v>57</v>
      </c>
    </row>
    <row r="2640" spans="1:9">
      <c r="A2640" s="4" t="s">
        <v>5334</v>
      </c>
      <c r="B2640" s="4" t="s">
        <v>5335</v>
      </c>
      <c r="C2640" s="4" t="s">
        <v>47</v>
      </c>
      <c r="D2640" s="2">
        <f>1485221760/(10^6)</f>
        <v>1485.22176</v>
      </c>
      <c r="E2640" s="5">
        <v>6.82006216049194</v>
      </c>
      <c r="F2640" s="5">
        <v>2.59757804870606</v>
      </c>
      <c r="G2640" s="5">
        <v>0.838448166847229</v>
      </c>
      <c r="H2640" s="5">
        <v>6.04450082778931</v>
      </c>
      <c r="I2640" t="s">
        <v>57</v>
      </c>
    </row>
    <row r="2641" spans="1:9">
      <c r="A2641" s="4" t="s">
        <v>5336</v>
      </c>
      <c r="B2641" s="4" t="s">
        <v>5337</v>
      </c>
      <c r="C2641" s="4" t="s">
        <v>43</v>
      </c>
      <c r="D2641" s="2">
        <f>1485186816/(10^6)</f>
        <v>1485.186816</v>
      </c>
      <c r="E2641" s="5">
        <v>10.0181159973145</v>
      </c>
      <c r="F2641" s="5">
        <v>1.76263856887817</v>
      </c>
      <c r="G2641" s="5">
        <v>3.57772994041443</v>
      </c>
      <c r="H2641" s="5" t="s">
        <v>86</v>
      </c>
      <c r="I2641" t="s">
        <v>57</v>
      </c>
    </row>
    <row r="2642" spans="1:9">
      <c r="A2642" s="4" t="s">
        <v>5338</v>
      </c>
      <c r="B2642" s="4" t="s">
        <v>5339</v>
      </c>
      <c r="C2642" s="4" t="s">
        <v>43</v>
      </c>
      <c r="D2642" s="2">
        <f>1475309824/(10^6)</f>
        <v>1475.309824</v>
      </c>
      <c r="E2642" s="5" t="s">
        <v>86</v>
      </c>
      <c r="F2642" s="5">
        <v>1.71775138378143</v>
      </c>
      <c r="G2642" s="5" t="s">
        <v>86</v>
      </c>
      <c r="H2642" s="5" t="s">
        <v>86</v>
      </c>
      <c r="I2642" t="s">
        <v>57</v>
      </c>
    </row>
    <row r="2643" spans="1:9">
      <c r="A2643" s="4" t="s">
        <v>5340</v>
      </c>
      <c r="B2643" s="4" t="s">
        <v>5341</v>
      </c>
      <c r="C2643" s="4" t="s">
        <v>43</v>
      </c>
      <c r="D2643" s="2">
        <f>1473425280/(10^6)</f>
        <v>1473.42528</v>
      </c>
      <c r="E2643" s="5">
        <v>7.48000001907349</v>
      </c>
      <c r="F2643" s="5">
        <v>0.65552431344986</v>
      </c>
      <c r="G2643" s="5">
        <v>1.99015986919403</v>
      </c>
      <c r="H2643" s="5" t="s">
        <v>86</v>
      </c>
      <c r="I2643" t="s">
        <v>57</v>
      </c>
    </row>
    <row r="2644" spans="1:9">
      <c r="A2644" s="4" t="s">
        <v>5342</v>
      </c>
      <c r="B2644" s="4" t="s">
        <v>5343</v>
      </c>
      <c r="C2644" s="4" t="s">
        <v>43</v>
      </c>
      <c r="D2644" s="2">
        <f>1472767104/(10^6)</f>
        <v>1472.767104</v>
      </c>
      <c r="E2644" s="5">
        <v>7.88098526000977</v>
      </c>
      <c r="F2644" s="5">
        <v>0.914402365684509</v>
      </c>
      <c r="G2644" s="5">
        <v>2.27427530288696</v>
      </c>
      <c r="H2644" s="5" t="s">
        <v>86</v>
      </c>
      <c r="I2644" t="s">
        <v>57</v>
      </c>
    </row>
    <row r="2645" spans="1:9">
      <c r="A2645" s="4" t="s">
        <v>5344</v>
      </c>
      <c r="B2645" s="4" t="s">
        <v>5345</v>
      </c>
      <c r="C2645" s="4" t="s">
        <v>37</v>
      </c>
      <c r="D2645" s="2">
        <f>1471861376/(10^6)</f>
        <v>1471.861376</v>
      </c>
      <c r="E2645" s="5">
        <v>16.5062580108643</v>
      </c>
      <c r="F2645" s="5">
        <v>0.825178027153015</v>
      </c>
      <c r="G2645" s="5">
        <v>0.922608196735382</v>
      </c>
      <c r="H2645" s="5">
        <v>8.65575504302979</v>
      </c>
      <c r="I2645" t="s">
        <v>57</v>
      </c>
    </row>
    <row r="2646" spans="1:9">
      <c r="A2646" s="4" t="s">
        <v>5346</v>
      </c>
      <c r="B2646" s="4" t="s">
        <v>5347</v>
      </c>
      <c r="C2646" s="4" t="s">
        <v>47</v>
      </c>
      <c r="D2646" s="2">
        <f>1470588032/(10^6)</f>
        <v>1470.588032</v>
      </c>
      <c r="E2646" s="5">
        <v>19.8639068603516</v>
      </c>
      <c r="F2646" s="5">
        <v>0.338441729545593</v>
      </c>
      <c r="G2646" s="5">
        <v>0.09987086057663</v>
      </c>
      <c r="H2646" s="5">
        <v>4.31925773620605</v>
      </c>
      <c r="I2646" t="s">
        <v>57</v>
      </c>
    </row>
    <row r="2647" spans="1:9">
      <c r="A2647" s="4" t="s">
        <v>5348</v>
      </c>
      <c r="B2647" s="4" t="s">
        <v>5349</v>
      </c>
      <c r="C2647" s="4" t="s">
        <v>27</v>
      </c>
      <c r="D2647" s="2">
        <f>1467720064/(10^6)</f>
        <v>1467.720064</v>
      </c>
      <c r="E2647" s="5">
        <v>7.9109354019165</v>
      </c>
      <c r="F2647" s="5">
        <v>0.773956894874573</v>
      </c>
      <c r="G2647" s="5">
        <v>0.040270052850246</v>
      </c>
      <c r="H2647" s="5">
        <v>4.87973880767822</v>
      </c>
      <c r="I2647" t="s">
        <v>57</v>
      </c>
    </row>
    <row r="2648" spans="1:9">
      <c r="A2648" s="4" t="s">
        <v>5350</v>
      </c>
      <c r="B2648" s="4" t="s">
        <v>5351</v>
      </c>
      <c r="C2648" s="4" t="s">
        <v>31</v>
      </c>
      <c r="D2648" s="2">
        <f>1465211648/(10^6)</f>
        <v>1465.211648</v>
      </c>
      <c r="E2648" s="5">
        <v>10.2405385971069</v>
      </c>
      <c r="F2648" s="5">
        <v>0.941141605377197</v>
      </c>
      <c r="G2648" s="5">
        <v>0.225530430674553</v>
      </c>
      <c r="H2648" s="5">
        <v>7.21714353561401</v>
      </c>
      <c r="I2648" t="s">
        <v>57</v>
      </c>
    </row>
    <row r="2649" spans="1:9">
      <c r="A2649" s="4" t="s">
        <v>5352</v>
      </c>
      <c r="B2649" s="4" t="s">
        <v>5353</v>
      </c>
      <c r="C2649" s="4" t="s">
        <v>43</v>
      </c>
      <c r="D2649" s="2">
        <f>1464302592/(10^6)</f>
        <v>1464.302592</v>
      </c>
      <c r="E2649" s="5">
        <v>9.82832622528076</v>
      </c>
      <c r="F2649" s="5">
        <v>0.88527774810791</v>
      </c>
      <c r="G2649" s="5">
        <v>2.11200475692749</v>
      </c>
      <c r="H2649" s="5" t="s">
        <v>86</v>
      </c>
      <c r="I2649" t="s">
        <v>57</v>
      </c>
    </row>
    <row r="2650" spans="1:9">
      <c r="A2650" s="4" t="s">
        <v>5354</v>
      </c>
      <c r="B2650" s="4" t="s">
        <v>5355</v>
      </c>
      <c r="C2650" s="4" t="s">
        <v>31</v>
      </c>
      <c r="D2650" s="2">
        <f>1461390720/(10^6)</f>
        <v>1461.39072</v>
      </c>
      <c r="E2650" s="5">
        <v>30.4976196289062</v>
      </c>
      <c r="F2650" s="5">
        <v>2.13379001617432</v>
      </c>
      <c r="G2650" s="5">
        <v>2.4465024471283</v>
      </c>
      <c r="H2650" s="5">
        <v>6.29821538925171</v>
      </c>
      <c r="I2650" t="s">
        <v>57</v>
      </c>
    </row>
    <row r="2651" spans="1:9">
      <c r="A2651" s="4" t="s">
        <v>5356</v>
      </c>
      <c r="B2651" s="4" t="s">
        <v>5357</v>
      </c>
      <c r="C2651" s="4" t="s">
        <v>31</v>
      </c>
      <c r="D2651" s="2">
        <f>1458693376/(10^6)</f>
        <v>1458.693376</v>
      </c>
      <c r="E2651" s="5">
        <v>12.5880966186523</v>
      </c>
      <c r="F2651" s="5">
        <v>1.34732472896576</v>
      </c>
      <c r="G2651" s="5">
        <v>0.3864686191082</v>
      </c>
      <c r="H2651" s="5">
        <v>5.76961612701416</v>
      </c>
      <c r="I2651" t="s">
        <v>57</v>
      </c>
    </row>
    <row r="2652" spans="1:9">
      <c r="A2652" s="4" t="s">
        <v>5358</v>
      </c>
      <c r="B2652" s="4" t="s">
        <v>5359</v>
      </c>
      <c r="C2652" s="4" t="s">
        <v>41</v>
      </c>
      <c r="D2652" s="2">
        <f>1458440192/(10^6)</f>
        <v>1458.440192</v>
      </c>
      <c r="E2652" s="5">
        <v>77.9567565917969</v>
      </c>
      <c r="F2652" s="5">
        <v>2.15419125556946</v>
      </c>
      <c r="G2652" s="5">
        <v>5.25830936431885</v>
      </c>
      <c r="H2652" s="5" t="s">
        <v>86</v>
      </c>
      <c r="I2652" t="s">
        <v>57</v>
      </c>
    </row>
    <row r="2653" spans="1:9">
      <c r="A2653" s="4" t="s">
        <v>5360</v>
      </c>
      <c r="B2653" s="4" t="s">
        <v>5361</v>
      </c>
      <c r="C2653" s="4" t="s">
        <v>47</v>
      </c>
      <c r="D2653" s="2">
        <f>1457567104/(10^6)</f>
        <v>1457.567104</v>
      </c>
      <c r="E2653" s="5">
        <v>18.7978343963623</v>
      </c>
      <c r="F2653" s="5">
        <v>3.03450012207031</v>
      </c>
      <c r="G2653" s="5">
        <v>0.495025902986526</v>
      </c>
      <c r="H2653" s="5">
        <v>7.0662431716919</v>
      </c>
      <c r="I2653" t="s">
        <v>57</v>
      </c>
    </row>
    <row r="2654" spans="1:9">
      <c r="A2654" s="4" t="s">
        <v>5362</v>
      </c>
      <c r="B2654" s="4" t="s">
        <v>5363</v>
      </c>
      <c r="C2654" s="4" t="s">
        <v>51</v>
      </c>
      <c r="D2654" s="2">
        <f>1452057856/(10^6)</f>
        <v>1452.057856</v>
      </c>
      <c r="E2654" s="5" t="s">
        <v>86</v>
      </c>
      <c r="F2654" s="5">
        <v>9.73388862609863</v>
      </c>
      <c r="G2654" s="5">
        <v>4.86444425582886</v>
      </c>
      <c r="H2654" s="5" t="s">
        <v>86</v>
      </c>
      <c r="I2654" t="s">
        <v>57</v>
      </c>
    </row>
    <row r="2655" spans="1:9">
      <c r="A2655" s="4" t="s">
        <v>5364</v>
      </c>
      <c r="B2655" s="4" t="s">
        <v>5365</v>
      </c>
      <c r="C2655" s="4" t="s">
        <v>33</v>
      </c>
      <c r="D2655" s="2">
        <f>1440954752/(10^6)</f>
        <v>1440.954752</v>
      </c>
      <c r="E2655" s="5">
        <v>5.86393404006958</v>
      </c>
      <c r="F2655" s="5">
        <v>1.00358784198761</v>
      </c>
      <c r="G2655" s="5">
        <v>0.435975521802902</v>
      </c>
      <c r="H2655" s="5">
        <v>4.5452299118042</v>
      </c>
      <c r="I2655" t="s">
        <v>57</v>
      </c>
    </row>
    <row r="2656" spans="1:9">
      <c r="A2656" s="4" t="s">
        <v>5366</v>
      </c>
      <c r="B2656" s="4" t="s">
        <v>5367</v>
      </c>
      <c r="C2656" s="4" t="s">
        <v>51</v>
      </c>
      <c r="D2656" s="2">
        <f>1439360640/(10^6)</f>
        <v>1439.36064</v>
      </c>
      <c r="E2656" s="5">
        <v>28.6756744384766</v>
      </c>
      <c r="F2656" s="5">
        <v>5.77836179733276</v>
      </c>
      <c r="G2656" s="5">
        <v>4.00709533691406</v>
      </c>
      <c r="H2656" s="5">
        <v>15.2931451797485</v>
      </c>
      <c r="I2656" t="s">
        <v>57</v>
      </c>
    </row>
    <row r="2657" spans="1:9">
      <c r="A2657" s="4" t="s">
        <v>5368</v>
      </c>
      <c r="B2657" s="4" t="s">
        <v>5369</v>
      </c>
      <c r="C2657" s="4" t="s">
        <v>31</v>
      </c>
      <c r="D2657" s="2">
        <f>1438168192/(10^6)</f>
        <v>1438.168192</v>
      </c>
      <c r="E2657" s="5">
        <v>6.42153406143188</v>
      </c>
      <c r="F2657" s="5">
        <v>1.71864211559296</v>
      </c>
      <c r="G2657" s="5">
        <v>0.534829914569855</v>
      </c>
      <c r="H2657" s="5">
        <v>5.71123886108398</v>
      </c>
      <c r="I2657" t="s">
        <v>57</v>
      </c>
    </row>
    <row r="2658" spans="1:9">
      <c r="A2658" s="4" t="s">
        <v>5370</v>
      </c>
      <c r="B2658" s="4" t="s">
        <v>5371</v>
      </c>
      <c r="C2658" s="4" t="s">
        <v>51</v>
      </c>
      <c r="D2658" s="2">
        <f>1435283456/(10^6)</f>
        <v>1435.283456</v>
      </c>
      <c r="E2658" s="5" t="s">
        <v>86</v>
      </c>
      <c r="F2658" s="5">
        <v>3.2926664352417</v>
      </c>
      <c r="G2658" s="5">
        <v>4.91495800018311</v>
      </c>
      <c r="H2658" s="5">
        <v>125.928657531738</v>
      </c>
      <c r="I2658" t="s">
        <v>57</v>
      </c>
    </row>
    <row r="2659" spans="1:9">
      <c r="A2659" s="4" t="s">
        <v>5372</v>
      </c>
      <c r="B2659" s="4" t="s">
        <v>5373</v>
      </c>
      <c r="C2659" s="4" t="s">
        <v>51</v>
      </c>
      <c r="D2659" s="2">
        <f>1434047232/(10^6)</f>
        <v>1434.047232</v>
      </c>
      <c r="E2659" s="5">
        <v>52.4491310119629</v>
      </c>
      <c r="F2659" s="5">
        <v>1.13229298591614</v>
      </c>
      <c r="G2659" s="5">
        <v>2.53633809089661</v>
      </c>
      <c r="H2659" s="5">
        <v>127.20548248291</v>
      </c>
      <c r="I2659" t="s">
        <v>57</v>
      </c>
    </row>
    <row r="2660" spans="1:9">
      <c r="A2660" s="4" t="s">
        <v>5374</v>
      </c>
      <c r="B2660" s="4" t="s">
        <v>5375</v>
      </c>
      <c r="C2660" s="4" t="s">
        <v>47</v>
      </c>
      <c r="D2660" s="2">
        <f>1426542464/(10^6)</f>
        <v>1426.542464</v>
      </c>
      <c r="E2660" s="5">
        <v>7.39044332504272</v>
      </c>
      <c r="F2660" s="5">
        <v>0.980202376842499</v>
      </c>
      <c r="G2660" s="5">
        <v>0.363960534334183</v>
      </c>
      <c r="H2660" s="5">
        <v>3.62094831466675</v>
      </c>
      <c r="I2660" t="s">
        <v>57</v>
      </c>
    </row>
    <row r="2661" spans="1:9">
      <c r="A2661" s="4" t="s">
        <v>5376</v>
      </c>
      <c r="B2661" s="4" t="s">
        <v>5377</v>
      </c>
      <c r="C2661" s="4" t="s">
        <v>41</v>
      </c>
      <c r="D2661" s="2">
        <f>1420684672/(10^6)</f>
        <v>1420.684672</v>
      </c>
      <c r="E2661" s="5" t="s">
        <v>86</v>
      </c>
      <c r="F2661" s="5">
        <v>25.7153148651123</v>
      </c>
      <c r="G2661" s="5">
        <v>29.9722938537598</v>
      </c>
      <c r="H2661" s="5" t="s">
        <v>86</v>
      </c>
      <c r="I2661" t="s">
        <v>57</v>
      </c>
    </row>
    <row r="2662" spans="1:9">
      <c r="A2662" s="4" t="s">
        <v>5378</v>
      </c>
      <c r="B2662" s="4" t="s">
        <v>5379</v>
      </c>
      <c r="C2662" s="4" t="s">
        <v>41</v>
      </c>
      <c r="D2662" s="2">
        <f>1420394880/(10^6)</f>
        <v>1420.39488</v>
      </c>
      <c r="E2662" s="5" t="s">
        <v>86</v>
      </c>
      <c r="F2662" s="5">
        <v>5.89827585220337</v>
      </c>
      <c r="G2662" s="5" t="s">
        <v>86</v>
      </c>
      <c r="H2662" s="5" t="s">
        <v>86</v>
      </c>
      <c r="I2662" t="s">
        <v>57</v>
      </c>
    </row>
    <row r="2663" spans="1:9">
      <c r="A2663" s="4" t="s">
        <v>5380</v>
      </c>
      <c r="B2663" s="4" t="s">
        <v>5381</v>
      </c>
      <c r="C2663" s="4" t="s">
        <v>37</v>
      </c>
      <c r="D2663" s="2">
        <f>1419257088/(10^6)</f>
        <v>1419.257088</v>
      </c>
      <c r="E2663" s="5">
        <v>6.72002983093262</v>
      </c>
      <c r="F2663" s="5">
        <v>1.38135504722595</v>
      </c>
      <c r="G2663" s="5">
        <v>0.447668731212616</v>
      </c>
      <c r="H2663" s="5">
        <v>5.7450156211853</v>
      </c>
      <c r="I2663" t="s">
        <v>57</v>
      </c>
    </row>
    <row r="2664" spans="1:9">
      <c r="A2664" s="4" t="s">
        <v>5382</v>
      </c>
      <c r="B2664" s="4" t="s">
        <v>5383</v>
      </c>
      <c r="C2664" s="4" t="s">
        <v>37</v>
      </c>
      <c r="D2664" s="2">
        <f>1400131840/(10^6)</f>
        <v>1400.13184</v>
      </c>
      <c r="E2664" s="5">
        <v>6.04064607620239</v>
      </c>
      <c r="F2664" s="5">
        <v>2.63737893104553</v>
      </c>
      <c r="G2664" s="5">
        <v>1.08538973331451</v>
      </c>
      <c r="H2664" s="5">
        <v>6.70463752746582</v>
      </c>
      <c r="I2664" t="s">
        <v>57</v>
      </c>
    </row>
    <row r="2665" spans="1:9">
      <c r="A2665" s="4" t="s">
        <v>5384</v>
      </c>
      <c r="B2665" s="4" t="s">
        <v>5385</v>
      </c>
      <c r="C2665" s="4" t="s">
        <v>51</v>
      </c>
      <c r="D2665" s="2">
        <f>1399248768/(10^6)</f>
        <v>1399.248768</v>
      </c>
      <c r="E2665" s="5" t="s">
        <v>86</v>
      </c>
      <c r="F2665" s="5">
        <v>8.35312271118164</v>
      </c>
      <c r="G2665" s="5">
        <v>5.19800329208374</v>
      </c>
      <c r="H2665" s="5" t="s">
        <v>86</v>
      </c>
      <c r="I2665" t="s">
        <v>57</v>
      </c>
    </row>
    <row r="2666" spans="1:9">
      <c r="A2666" s="4" t="s">
        <v>5386</v>
      </c>
      <c r="B2666" s="4" t="s">
        <v>5387</v>
      </c>
      <c r="C2666" s="4" t="s">
        <v>51</v>
      </c>
      <c r="D2666" s="2">
        <f>1398535552/(10^6)</f>
        <v>1398.535552</v>
      </c>
      <c r="E2666" s="5" t="s">
        <v>86</v>
      </c>
      <c r="F2666" s="5">
        <v>1.96449780464172</v>
      </c>
      <c r="G2666" s="5">
        <v>2.35362911224365</v>
      </c>
      <c r="H2666" s="5" t="s">
        <v>86</v>
      </c>
      <c r="I2666" t="s">
        <v>57</v>
      </c>
    </row>
    <row r="2667" spans="1:9">
      <c r="A2667" s="4" t="s">
        <v>5388</v>
      </c>
      <c r="B2667" s="4" t="s">
        <v>5389</v>
      </c>
      <c r="C2667" s="4" t="s">
        <v>43</v>
      </c>
      <c r="D2667" s="2">
        <f>1398263680/(10^6)</f>
        <v>1398.26368</v>
      </c>
      <c r="E2667" s="5">
        <v>14.0473718643188</v>
      </c>
      <c r="F2667" s="5">
        <v>1.47987115383148</v>
      </c>
      <c r="G2667" s="5">
        <v>1.24918866157532</v>
      </c>
      <c r="H2667" s="5">
        <v>0.58064877986908</v>
      </c>
      <c r="I2667" t="s">
        <v>57</v>
      </c>
    </row>
    <row r="2668" spans="1:9">
      <c r="A2668" s="4" t="s">
        <v>5390</v>
      </c>
      <c r="B2668" s="4" t="s">
        <v>5391</v>
      </c>
      <c r="C2668" s="4" t="s">
        <v>51</v>
      </c>
      <c r="D2668" s="2">
        <f>1398236928/(10^6)</f>
        <v>1398.236928</v>
      </c>
      <c r="E2668" s="5">
        <v>8.17455863952637</v>
      </c>
      <c r="F2668" s="5">
        <v>1.20499539375305</v>
      </c>
      <c r="G2668" s="5">
        <v>0.182160258293152</v>
      </c>
      <c r="H2668" s="5">
        <v>7.2125072479248</v>
      </c>
      <c r="I2668" t="s">
        <v>57</v>
      </c>
    </row>
    <row r="2669" spans="1:9">
      <c r="A2669" s="4" t="s">
        <v>5392</v>
      </c>
      <c r="B2669" s="4" t="s">
        <v>5393</v>
      </c>
      <c r="C2669" s="4" t="s">
        <v>51</v>
      </c>
      <c r="D2669" s="2">
        <f>1397265536/(10^6)</f>
        <v>1397.265536</v>
      </c>
      <c r="E2669" s="5">
        <v>8.82363128662109</v>
      </c>
      <c r="F2669" s="5">
        <v>2.03290581703186</v>
      </c>
      <c r="G2669" s="5">
        <v>1.05889737606049</v>
      </c>
      <c r="H2669" s="5">
        <v>5.94254922866821</v>
      </c>
      <c r="I2669" t="s">
        <v>57</v>
      </c>
    </row>
    <row r="2670" spans="1:9">
      <c r="A2670" s="4" t="s">
        <v>5394</v>
      </c>
      <c r="B2670" s="4" t="s">
        <v>5395</v>
      </c>
      <c r="C2670" s="4" t="s">
        <v>41</v>
      </c>
      <c r="D2670" s="2">
        <f>1394751744/(10^6)</f>
        <v>1394.751744</v>
      </c>
      <c r="E2670" s="5">
        <v>134.361328125</v>
      </c>
      <c r="F2670" s="5">
        <v>8.69616889953613</v>
      </c>
      <c r="G2670" s="5">
        <v>9.19118785858154</v>
      </c>
      <c r="H2670" s="5">
        <v>70.1815719604492</v>
      </c>
      <c r="I2670" t="s">
        <v>57</v>
      </c>
    </row>
    <row r="2671" spans="1:9">
      <c r="A2671" s="4" t="s">
        <v>5396</v>
      </c>
      <c r="B2671" s="4" t="s">
        <v>5397</v>
      </c>
      <c r="C2671" s="4" t="s">
        <v>41</v>
      </c>
      <c r="D2671" s="2">
        <f>1394365952/(10^6)</f>
        <v>1394.365952</v>
      </c>
      <c r="E2671" s="5" t="s">
        <v>86</v>
      </c>
      <c r="F2671" s="5">
        <v>3.66672515869141</v>
      </c>
      <c r="G2671" s="5">
        <v>5.94150495529175</v>
      </c>
      <c r="H2671" s="5" t="s">
        <v>86</v>
      </c>
      <c r="I2671" t="s">
        <v>57</v>
      </c>
    </row>
    <row r="2672" spans="1:9">
      <c r="A2672" s="4" t="s">
        <v>5398</v>
      </c>
      <c r="B2672" s="4" t="s">
        <v>5399</v>
      </c>
      <c r="C2672" s="4" t="s">
        <v>31</v>
      </c>
      <c r="D2672" s="2">
        <f>1392015744/(10^6)</f>
        <v>1392.015744</v>
      </c>
      <c r="E2672" s="5">
        <v>16.0625171661377</v>
      </c>
      <c r="F2672" s="5">
        <v>2.38703060150146</v>
      </c>
      <c r="G2672" s="5">
        <v>0.989399671554565</v>
      </c>
      <c r="H2672" s="5">
        <v>7.12400150299072</v>
      </c>
      <c r="I2672" t="s">
        <v>57</v>
      </c>
    </row>
    <row r="2673" spans="1:9">
      <c r="A2673" s="4" t="s">
        <v>5400</v>
      </c>
      <c r="B2673" s="4" t="s">
        <v>5401</v>
      </c>
      <c r="C2673" s="4" t="s">
        <v>43</v>
      </c>
      <c r="D2673" s="2">
        <f>1390276736/(10^6)</f>
        <v>1390.276736</v>
      </c>
      <c r="E2673" s="5">
        <v>15.9300565719604</v>
      </c>
      <c r="F2673" s="5">
        <v>0.88644951581955</v>
      </c>
      <c r="G2673" s="5">
        <v>0.984709858894348</v>
      </c>
      <c r="H2673" s="5" t="s">
        <v>86</v>
      </c>
      <c r="I2673" t="s">
        <v>57</v>
      </c>
    </row>
    <row r="2674" spans="1:9">
      <c r="A2674" s="4" t="s">
        <v>5402</v>
      </c>
      <c r="B2674" s="4" t="s">
        <v>5403</v>
      </c>
      <c r="C2674" s="4" t="s">
        <v>41</v>
      </c>
      <c r="D2674" s="2">
        <f>1389825408/(10^6)</f>
        <v>1389.825408</v>
      </c>
      <c r="E2674" s="5">
        <v>17.2003746032715</v>
      </c>
      <c r="F2674" s="5">
        <v>1.94151997566223</v>
      </c>
      <c r="G2674" s="5">
        <v>1.36823344230652</v>
      </c>
      <c r="H2674" s="5">
        <v>20.6309547424316</v>
      </c>
      <c r="I2674" t="s">
        <v>57</v>
      </c>
    </row>
    <row r="2675" spans="1:9">
      <c r="A2675" s="4" t="s">
        <v>5404</v>
      </c>
      <c r="B2675" s="4" t="s">
        <v>5405</v>
      </c>
      <c r="C2675" s="4" t="s">
        <v>43</v>
      </c>
      <c r="D2675" s="2">
        <f>1389372928/(10^6)</f>
        <v>1389.372928</v>
      </c>
      <c r="E2675" s="5">
        <v>7.89655208587646</v>
      </c>
      <c r="F2675" s="5">
        <v>0.781171321868896</v>
      </c>
      <c r="G2675" s="5">
        <v>2.3460648059845</v>
      </c>
      <c r="H2675" s="5" t="s">
        <v>86</v>
      </c>
      <c r="I2675" t="s">
        <v>57</v>
      </c>
    </row>
    <row r="2676" spans="1:9">
      <c r="A2676" s="4" t="s">
        <v>5406</v>
      </c>
      <c r="B2676" s="4" t="s">
        <v>5407</v>
      </c>
      <c r="C2676" s="4" t="s">
        <v>31</v>
      </c>
      <c r="D2676" s="2">
        <f>1387218688/(10^6)</f>
        <v>1387.218688</v>
      </c>
      <c r="E2676" s="5">
        <v>16.5840682983398</v>
      </c>
      <c r="F2676" s="5">
        <v>2.11130118370056</v>
      </c>
      <c r="G2676" s="5">
        <v>1.32606041431427</v>
      </c>
      <c r="H2676" s="5">
        <v>10.1330032348633</v>
      </c>
      <c r="I2676" t="s">
        <v>57</v>
      </c>
    </row>
    <row r="2677" spans="1:9">
      <c r="A2677" s="4" t="s">
        <v>5408</v>
      </c>
      <c r="B2677" s="4" t="s">
        <v>5409</v>
      </c>
      <c r="C2677" s="4" t="s">
        <v>31</v>
      </c>
      <c r="D2677" s="2">
        <f>1383283456/(10^6)</f>
        <v>1383.283456</v>
      </c>
      <c r="E2677" s="5">
        <v>20.9390068054199</v>
      </c>
      <c r="F2677" s="5">
        <v>0.569937765598297</v>
      </c>
      <c r="G2677" s="5">
        <v>0.155343934893608</v>
      </c>
      <c r="H2677" s="5">
        <v>4.22000360488892</v>
      </c>
      <c r="I2677" t="s">
        <v>57</v>
      </c>
    </row>
    <row r="2678" spans="1:9">
      <c r="A2678" s="4" t="s">
        <v>5410</v>
      </c>
      <c r="B2678" s="4" t="s">
        <v>5411</v>
      </c>
      <c r="C2678" s="4" t="s">
        <v>35</v>
      </c>
      <c r="D2678" s="2">
        <f>1381971328/(10^6)</f>
        <v>1381.971328</v>
      </c>
      <c r="E2678" s="5">
        <v>20.1058673858643</v>
      </c>
      <c r="F2678" s="5">
        <v>0.804619252681732</v>
      </c>
      <c r="G2678" s="5">
        <v>0.310028433799744</v>
      </c>
      <c r="H2678" s="5">
        <v>7.06328821182251</v>
      </c>
      <c r="I2678" t="s">
        <v>57</v>
      </c>
    </row>
    <row r="2679" spans="1:9">
      <c r="A2679" s="4" t="s">
        <v>5412</v>
      </c>
      <c r="B2679" s="4" t="s">
        <v>5413</v>
      </c>
      <c r="C2679" s="4" t="s">
        <v>33</v>
      </c>
      <c r="D2679" s="2">
        <f>1379623680/(10^6)</f>
        <v>1379.62368</v>
      </c>
      <c r="E2679" s="5">
        <v>2.76976752281189</v>
      </c>
      <c r="F2679" s="5">
        <v>2.0721595287323</v>
      </c>
      <c r="G2679" s="5">
        <v>0.456073850393295</v>
      </c>
      <c r="H2679" s="5">
        <v>5.58200693130493</v>
      </c>
      <c r="I2679" t="s">
        <v>57</v>
      </c>
    </row>
    <row r="2680" spans="1:9">
      <c r="A2680" s="4" t="s">
        <v>5414</v>
      </c>
      <c r="B2680" s="4" t="s">
        <v>5415</v>
      </c>
      <c r="C2680" s="4" t="s">
        <v>37</v>
      </c>
      <c r="D2680" s="2">
        <f>1377303808/(10^6)</f>
        <v>1377.303808</v>
      </c>
      <c r="E2680" s="5">
        <v>9.06733703613281</v>
      </c>
      <c r="F2680" s="5">
        <v>1.12737131118774</v>
      </c>
      <c r="G2680" s="5">
        <v>0.476398885250092</v>
      </c>
      <c r="H2680" s="5">
        <v>9.08338642120361</v>
      </c>
      <c r="I2680" t="s">
        <v>57</v>
      </c>
    </row>
    <row r="2681" spans="1:9">
      <c r="A2681" s="4" t="s">
        <v>5416</v>
      </c>
      <c r="B2681" s="4" t="s">
        <v>5417</v>
      </c>
      <c r="C2681" s="4" t="s">
        <v>43</v>
      </c>
      <c r="D2681" s="2">
        <f>1376283520/(10^6)</f>
        <v>1376.28352</v>
      </c>
      <c r="E2681" s="5">
        <v>11.4562034606934</v>
      </c>
      <c r="F2681" s="5">
        <v>1.22704327106476</v>
      </c>
      <c r="G2681" s="5">
        <v>2.69360733032227</v>
      </c>
      <c r="H2681" s="5" t="s">
        <v>86</v>
      </c>
      <c r="I2681" t="s">
        <v>57</v>
      </c>
    </row>
    <row r="2682" spans="1:9">
      <c r="A2682" s="4" t="s">
        <v>5418</v>
      </c>
      <c r="B2682" s="4" t="s">
        <v>5419</v>
      </c>
      <c r="C2682" s="4" t="s">
        <v>47</v>
      </c>
      <c r="D2682" s="2">
        <f>1375490048/(10^6)</f>
        <v>1375.490048</v>
      </c>
      <c r="E2682" s="5">
        <v>6.44089460372925</v>
      </c>
      <c r="F2682" s="5">
        <v>0.736670136451721</v>
      </c>
      <c r="G2682" s="5">
        <v>0.256781071424484</v>
      </c>
      <c r="H2682" s="5">
        <v>8.96142482757568</v>
      </c>
      <c r="I2682" t="s">
        <v>57</v>
      </c>
    </row>
    <row r="2683" spans="1:9">
      <c r="A2683" s="4" t="s">
        <v>5420</v>
      </c>
      <c r="B2683" s="4" t="s">
        <v>5421</v>
      </c>
      <c r="C2683" s="4" t="s">
        <v>51</v>
      </c>
      <c r="D2683" s="2">
        <f>1375463936/(10^6)</f>
        <v>1375.463936</v>
      </c>
      <c r="E2683" s="5">
        <v>22.3581695556641</v>
      </c>
      <c r="F2683" s="5">
        <v>1.80483376979828</v>
      </c>
      <c r="G2683" s="5">
        <v>4.4173321723938</v>
      </c>
      <c r="H2683" s="5">
        <v>7.93362331390381</v>
      </c>
      <c r="I2683" t="s">
        <v>57</v>
      </c>
    </row>
    <row r="2684" spans="1:9">
      <c r="A2684" s="4" t="s">
        <v>5422</v>
      </c>
      <c r="B2684" s="4" t="s">
        <v>5423</v>
      </c>
      <c r="C2684" s="4" t="s">
        <v>35</v>
      </c>
      <c r="D2684" s="2">
        <f>1368267904/(10^6)</f>
        <v>1368.267904</v>
      </c>
      <c r="E2684" s="5">
        <v>17.70192527771</v>
      </c>
      <c r="F2684" s="5">
        <v>1.49216246604919</v>
      </c>
      <c r="G2684" s="5">
        <v>0.614919483661652</v>
      </c>
      <c r="H2684" s="5">
        <v>8.41038513183594</v>
      </c>
      <c r="I2684" t="s">
        <v>57</v>
      </c>
    </row>
    <row r="2685" spans="1:9">
      <c r="A2685" s="4" t="s">
        <v>5424</v>
      </c>
      <c r="B2685" s="4" t="s">
        <v>5425</v>
      </c>
      <c r="C2685" s="4" t="s">
        <v>35</v>
      </c>
      <c r="D2685" s="2">
        <f>1368267904/(10^6)</f>
        <v>1368.267904</v>
      </c>
      <c r="E2685" s="5">
        <v>17.70192527771</v>
      </c>
      <c r="F2685" s="5">
        <v>1.49216246604919</v>
      </c>
      <c r="G2685" s="5">
        <v>0.614919483661652</v>
      </c>
      <c r="H2685" s="5">
        <v>8.41038513183594</v>
      </c>
      <c r="I2685" t="s">
        <v>57</v>
      </c>
    </row>
    <row r="2686" spans="1:9">
      <c r="A2686" s="4" t="s">
        <v>5426</v>
      </c>
      <c r="B2686" s="4" t="s">
        <v>5427</v>
      </c>
      <c r="C2686" s="4" t="s">
        <v>41</v>
      </c>
      <c r="D2686" s="2">
        <f>1366843904/(10^6)</f>
        <v>1366.843904</v>
      </c>
      <c r="E2686" s="5" t="s">
        <v>86</v>
      </c>
      <c r="F2686" s="5">
        <v>3.97127723693848</v>
      </c>
      <c r="G2686" s="5" t="s">
        <v>86</v>
      </c>
      <c r="H2686" s="5" t="s">
        <v>86</v>
      </c>
      <c r="I2686" t="s">
        <v>57</v>
      </c>
    </row>
    <row r="2687" spans="1:9">
      <c r="A2687" s="4" t="s">
        <v>5428</v>
      </c>
      <c r="B2687" s="4" t="s">
        <v>5429</v>
      </c>
      <c r="C2687" s="4" t="s">
        <v>31</v>
      </c>
      <c r="D2687" s="2">
        <f>1365493248/(10^6)</f>
        <v>1365.493248</v>
      </c>
      <c r="E2687" s="5">
        <v>4.10422945022583</v>
      </c>
      <c r="F2687" s="5">
        <v>0.628625571727753</v>
      </c>
      <c r="G2687" s="5">
        <v>0.465553164482117</v>
      </c>
      <c r="H2687" s="5">
        <v>4.26528358459473</v>
      </c>
      <c r="I2687" t="s">
        <v>57</v>
      </c>
    </row>
    <row r="2688" spans="1:9">
      <c r="A2688" s="4" t="s">
        <v>5430</v>
      </c>
      <c r="B2688" s="4" t="s">
        <v>5431</v>
      </c>
      <c r="C2688" s="4" t="s">
        <v>31</v>
      </c>
      <c r="D2688" s="2">
        <f>1362351104/(10^6)</f>
        <v>1362.351104</v>
      </c>
      <c r="E2688" s="5">
        <v>8.22338390350342</v>
      </c>
      <c r="F2688" s="5">
        <v>1.07257115840912</v>
      </c>
      <c r="G2688" s="5">
        <v>0.667049288749695</v>
      </c>
      <c r="H2688" s="5">
        <v>4.04993104934692</v>
      </c>
      <c r="I2688" t="s">
        <v>57</v>
      </c>
    </row>
    <row r="2689" spans="1:9">
      <c r="A2689" s="4" t="s">
        <v>5432</v>
      </c>
      <c r="B2689" s="4" t="s">
        <v>5433</v>
      </c>
      <c r="C2689" s="4" t="s">
        <v>47</v>
      </c>
      <c r="D2689" s="2">
        <f>1361034624/(10^6)</f>
        <v>1361.034624</v>
      </c>
      <c r="E2689" s="5">
        <v>5.49326705932617</v>
      </c>
      <c r="F2689" s="5">
        <v>1.08932948112488</v>
      </c>
      <c r="G2689" s="5">
        <v>0.320039123296738</v>
      </c>
      <c r="H2689" s="5">
        <v>3.33048129081726</v>
      </c>
      <c r="I2689" t="s">
        <v>57</v>
      </c>
    </row>
    <row r="2690" spans="1:9">
      <c r="A2690" s="4" t="s">
        <v>5434</v>
      </c>
      <c r="B2690" s="4" t="s">
        <v>5435</v>
      </c>
      <c r="C2690" s="4" t="s">
        <v>35</v>
      </c>
      <c r="D2690" s="2">
        <f>1360301184/(10^6)</f>
        <v>1360.301184</v>
      </c>
      <c r="E2690" s="5">
        <v>6.84157800674438</v>
      </c>
      <c r="F2690" s="5">
        <v>1.00898826122284</v>
      </c>
      <c r="G2690" s="5">
        <v>0.634391605854034</v>
      </c>
      <c r="H2690" s="5" t="s">
        <v>86</v>
      </c>
      <c r="I2690" t="s">
        <v>57</v>
      </c>
    </row>
    <row r="2691" spans="1:9">
      <c r="A2691" s="4" t="s">
        <v>5436</v>
      </c>
      <c r="B2691" s="4" t="s">
        <v>5437</v>
      </c>
      <c r="C2691" s="4" t="s">
        <v>47</v>
      </c>
      <c r="D2691" s="2">
        <f>1357354496/(10^6)</f>
        <v>1357.354496</v>
      </c>
      <c r="E2691" s="5">
        <v>16.5444431304932</v>
      </c>
      <c r="F2691" s="5">
        <v>2.27999973297119</v>
      </c>
      <c r="G2691" s="5">
        <v>1.29191994667053</v>
      </c>
      <c r="H2691" s="5">
        <v>11.1934061050415</v>
      </c>
      <c r="I2691" t="s">
        <v>57</v>
      </c>
    </row>
    <row r="2692" spans="1:9">
      <c r="A2692" s="4" t="s">
        <v>5438</v>
      </c>
      <c r="B2692" s="4" t="s">
        <v>5439</v>
      </c>
      <c r="C2692" s="4" t="s">
        <v>41</v>
      </c>
      <c r="D2692" s="2">
        <f>1353653120/(10^6)</f>
        <v>1353.65312</v>
      </c>
      <c r="E2692" s="5" t="s">
        <v>86</v>
      </c>
      <c r="F2692" s="5">
        <v>9.65949058532715</v>
      </c>
      <c r="G2692" s="5">
        <v>16.279655456543</v>
      </c>
      <c r="H2692" s="5" t="s">
        <v>86</v>
      </c>
      <c r="I2692" t="s">
        <v>57</v>
      </c>
    </row>
    <row r="2693" spans="1:9">
      <c r="A2693" s="4" t="s">
        <v>5440</v>
      </c>
      <c r="B2693" s="4" t="s">
        <v>5441</v>
      </c>
      <c r="C2693" s="4" t="s">
        <v>51</v>
      </c>
      <c r="D2693" s="2">
        <f>1353511680/(10^6)</f>
        <v>1353.51168</v>
      </c>
      <c r="E2693" s="5">
        <v>15.2953853607178</v>
      </c>
      <c r="F2693" s="5">
        <v>3.41628193855286</v>
      </c>
      <c r="G2693" s="5">
        <v>1.32467949390411</v>
      </c>
      <c r="H2693" s="5">
        <v>7.53525686264038</v>
      </c>
      <c r="I2693" t="s">
        <v>57</v>
      </c>
    </row>
    <row r="2694" spans="1:9">
      <c r="A2694" s="4" t="s">
        <v>5442</v>
      </c>
      <c r="B2694" s="4" t="s">
        <v>5443</v>
      </c>
      <c r="C2694" s="4" t="s">
        <v>37</v>
      </c>
      <c r="D2694" s="2">
        <f>1353356800/(10^6)</f>
        <v>1353.3568</v>
      </c>
      <c r="E2694" s="5">
        <v>13.2879018783569</v>
      </c>
      <c r="F2694" s="5">
        <v>0.920029759407043</v>
      </c>
      <c r="G2694" s="5">
        <v>0.585399210453033</v>
      </c>
      <c r="H2694" s="5">
        <v>6.52889347076416</v>
      </c>
      <c r="I2694" t="s">
        <v>57</v>
      </c>
    </row>
    <row r="2695" spans="1:9">
      <c r="A2695" s="4" t="s">
        <v>5444</v>
      </c>
      <c r="B2695" s="4" t="s">
        <v>5445</v>
      </c>
      <c r="C2695" s="4" t="s">
        <v>37</v>
      </c>
      <c r="D2695" s="2">
        <f>1349534336/(10^6)</f>
        <v>1349.534336</v>
      </c>
      <c r="E2695" s="5">
        <v>8.18532943725586</v>
      </c>
      <c r="F2695" s="5">
        <v>1.59973454475403</v>
      </c>
      <c r="G2695" s="5">
        <v>0.393020629882813</v>
      </c>
      <c r="H2695" s="5">
        <v>14.4313230514526</v>
      </c>
      <c r="I2695" t="s">
        <v>57</v>
      </c>
    </row>
    <row r="2696" spans="1:9">
      <c r="A2696" s="4" t="s">
        <v>5446</v>
      </c>
      <c r="B2696" s="4" t="s">
        <v>5447</v>
      </c>
      <c r="C2696" s="4" t="s">
        <v>31</v>
      </c>
      <c r="D2696" s="2">
        <f>1348672256/(10^6)</f>
        <v>1348.672256</v>
      </c>
      <c r="E2696" s="5">
        <v>7.5522723197937</v>
      </c>
      <c r="F2696" s="5">
        <v>1.19628691673279</v>
      </c>
      <c r="G2696" s="5">
        <v>0.592301547527313</v>
      </c>
      <c r="H2696" s="5">
        <v>13.8879079818726</v>
      </c>
      <c r="I2696" t="s">
        <v>57</v>
      </c>
    </row>
    <row r="2697" spans="1:9">
      <c r="A2697" s="4" t="s">
        <v>5448</v>
      </c>
      <c r="B2697" s="4" t="s">
        <v>5449</v>
      </c>
      <c r="C2697" s="4" t="s">
        <v>41</v>
      </c>
      <c r="D2697" s="2">
        <f>1345294464/(10^6)</f>
        <v>1345.294464</v>
      </c>
      <c r="E2697" s="5">
        <v>25.9462776184082</v>
      </c>
      <c r="F2697" s="5">
        <v>2.47552347183227</v>
      </c>
      <c r="G2697" s="5">
        <v>2.2885057926178</v>
      </c>
      <c r="H2697" s="5">
        <v>19.2007331848145</v>
      </c>
      <c r="I2697" t="s">
        <v>57</v>
      </c>
    </row>
    <row r="2698" spans="1:9">
      <c r="A2698" s="4" t="s">
        <v>5450</v>
      </c>
      <c r="B2698" s="4" t="s">
        <v>5451</v>
      </c>
      <c r="C2698" s="4" t="s">
        <v>43</v>
      </c>
      <c r="D2698" s="2">
        <f>1345109376/(10^6)</f>
        <v>1345.109376</v>
      </c>
      <c r="E2698" s="5">
        <v>2120.8994140625</v>
      </c>
      <c r="F2698" s="5">
        <v>5.96393775939941</v>
      </c>
      <c r="G2698" s="5">
        <v>10.5505437850952</v>
      </c>
      <c r="H2698" s="5" t="s">
        <v>86</v>
      </c>
      <c r="I2698" t="s">
        <v>57</v>
      </c>
    </row>
    <row r="2699" spans="1:9">
      <c r="A2699" s="4" t="s">
        <v>5452</v>
      </c>
      <c r="B2699" s="4" t="s">
        <v>5453</v>
      </c>
      <c r="C2699" s="4" t="s">
        <v>39</v>
      </c>
      <c r="D2699" s="2">
        <f>1342750208/(10^6)</f>
        <v>1342.750208</v>
      </c>
      <c r="E2699" s="5">
        <v>21.5017375946045</v>
      </c>
      <c r="F2699" s="5">
        <v>2.39056253433227</v>
      </c>
      <c r="G2699" s="5">
        <v>2.3011326789856</v>
      </c>
      <c r="H2699" s="5">
        <v>12.8407220840454</v>
      </c>
      <c r="I2699" t="s">
        <v>57</v>
      </c>
    </row>
    <row r="2700" spans="1:9">
      <c r="A2700" s="4" t="s">
        <v>5454</v>
      </c>
      <c r="B2700" s="4" t="s">
        <v>5455</v>
      </c>
      <c r="C2700" s="4" t="s">
        <v>33</v>
      </c>
      <c r="D2700" s="2">
        <f>1339091072/(10^6)</f>
        <v>1339.091072</v>
      </c>
      <c r="E2700" s="5">
        <v>33.2857131958008</v>
      </c>
      <c r="F2700" s="5">
        <v>1.75750041007996</v>
      </c>
      <c r="G2700" s="5">
        <v>1.36388599872589</v>
      </c>
      <c r="H2700" s="5">
        <v>8.21627712249756</v>
      </c>
      <c r="I2700" t="s">
        <v>57</v>
      </c>
    </row>
    <row r="2701" spans="1:9">
      <c r="A2701" s="4" t="s">
        <v>5456</v>
      </c>
      <c r="B2701" s="4" t="s">
        <v>5457</v>
      </c>
      <c r="C2701" s="4" t="s">
        <v>41</v>
      </c>
      <c r="D2701" s="2">
        <f>1333708288/(10^6)</f>
        <v>1333.708288</v>
      </c>
      <c r="E2701" s="5">
        <v>110.147605895996</v>
      </c>
      <c r="F2701" s="5">
        <v>3.74635291099548</v>
      </c>
      <c r="G2701" s="5">
        <v>3.13006401062012</v>
      </c>
      <c r="H2701" s="5">
        <v>38.3869400024414</v>
      </c>
      <c r="I2701" t="s">
        <v>57</v>
      </c>
    </row>
    <row r="2702" spans="1:9">
      <c r="A2702" s="4" t="s">
        <v>5458</v>
      </c>
      <c r="B2702" s="4" t="s">
        <v>5459</v>
      </c>
      <c r="C2702" s="4" t="s">
        <v>47</v>
      </c>
      <c r="D2702" s="2">
        <f>1331682816/(10^6)</f>
        <v>1331.682816</v>
      </c>
      <c r="E2702" s="5">
        <v>14.7330493927002</v>
      </c>
      <c r="F2702" s="5">
        <v>1.78354167938232</v>
      </c>
      <c r="G2702" s="5">
        <v>1.05649328231812</v>
      </c>
      <c r="H2702" s="5">
        <v>9.33744049072266</v>
      </c>
      <c r="I2702" t="s">
        <v>57</v>
      </c>
    </row>
    <row r="2703" spans="1:9">
      <c r="A2703" s="4" t="s">
        <v>5460</v>
      </c>
      <c r="B2703" s="4" t="s">
        <v>5461</v>
      </c>
      <c r="C2703" s="4" t="s">
        <v>47</v>
      </c>
      <c r="D2703" s="2">
        <f>1328223104/(10^6)</f>
        <v>1328.223104</v>
      </c>
      <c r="E2703" s="5">
        <v>18.4662914276123</v>
      </c>
      <c r="F2703" s="5">
        <v>5.31223297119141</v>
      </c>
      <c r="G2703" s="5">
        <v>0.871014297008514</v>
      </c>
      <c r="H2703" s="5">
        <v>8.10821914672852</v>
      </c>
      <c r="I2703" t="s">
        <v>57</v>
      </c>
    </row>
    <row r="2704" spans="1:9">
      <c r="A2704" s="4" t="s">
        <v>5462</v>
      </c>
      <c r="B2704" s="4" t="s">
        <v>5463</v>
      </c>
      <c r="C2704" s="4" t="s">
        <v>43</v>
      </c>
      <c r="D2704" s="2">
        <f>1327480576/(10^6)</f>
        <v>1327.480576</v>
      </c>
      <c r="E2704" s="5">
        <v>6.01646089553833</v>
      </c>
      <c r="F2704" s="5">
        <v>0.63012170791626</v>
      </c>
      <c r="G2704" s="5">
        <v>0.741030871868134</v>
      </c>
      <c r="H2704" s="5" t="s">
        <v>86</v>
      </c>
      <c r="I2704" t="s">
        <v>57</v>
      </c>
    </row>
    <row r="2705" spans="1:9">
      <c r="A2705" s="4" t="s">
        <v>5464</v>
      </c>
      <c r="B2705" s="4" t="s">
        <v>5465</v>
      </c>
      <c r="C2705" s="4" t="s">
        <v>51</v>
      </c>
      <c r="D2705" s="2">
        <f>1327351424/(10^6)</f>
        <v>1327.351424</v>
      </c>
      <c r="E2705" s="5">
        <v>21.8718128204346</v>
      </c>
      <c r="F2705" s="5">
        <v>1.0227038860321</v>
      </c>
      <c r="G2705" s="5">
        <v>1.53305125236511</v>
      </c>
      <c r="H2705" s="5">
        <v>10.1715888977051</v>
      </c>
      <c r="I2705" t="s">
        <v>57</v>
      </c>
    </row>
    <row r="2706" spans="1:9">
      <c r="A2706" s="4" t="s">
        <v>5466</v>
      </c>
      <c r="B2706" s="4" t="s">
        <v>5467</v>
      </c>
      <c r="C2706" s="4" t="s">
        <v>31</v>
      </c>
      <c r="D2706" s="2">
        <f>1326689536/(10^6)</f>
        <v>1326.689536</v>
      </c>
      <c r="E2706" s="5">
        <v>38.2995529174805</v>
      </c>
      <c r="F2706" s="5">
        <v>2.70344161987305</v>
      </c>
      <c r="G2706" s="5">
        <v>4.10658264160156</v>
      </c>
      <c r="H2706" s="5">
        <v>24.3097553253174</v>
      </c>
      <c r="I2706" t="s">
        <v>57</v>
      </c>
    </row>
    <row r="2707" spans="1:9">
      <c r="A2707" s="4" t="s">
        <v>5468</v>
      </c>
      <c r="B2707" s="4" t="s">
        <v>5469</v>
      </c>
      <c r="C2707" s="4" t="s">
        <v>41</v>
      </c>
      <c r="D2707" s="2">
        <f>1326371840/(10^6)</f>
        <v>1326.37184</v>
      </c>
      <c r="E2707" s="5" t="s">
        <v>86</v>
      </c>
      <c r="F2707" s="5" t="s">
        <v>86</v>
      </c>
      <c r="G2707" s="5" t="s">
        <v>86</v>
      </c>
      <c r="H2707" s="5" t="s">
        <v>86</v>
      </c>
      <c r="I2707" t="s">
        <v>57</v>
      </c>
    </row>
    <row r="2708" spans="1:9">
      <c r="A2708" s="4" t="s">
        <v>5470</v>
      </c>
      <c r="B2708" s="4" t="s">
        <v>5471</v>
      </c>
      <c r="C2708" s="4" t="s">
        <v>27</v>
      </c>
      <c r="D2708" s="2">
        <f>1326000000/(10^6)</f>
        <v>1326</v>
      </c>
      <c r="E2708" s="5" t="s">
        <v>86</v>
      </c>
      <c r="F2708" s="5" t="s">
        <v>86</v>
      </c>
      <c r="G2708" s="5" t="s">
        <v>86</v>
      </c>
      <c r="H2708" s="5" t="s">
        <v>86</v>
      </c>
      <c r="I2708" t="s">
        <v>57</v>
      </c>
    </row>
    <row r="2709" spans="1:9">
      <c r="A2709" s="4" t="s">
        <v>5472</v>
      </c>
      <c r="B2709" s="4" t="s">
        <v>5473</v>
      </c>
      <c r="C2709" s="4" t="s">
        <v>35</v>
      </c>
      <c r="D2709" s="2">
        <f>1325862912/(10^6)</f>
        <v>1325.862912</v>
      </c>
      <c r="E2709" s="5">
        <v>14.4970998764038</v>
      </c>
      <c r="F2709" s="5">
        <v>0.891616642475128</v>
      </c>
      <c r="G2709" s="5">
        <v>1.22592222690582</v>
      </c>
      <c r="H2709" s="5">
        <v>12.1966333389282</v>
      </c>
      <c r="I2709" t="s">
        <v>57</v>
      </c>
    </row>
    <row r="2710" spans="1:9">
      <c r="A2710" s="4" t="s">
        <v>5474</v>
      </c>
      <c r="B2710" s="4" t="s">
        <v>5475</v>
      </c>
      <c r="C2710" s="4" t="s">
        <v>35</v>
      </c>
      <c r="D2710" s="2">
        <f>1322398208/(10^6)</f>
        <v>1322.398208</v>
      </c>
      <c r="E2710" s="5">
        <v>16.2362480163574</v>
      </c>
      <c r="F2710" s="5" t="s">
        <v>86</v>
      </c>
      <c r="G2710" s="5">
        <v>0.832665383815765</v>
      </c>
      <c r="H2710" s="5">
        <v>9.00883102416992</v>
      </c>
      <c r="I2710" t="s">
        <v>57</v>
      </c>
    </row>
    <row r="2711" spans="1:9">
      <c r="A2711" s="4" t="s">
        <v>5476</v>
      </c>
      <c r="B2711" s="4" t="s">
        <v>5477</v>
      </c>
      <c r="C2711" s="4" t="s">
        <v>43</v>
      </c>
      <c r="D2711" s="2">
        <f>1322201344/(10^6)</f>
        <v>1322.201344</v>
      </c>
      <c r="E2711" s="5">
        <v>7.56149911880493</v>
      </c>
      <c r="F2711" s="5">
        <v>1.23453068733215</v>
      </c>
      <c r="G2711" s="5">
        <v>1.55846333503723</v>
      </c>
      <c r="H2711" s="5">
        <v>5.97027158737183</v>
      </c>
      <c r="I2711" t="s">
        <v>57</v>
      </c>
    </row>
    <row r="2712" spans="1:9">
      <c r="A2712" s="4" t="s">
        <v>5478</v>
      </c>
      <c r="B2712" s="4" t="s">
        <v>5479</v>
      </c>
      <c r="C2712" s="4" t="s">
        <v>31</v>
      </c>
      <c r="D2712" s="2">
        <f>1319281152/(10^6)</f>
        <v>1319.281152</v>
      </c>
      <c r="E2712" s="5">
        <v>19.0178546905518</v>
      </c>
      <c r="F2712" s="5">
        <v>2.62452363967896</v>
      </c>
      <c r="G2712" s="5">
        <v>0.859563112258911</v>
      </c>
      <c r="H2712" s="5">
        <v>11.2689504623413</v>
      </c>
      <c r="I2712" t="s">
        <v>57</v>
      </c>
    </row>
    <row r="2713" spans="1:9">
      <c r="A2713" s="4" t="s">
        <v>5480</v>
      </c>
      <c r="B2713" s="4" t="s">
        <v>5481</v>
      </c>
      <c r="C2713" s="4" t="s">
        <v>31</v>
      </c>
      <c r="D2713" s="2">
        <f>1313143168/(10^6)</f>
        <v>1313.143168</v>
      </c>
      <c r="E2713" s="5">
        <v>41.7237930297852</v>
      </c>
      <c r="F2713" s="5">
        <v>3.15122747421265</v>
      </c>
      <c r="G2713" s="5">
        <v>0.968610167503357</v>
      </c>
      <c r="H2713" s="5">
        <v>11.4241409301758</v>
      </c>
      <c r="I2713" t="s">
        <v>57</v>
      </c>
    </row>
    <row r="2714" spans="1:9">
      <c r="A2714" s="4" t="s">
        <v>5482</v>
      </c>
      <c r="B2714" s="4" t="s">
        <v>5483</v>
      </c>
      <c r="C2714" s="4" t="s">
        <v>47</v>
      </c>
      <c r="D2714" s="2">
        <f>1312266880/(10^6)</f>
        <v>1312.26688</v>
      </c>
      <c r="E2714" s="5">
        <v>9.72300720214844</v>
      </c>
      <c r="F2714" s="5">
        <v>1.01414954662323</v>
      </c>
      <c r="G2714" s="5">
        <v>1.19721400737762</v>
      </c>
      <c r="H2714" s="5">
        <v>7.43263053894043</v>
      </c>
      <c r="I2714" t="s">
        <v>57</v>
      </c>
    </row>
    <row r="2715" spans="1:9">
      <c r="A2715" s="4" t="s">
        <v>5484</v>
      </c>
      <c r="B2715" s="4" t="s">
        <v>5485</v>
      </c>
      <c r="C2715" s="4" t="s">
        <v>31</v>
      </c>
      <c r="D2715" s="2">
        <f>1307565568/(10^6)</f>
        <v>1307.565568</v>
      </c>
      <c r="E2715" s="5">
        <v>39.7716484069824</v>
      </c>
      <c r="F2715" s="5">
        <v>1.37305760383606</v>
      </c>
      <c r="G2715" s="5">
        <v>0.857221364974976</v>
      </c>
      <c r="H2715" s="5">
        <v>12.3955459594727</v>
      </c>
      <c r="I2715" t="s">
        <v>57</v>
      </c>
    </row>
    <row r="2716" spans="1:9">
      <c r="A2716" s="4" t="s">
        <v>5486</v>
      </c>
      <c r="B2716" s="4" t="s">
        <v>5487</v>
      </c>
      <c r="C2716" s="4" t="s">
        <v>31</v>
      </c>
      <c r="D2716" s="2">
        <f>1302932096/(10^6)</f>
        <v>1302.932096</v>
      </c>
      <c r="E2716" s="5">
        <v>42.4202270507812</v>
      </c>
      <c r="F2716" s="5">
        <v>1.996453166008</v>
      </c>
      <c r="G2716" s="5">
        <v>1.12500977516174</v>
      </c>
      <c r="H2716" s="5">
        <v>10.2443895339966</v>
      </c>
      <c r="I2716" t="s">
        <v>57</v>
      </c>
    </row>
    <row r="2717" spans="1:9">
      <c r="A2717" s="4" t="s">
        <v>5488</v>
      </c>
      <c r="B2717" s="4" t="s">
        <v>5489</v>
      </c>
      <c r="C2717" s="4" t="s">
        <v>47</v>
      </c>
      <c r="D2717" s="2">
        <f>1301452928/(10^6)</f>
        <v>1301.452928</v>
      </c>
      <c r="E2717" s="5">
        <v>50.572826385498</v>
      </c>
      <c r="F2717" s="5">
        <v>2.96425485610962</v>
      </c>
      <c r="G2717" s="5">
        <v>0.740184426307678</v>
      </c>
      <c r="H2717" s="5">
        <v>30.5257663726807</v>
      </c>
      <c r="I2717" t="s">
        <v>57</v>
      </c>
    </row>
    <row r="2718" spans="1:9">
      <c r="A2718" s="4" t="s">
        <v>5490</v>
      </c>
      <c r="B2718" s="4" t="s">
        <v>5491</v>
      </c>
      <c r="C2718" s="4" t="s">
        <v>41</v>
      </c>
      <c r="D2718" s="2">
        <f>1296050688/(10^6)</f>
        <v>1296.050688</v>
      </c>
      <c r="E2718" s="5" t="s">
        <v>86</v>
      </c>
      <c r="F2718" s="5">
        <v>10.2565326690674</v>
      </c>
      <c r="G2718" s="5" t="s">
        <v>86</v>
      </c>
      <c r="H2718" s="5" t="s">
        <v>86</v>
      </c>
      <c r="I2718" t="s">
        <v>57</v>
      </c>
    </row>
    <row r="2719" spans="1:9">
      <c r="A2719" s="4" t="s">
        <v>5492</v>
      </c>
      <c r="B2719" s="4" t="s">
        <v>5493</v>
      </c>
      <c r="C2719" s="4" t="s">
        <v>31</v>
      </c>
      <c r="D2719" s="2">
        <f>1294360192/(10^6)</f>
        <v>1294.360192</v>
      </c>
      <c r="E2719" s="5">
        <v>12.3667144775391</v>
      </c>
      <c r="F2719" s="5">
        <v>2.00991702079773</v>
      </c>
      <c r="G2719" s="5">
        <v>0.521285593509674</v>
      </c>
      <c r="H2719" s="5">
        <v>6.76165008544922</v>
      </c>
      <c r="I2719" t="s">
        <v>57</v>
      </c>
    </row>
    <row r="2720" spans="1:9">
      <c r="A2720" s="4" t="s">
        <v>5494</v>
      </c>
      <c r="B2720" s="4" t="s">
        <v>5495</v>
      </c>
      <c r="C2720" s="4" t="s">
        <v>31</v>
      </c>
      <c r="D2720" s="2">
        <f>1287346048/(10^6)</f>
        <v>1287.346048</v>
      </c>
      <c r="E2720" s="5">
        <v>11.3094453811646</v>
      </c>
      <c r="F2720" s="5">
        <v>1.59257662296295</v>
      </c>
      <c r="G2720" s="5">
        <v>0.581751644611359</v>
      </c>
      <c r="H2720" s="5">
        <v>6.88370037078857</v>
      </c>
      <c r="I2720" t="s">
        <v>57</v>
      </c>
    </row>
    <row r="2721" spans="1:9">
      <c r="A2721" s="4" t="s">
        <v>5496</v>
      </c>
      <c r="B2721" s="4" t="s">
        <v>5497</v>
      </c>
      <c r="C2721" s="4" t="s">
        <v>41</v>
      </c>
      <c r="D2721" s="2">
        <f>1286437248/(10^6)</f>
        <v>1286.437248</v>
      </c>
      <c r="E2721" s="5" t="s">
        <v>86</v>
      </c>
      <c r="F2721" s="5">
        <v>4.31550741195679</v>
      </c>
      <c r="G2721" s="5">
        <v>279.663360595703</v>
      </c>
      <c r="H2721" s="5" t="s">
        <v>86</v>
      </c>
      <c r="I2721" t="s">
        <v>57</v>
      </c>
    </row>
    <row r="2722" spans="1:9">
      <c r="A2722" s="4" t="s">
        <v>5498</v>
      </c>
      <c r="B2722" s="4" t="s">
        <v>5499</v>
      </c>
      <c r="C2722" s="4" t="s">
        <v>35</v>
      </c>
      <c r="D2722" s="2">
        <f>1278905984/(10^6)</f>
        <v>1278.905984</v>
      </c>
      <c r="E2722" s="5">
        <v>13.42760181427</v>
      </c>
      <c r="F2722" s="5">
        <v>3.65419483184814</v>
      </c>
      <c r="G2722" s="5">
        <v>1.26652646064758</v>
      </c>
      <c r="H2722" s="5">
        <v>6.2951192855835</v>
      </c>
      <c r="I2722" t="s">
        <v>57</v>
      </c>
    </row>
    <row r="2723" spans="1:9">
      <c r="A2723" s="4" t="s">
        <v>5500</v>
      </c>
      <c r="B2723" s="4" t="s">
        <v>5501</v>
      </c>
      <c r="C2723" s="4" t="s">
        <v>51</v>
      </c>
      <c r="D2723" s="2">
        <f>1278857472/(10^6)</f>
        <v>1278.857472</v>
      </c>
      <c r="E2723" s="5" t="s">
        <v>86</v>
      </c>
      <c r="F2723" s="5">
        <v>1.30388236045837</v>
      </c>
      <c r="G2723" s="5">
        <v>5.59374475479126</v>
      </c>
      <c r="H2723" s="5" t="s">
        <v>86</v>
      </c>
      <c r="I2723" t="s">
        <v>57</v>
      </c>
    </row>
    <row r="2724" spans="1:9">
      <c r="A2724" s="4" t="s">
        <v>5502</v>
      </c>
      <c r="B2724" s="4" t="s">
        <v>5503</v>
      </c>
      <c r="C2724" s="4" t="s">
        <v>47</v>
      </c>
      <c r="D2724" s="2">
        <f>1277720832/(10^6)</f>
        <v>1277.720832</v>
      </c>
      <c r="E2724" s="5">
        <v>5.76666164398193</v>
      </c>
      <c r="F2724" s="5">
        <v>0.770518004894257</v>
      </c>
      <c r="G2724" s="5">
        <v>0.266929268836975</v>
      </c>
      <c r="H2724" s="5">
        <v>6.50475645065308</v>
      </c>
      <c r="I2724" t="s">
        <v>57</v>
      </c>
    </row>
    <row r="2725" spans="1:9">
      <c r="A2725" s="4" t="s">
        <v>5504</v>
      </c>
      <c r="B2725" s="4" t="s">
        <v>5505</v>
      </c>
      <c r="C2725" s="4" t="s">
        <v>43</v>
      </c>
      <c r="D2725" s="2">
        <f>1275159808/(10^6)</f>
        <v>1275.159808</v>
      </c>
      <c r="E2725" s="5">
        <v>11.3322410583496</v>
      </c>
      <c r="F2725" s="5">
        <v>1.24841237068176</v>
      </c>
      <c r="G2725" s="5">
        <v>0.385375499725342</v>
      </c>
      <c r="H2725" s="5">
        <v>7.44890356063843</v>
      </c>
      <c r="I2725" t="s">
        <v>57</v>
      </c>
    </row>
    <row r="2726" spans="1:9">
      <c r="A2726" s="4" t="s">
        <v>5506</v>
      </c>
      <c r="B2726" s="4" t="s">
        <v>5507</v>
      </c>
      <c r="C2726" s="4" t="s">
        <v>51</v>
      </c>
      <c r="D2726" s="2">
        <f>1272008704/(10^6)</f>
        <v>1272.008704</v>
      </c>
      <c r="E2726" s="5" t="s">
        <v>86</v>
      </c>
      <c r="F2726" s="5">
        <v>6.32078456878662</v>
      </c>
      <c r="G2726" s="5">
        <v>4.10838651657104</v>
      </c>
      <c r="H2726" s="5" t="s">
        <v>86</v>
      </c>
      <c r="I2726" t="s">
        <v>57</v>
      </c>
    </row>
    <row r="2727" spans="1:9">
      <c r="A2727" s="4" t="s">
        <v>5508</v>
      </c>
      <c r="B2727" s="4" t="s">
        <v>5509</v>
      </c>
      <c r="C2727" s="4" t="s">
        <v>43</v>
      </c>
      <c r="D2727" s="2">
        <f>1271201024/(10^6)</f>
        <v>1271.201024</v>
      </c>
      <c r="E2727" s="5">
        <v>14.7315788269043</v>
      </c>
      <c r="F2727" s="5">
        <v>1.08705902099609</v>
      </c>
      <c r="G2727" s="5">
        <v>1.23455095291138</v>
      </c>
      <c r="H2727" s="5">
        <v>13.1540832519531</v>
      </c>
      <c r="I2727" t="s">
        <v>57</v>
      </c>
    </row>
    <row r="2728" spans="1:9">
      <c r="A2728" s="4" t="s">
        <v>5510</v>
      </c>
      <c r="B2728" s="4" t="s">
        <v>5511</v>
      </c>
      <c r="C2728" s="4" t="s">
        <v>51</v>
      </c>
      <c r="D2728" s="2">
        <f>1268488832/(10^6)</f>
        <v>1268.488832</v>
      </c>
      <c r="E2728" s="5" t="s">
        <v>86</v>
      </c>
      <c r="F2728" s="5">
        <v>4.1178240776062</v>
      </c>
      <c r="G2728" s="5">
        <v>5.7383189201355</v>
      </c>
      <c r="H2728" s="5" t="s">
        <v>86</v>
      </c>
      <c r="I2728" t="s">
        <v>57</v>
      </c>
    </row>
    <row r="2729" spans="1:9">
      <c r="A2729" s="4" t="s">
        <v>5512</v>
      </c>
      <c r="B2729" s="4" t="s">
        <v>5513</v>
      </c>
      <c r="C2729" s="4" t="s">
        <v>41</v>
      </c>
      <c r="D2729" s="2">
        <f>1262610560/(10^6)</f>
        <v>1262.61056</v>
      </c>
      <c r="E2729" s="5" t="s">
        <v>86</v>
      </c>
      <c r="F2729" s="5">
        <v>8.0510721206665</v>
      </c>
      <c r="G2729" s="5">
        <v>49.0288734436035</v>
      </c>
      <c r="H2729" s="5" t="s">
        <v>86</v>
      </c>
      <c r="I2729" t="s">
        <v>57</v>
      </c>
    </row>
    <row r="2730" spans="1:9">
      <c r="A2730" s="4" t="s">
        <v>5514</v>
      </c>
      <c r="B2730" s="4" t="s">
        <v>5515</v>
      </c>
      <c r="C2730" s="4" t="s">
        <v>37</v>
      </c>
      <c r="D2730" s="2">
        <f>1258751360/(10^6)</f>
        <v>1258.75136</v>
      </c>
      <c r="E2730" s="5">
        <v>19.4544067382812</v>
      </c>
      <c r="F2730" s="5">
        <v>2.37634658813477</v>
      </c>
      <c r="G2730" s="5">
        <v>0.844260275363922</v>
      </c>
      <c r="H2730" s="5">
        <v>8.04703330993652</v>
      </c>
      <c r="I2730" t="s">
        <v>57</v>
      </c>
    </row>
    <row r="2731" spans="1:9">
      <c r="A2731" s="4" t="s">
        <v>5516</v>
      </c>
      <c r="B2731" s="4" t="s">
        <v>5517</v>
      </c>
      <c r="C2731" s="4" t="s">
        <v>41</v>
      </c>
      <c r="D2731" s="2">
        <f>1258276096/(10^6)</f>
        <v>1258.276096</v>
      </c>
      <c r="E2731" s="5" t="s">
        <v>86</v>
      </c>
      <c r="F2731" s="5">
        <v>2.78386783599854</v>
      </c>
      <c r="G2731" s="5">
        <v>35.3868064880371</v>
      </c>
      <c r="H2731" s="5" t="s">
        <v>86</v>
      </c>
      <c r="I2731" t="s">
        <v>57</v>
      </c>
    </row>
    <row r="2732" spans="1:9">
      <c r="A2732" s="4" t="s">
        <v>5518</v>
      </c>
      <c r="B2732" s="4" t="s">
        <v>5519</v>
      </c>
      <c r="C2732" s="4" t="s">
        <v>47</v>
      </c>
      <c r="D2732" s="2">
        <f>1257615744/(10^6)</f>
        <v>1257.615744</v>
      </c>
      <c r="E2732" s="5">
        <v>6.71330261230469</v>
      </c>
      <c r="F2732" s="5">
        <v>1.62464821338654</v>
      </c>
      <c r="G2732" s="5">
        <v>0.572263062000275</v>
      </c>
      <c r="H2732" s="5">
        <v>8.90407085418701</v>
      </c>
      <c r="I2732" t="s">
        <v>57</v>
      </c>
    </row>
    <row r="2733" spans="1:9">
      <c r="A2733" s="4" t="s">
        <v>5520</v>
      </c>
      <c r="B2733" s="4" t="s">
        <v>5521</v>
      </c>
      <c r="C2733" s="4" t="s">
        <v>41</v>
      </c>
      <c r="D2733" s="2">
        <f>1257151872/(10^6)</f>
        <v>1257.151872</v>
      </c>
      <c r="E2733" s="5">
        <v>28.93115234375</v>
      </c>
      <c r="F2733" s="5">
        <v>3.42625689506531</v>
      </c>
      <c r="G2733" s="5">
        <v>2.84843111038208</v>
      </c>
      <c r="H2733" s="5">
        <v>13.7937860488892</v>
      </c>
      <c r="I2733" t="s">
        <v>57</v>
      </c>
    </row>
    <row r="2734" spans="1:9">
      <c r="A2734" s="4" t="s">
        <v>5522</v>
      </c>
      <c r="B2734" s="4" t="s">
        <v>5523</v>
      </c>
      <c r="C2734" s="4" t="s">
        <v>43</v>
      </c>
      <c r="D2734" s="2">
        <f>1251233792/(10^6)</f>
        <v>1251.233792</v>
      </c>
      <c r="E2734" s="5" t="s">
        <v>86</v>
      </c>
      <c r="F2734" s="5">
        <v>0.827562987804413</v>
      </c>
      <c r="G2734" s="5">
        <v>1.25016045570373</v>
      </c>
      <c r="H2734" s="5" t="s">
        <v>86</v>
      </c>
      <c r="I2734" t="s">
        <v>57</v>
      </c>
    </row>
    <row r="2735" spans="1:9">
      <c r="A2735" s="4" t="s">
        <v>5524</v>
      </c>
      <c r="B2735" s="4" t="s">
        <v>5525</v>
      </c>
      <c r="C2735" s="4" t="s">
        <v>31</v>
      </c>
      <c r="D2735" s="2">
        <f>1248201216/(10^6)</f>
        <v>1248.201216</v>
      </c>
      <c r="E2735" s="5">
        <v>6.95058536529541</v>
      </c>
      <c r="F2735" s="5">
        <v>1.28627502918243</v>
      </c>
      <c r="G2735" s="5">
        <v>0.341939359903336</v>
      </c>
      <c r="H2735" s="5">
        <v>3.81813716888428</v>
      </c>
      <c r="I2735" t="s">
        <v>57</v>
      </c>
    </row>
    <row r="2736" spans="1:9">
      <c r="A2736" s="4" t="s">
        <v>5526</v>
      </c>
      <c r="B2736" s="4" t="s">
        <v>5527</v>
      </c>
      <c r="C2736" s="4" t="s">
        <v>41</v>
      </c>
      <c r="D2736" s="2">
        <f>1245644928/(10^6)</f>
        <v>1245.644928</v>
      </c>
      <c r="E2736" s="5">
        <v>12.3825397491455</v>
      </c>
      <c r="F2736" s="5">
        <v>3.35454797744751</v>
      </c>
      <c r="G2736" s="5">
        <v>4.05467653274536</v>
      </c>
      <c r="H2736" s="5">
        <v>8.09318733215332</v>
      </c>
      <c r="I2736" t="s">
        <v>57</v>
      </c>
    </row>
    <row r="2737" spans="1:9">
      <c r="A2737" s="4" t="s">
        <v>5528</v>
      </c>
      <c r="B2737" s="4" t="s">
        <v>5529</v>
      </c>
      <c r="C2737" s="4" t="s">
        <v>31</v>
      </c>
      <c r="D2737" s="2">
        <f>1242998912/(10^6)</f>
        <v>1242.998912</v>
      </c>
      <c r="E2737" s="5">
        <v>15.7598485946655</v>
      </c>
      <c r="F2737" s="5">
        <v>1.96043026447296</v>
      </c>
      <c r="G2737" s="5">
        <v>2.17594385147095</v>
      </c>
      <c r="H2737" s="5">
        <v>6.58582258224487</v>
      </c>
      <c r="I2737" t="s">
        <v>57</v>
      </c>
    </row>
    <row r="2738" spans="1:9">
      <c r="A2738" s="4" t="s">
        <v>5530</v>
      </c>
      <c r="B2738" s="4" t="s">
        <v>5531</v>
      </c>
      <c r="C2738" s="4" t="s">
        <v>33</v>
      </c>
      <c r="D2738" s="2">
        <f>1236058880/(10^6)</f>
        <v>1236.05888</v>
      </c>
      <c r="E2738" s="5">
        <v>107.580101013184</v>
      </c>
      <c r="F2738" s="5">
        <v>0.462188154459</v>
      </c>
      <c r="G2738" s="5">
        <v>0.329719007015228</v>
      </c>
      <c r="H2738" s="5">
        <v>22.4481868743896</v>
      </c>
      <c r="I2738" t="s">
        <v>57</v>
      </c>
    </row>
    <row r="2739" spans="1:9">
      <c r="A2739" s="4" t="s">
        <v>5532</v>
      </c>
      <c r="B2739" s="4" t="s">
        <v>5533</v>
      </c>
      <c r="C2739" s="4" t="s">
        <v>33</v>
      </c>
      <c r="D2739" s="2">
        <f>1236058880/(10^6)</f>
        <v>1236.05888</v>
      </c>
      <c r="E2739" s="5">
        <v>107.580101013184</v>
      </c>
      <c r="F2739" s="5">
        <v>0.462188154459</v>
      </c>
      <c r="G2739" s="5">
        <v>0.329719007015228</v>
      </c>
      <c r="H2739" s="5">
        <v>22.4481868743896</v>
      </c>
      <c r="I2739" t="s">
        <v>57</v>
      </c>
    </row>
    <row r="2740" spans="1:9">
      <c r="A2740" s="4" t="s">
        <v>5534</v>
      </c>
      <c r="B2740" s="4" t="s">
        <v>5535</v>
      </c>
      <c r="C2740" s="4" t="s">
        <v>47</v>
      </c>
      <c r="D2740" s="2">
        <f>1236016512/(10^6)</f>
        <v>1236.016512</v>
      </c>
      <c r="E2740" s="5">
        <v>5.63595390319824</v>
      </c>
      <c r="F2740" s="5">
        <v>0.573483169078827</v>
      </c>
      <c r="G2740" s="5">
        <v>0.419971972703934</v>
      </c>
      <c r="H2740" s="5">
        <v>7.71024417877197</v>
      </c>
      <c r="I2740" t="s">
        <v>57</v>
      </c>
    </row>
    <row r="2741" spans="1:9">
      <c r="A2741" s="4" t="s">
        <v>5536</v>
      </c>
      <c r="B2741" s="4" t="s">
        <v>5537</v>
      </c>
      <c r="C2741" s="4" t="s">
        <v>43</v>
      </c>
      <c r="D2741" s="2">
        <f>1235574784/(10^6)</f>
        <v>1235.574784</v>
      </c>
      <c r="E2741" s="5">
        <v>5.85958003997803</v>
      </c>
      <c r="F2741" s="5">
        <v>0.674439072608948</v>
      </c>
      <c r="G2741" s="5">
        <v>1.68134570121765</v>
      </c>
      <c r="H2741" s="5" t="s">
        <v>86</v>
      </c>
      <c r="I2741" t="s">
        <v>57</v>
      </c>
    </row>
    <row r="2742" spans="1:9">
      <c r="A2742" s="4" t="s">
        <v>5538</v>
      </c>
      <c r="B2742" s="4" t="s">
        <v>5539</v>
      </c>
      <c r="C2742" s="4" t="s">
        <v>43</v>
      </c>
      <c r="D2742" s="2">
        <f>1234756864/(10^6)</f>
        <v>1234.756864</v>
      </c>
      <c r="E2742" s="5">
        <v>8.7623987197876</v>
      </c>
      <c r="F2742" s="5">
        <v>0.752729415893555</v>
      </c>
      <c r="G2742" s="5">
        <v>1.81582880020142</v>
      </c>
      <c r="H2742" s="5" t="s">
        <v>86</v>
      </c>
      <c r="I2742" t="s">
        <v>57</v>
      </c>
    </row>
    <row r="2743" spans="1:9">
      <c r="A2743" s="4" t="s">
        <v>5540</v>
      </c>
      <c r="B2743" s="4" t="s">
        <v>5541</v>
      </c>
      <c r="C2743" s="4" t="s">
        <v>47</v>
      </c>
      <c r="D2743" s="2">
        <f>1230878336/(10^6)</f>
        <v>1230.878336</v>
      </c>
      <c r="E2743" s="5">
        <v>9.61517429351807</v>
      </c>
      <c r="F2743" s="5">
        <v>9.32220935821533</v>
      </c>
      <c r="G2743" s="5">
        <v>1.03134846687317</v>
      </c>
      <c r="H2743" s="5">
        <v>7.11891937255859</v>
      </c>
      <c r="I2743" t="s">
        <v>57</v>
      </c>
    </row>
    <row r="2744" spans="1:9">
      <c r="A2744" s="4" t="s">
        <v>5542</v>
      </c>
      <c r="B2744" s="4" t="s">
        <v>5543</v>
      </c>
      <c r="C2744" s="4" t="s">
        <v>47</v>
      </c>
      <c r="D2744" s="2">
        <f>1228792576/(10^6)</f>
        <v>1228.792576</v>
      </c>
      <c r="E2744" s="5">
        <v>15.7975978851318</v>
      </c>
      <c r="F2744" s="5">
        <v>1.88445174694061</v>
      </c>
      <c r="G2744" s="5">
        <v>1.00428736209869</v>
      </c>
      <c r="H2744" s="5">
        <v>7.82212448120117</v>
      </c>
      <c r="I2744" t="s">
        <v>57</v>
      </c>
    </row>
    <row r="2745" spans="1:9">
      <c r="A2745" s="4" t="s">
        <v>5544</v>
      </c>
      <c r="B2745" s="4" t="s">
        <v>5545</v>
      </c>
      <c r="C2745" s="4" t="s">
        <v>41</v>
      </c>
      <c r="D2745" s="2">
        <f>1226700032/(10^6)</f>
        <v>1226.700032</v>
      </c>
      <c r="E2745" s="5" t="s">
        <v>86</v>
      </c>
      <c r="F2745" s="5">
        <v>4.91072177886963</v>
      </c>
      <c r="G2745" s="5">
        <v>4.98937702178955</v>
      </c>
      <c r="H2745" s="5" t="s">
        <v>86</v>
      </c>
      <c r="I2745" t="s">
        <v>57</v>
      </c>
    </row>
    <row r="2746" spans="1:9">
      <c r="A2746" s="4" t="s">
        <v>5546</v>
      </c>
      <c r="B2746" s="4" t="s">
        <v>5547</v>
      </c>
      <c r="C2746" s="4" t="s">
        <v>31</v>
      </c>
      <c r="D2746" s="2">
        <f>1221859712/(10^6)</f>
        <v>1221.859712</v>
      </c>
      <c r="E2746" s="5">
        <v>16.9637298583984</v>
      </c>
      <c r="F2746" s="5">
        <v>1.71129310131073</v>
      </c>
      <c r="G2746" s="5">
        <v>0.824790716171265</v>
      </c>
      <c r="H2746" s="5">
        <v>9.24004077911377</v>
      </c>
      <c r="I2746" t="s">
        <v>57</v>
      </c>
    </row>
    <row r="2747" spans="1:9">
      <c r="A2747" s="4" t="s">
        <v>5548</v>
      </c>
      <c r="B2747" s="4" t="s">
        <v>5549</v>
      </c>
      <c r="C2747" s="4" t="s">
        <v>31</v>
      </c>
      <c r="D2747" s="2">
        <f>1220120320/(10^6)</f>
        <v>1220.12032</v>
      </c>
      <c r="E2747" s="5">
        <v>51.0999984741211</v>
      </c>
      <c r="F2747" s="5">
        <v>1.2548257112503</v>
      </c>
      <c r="G2747" s="5">
        <v>1.38658320903778</v>
      </c>
      <c r="H2747" s="5" t="s">
        <v>86</v>
      </c>
      <c r="I2747" t="s">
        <v>57</v>
      </c>
    </row>
    <row r="2748" spans="1:9">
      <c r="A2748" s="4" t="s">
        <v>5550</v>
      </c>
      <c r="B2748" s="4" t="s">
        <v>5551</v>
      </c>
      <c r="C2748" s="4" t="s">
        <v>37</v>
      </c>
      <c r="D2748" s="2">
        <f>1217744896/(10^6)</f>
        <v>1217.744896</v>
      </c>
      <c r="E2748" s="5" t="s">
        <v>86</v>
      </c>
      <c r="F2748" s="5">
        <v>0.295610457658768</v>
      </c>
      <c r="G2748" s="5">
        <v>0.116533823311329</v>
      </c>
      <c r="H2748" s="5">
        <v>6.34539699554443</v>
      </c>
      <c r="I2748" t="s">
        <v>57</v>
      </c>
    </row>
    <row r="2749" spans="1:9">
      <c r="A2749" s="4" t="s">
        <v>5552</v>
      </c>
      <c r="B2749" s="4" t="s">
        <v>5553</v>
      </c>
      <c r="C2749" s="4" t="s">
        <v>41</v>
      </c>
      <c r="D2749" s="2">
        <f>1215475328/(10^6)</f>
        <v>1215.475328</v>
      </c>
      <c r="E2749" s="5" t="s">
        <v>86</v>
      </c>
      <c r="F2749" s="5">
        <v>2.56592464447021</v>
      </c>
      <c r="G2749" s="5">
        <v>3.55017161369324</v>
      </c>
      <c r="H2749" s="5">
        <v>45.5332565307617</v>
      </c>
      <c r="I2749" t="s">
        <v>57</v>
      </c>
    </row>
    <row r="2750" spans="1:9">
      <c r="A2750" s="4" t="s">
        <v>5554</v>
      </c>
      <c r="B2750" s="4" t="s">
        <v>5555</v>
      </c>
      <c r="C2750" s="4" t="s">
        <v>43</v>
      </c>
      <c r="D2750" s="2">
        <f>1213703424/(10^6)</f>
        <v>1213.703424</v>
      </c>
      <c r="E2750" s="5">
        <v>10.5953369140625</v>
      </c>
      <c r="F2750" s="5">
        <v>0.896227121353149</v>
      </c>
      <c r="G2750" s="5">
        <v>2.30374908447266</v>
      </c>
      <c r="H2750" s="5" t="s">
        <v>86</v>
      </c>
      <c r="I2750" t="s">
        <v>57</v>
      </c>
    </row>
    <row r="2751" spans="1:9">
      <c r="A2751" s="4" t="s">
        <v>5556</v>
      </c>
      <c r="B2751" s="4" t="s">
        <v>5557</v>
      </c>
      <c r="C2751" s="4" t="s">
        <v>35</v>
      </c>
      <c r="D2751" s="2">
        <f>1213151104/(10^6)</f>
        <v>1213.151104</v>
      </c>
      <c r="E2751" s="5">
        <v>7.02250814437866</v>
      </c>
      <c r="F2751" s="5">
        <v>1.38731777667999</v>
      </c>
      <c r="G2751" s="5">
        <v>0.500934422016144</v>
      </c>
      <c r="H2751" s="5">
        <v>3.53377628326416</v>
      </c>
      <c r="I2751" t="s">
        <v>57</v>
      </c>
    </row>
    <row r="2752" spans="1:9">
      <c r="A2752" s="4" t="s">
        <v>5558</v>
      </c>
      <c r="B2752" s="4" t="s">
        <v>5559</v>
      </c>
      <c r="C2752" s="4" t="s">
        <v>41</v>
      </c>
      <c r="D2752" s="2">
        <f>1212973696/(10^6)</f>
        <v>1212.973696</v>
      </c>
      <c r="E2752" s="5" t="s">
        <v>86</v>
      </c>
      <c r="F2752" s="5">
        <v>245.500122070312</v>
      </c>
      <c r="G2752" s="5">
        <v>198.17073059082</v>
      </c>
      <c r="H2752" s="5" t="s">
        <v>86</v>
      </c>
      <c r="I2752" t="s">
        <v>57</v>
      </c>
    </row>
    <row r="2753" spans="1:9">
      <c r="A2753" s="4" t="s">
        <v>5560</v>
      </c>
      <c r="B2753" s="4" t="s">
        <v>5561</v>
      </c>
      <c r="C2753" s="4" t="s">
        <v>37</v>
      </c>
      <c r="D2753" s="2">
        <f>1212692352/(10^6)</f>
        <v>1212.692352</v>
      </c>
      <c r="E2753" s="5">
        <v>7.35350275039673</v>
      </c>
      <c r="F2753" s="5">
        <v>0.515902161598206</v>
      </c>
      <c r="G2753" s="5">
        <v>0.252584099769592</v>
      </c>
      <c r="H2753" s="5">
        <v>4.51994323730469</v>
      </c>
      <c r="I2753" t="s">
        <v>57</v>
      </c>
    </row>
    <row r="2754" spans="1:9">
      <c r="A2754" s="4" t="s">
        <v>5562</v>
      </c>
      <c r="B2754" s="4" t="s">
        <v>5563</v>
      </c>
      <c r="C2754" s="4" t="s">
        <v>31</v>
      </c>
      <c r="D2754" s="2">
        <f>1210554752/(10^6)</f>
        <v>1210.554752</v>
      </c>
      <c r="E2754" s="5">
        <v>13.4307498931885</v>
      </c>
      <c r="F2754" s="5">
        <v>2.03265571594238</v>
      </c>
      <c r="G2754" s="5">
        <v>1.22340273857117</v>
      </c>
      <c r="H2754" s="5">
        <v>8.37502574920654</v>
      </c>
      <c r="I2754" t="s">
        <v>57</v>
      </c>
    </row>
    <row r="2755" spans="1:9">
      <c r="A2755" s="4" t="s">
        <v>5564</v>
      </c>
      <c r="B2755" s="4" t="s">
        <v>5565</v>
      </c>
      <c r="C2755" s="4" t="s">
        <v>47</v>
      </c>
      <c r="D2755" s="2">
        <f>1210463616/(10^6)</f>
        <v>1210.463616</v>
      </c>
      <c r="E2755" s="5">
        <v>6.71911144256592</v>
      </c>
      <c r="F2755" s="5">
        <v>1.43330466747284</v>
      </c>
      <c r="G2755" s="5">
        <v>0.605196952819824</v>
      </c>
      <c r="H2755" s="5">
        <v>8.14151287078857</v>
      </c>
      <c r="I2755" t="s">
        <v>57</v>
      </c>
    </row>
    <row r="2756" spans="1:9">
      <c r="A2756" s="4" t="s">
        <v>5566</v>
      </c>
      <c r="B2756" s="4" t="s">
        <v>5567</v>
      </c>
      <c r="C2756" s="4" t="s">
        <v>45</v>
      </c>
      <c r="D2756" s="2">
        <f>1208233856/(10^6)</f>
        <v>1208.233856</v>
      </c>
      <c r="E2756" s="5">
        <v>7.98985815048218</v>
      </c>
      <c r="F2756" s="5">
        <v>1.4662983417511</v>
      </c>
      <c r="G2756" s="5">
        <v>0.410949170589447</v>
      </c>
      <c r="H2756" s="5">
        <v>9.13673114776611</v>
      </c>
      <c r="I2756" t="s">
        <v>57</v>
      </c>
    </row>
    <row r="2757" spans="1:9">
      <c r="A2757" s="4" t="s">
        <v>5568</v>
      </c>
      <c r="B2757" s="4" t="s">
        <v>5569</v>
      </c>
      <c r="C2757" s="4" t="s">
        <v>31</v>
      </c>
      <c r="D2757" s="2">
        <f>1206051584/(10^6)</f>
        <v>1206.051584</v>
      </c>
      <c r="E2757" s="5">
        <v>10.6007537841797</v>
      </c>
      <c r="F2757" s="5">
        <v>2.06305050849915</v>
      </c>
      <c r="G2757" s="5">
        <v>0.464088171720505</v>
      </c>
      <c r="H2757" s="5">
        <v>6.11685132980347</v>
      </c>
      <c r="I2757" t="s">
        <v>57</v>
      </c>
    </row>
    <row r="2758" spans="1:9">
      <c r="A2758" s="4" t="s">
        <v>5570</v>
      </c>
      <c r="B2758" s="4" t="s">
        <v>5571</v>
      </c>
      <c r="C2758" s="4" t="s">
        <v>41</v>
      </c>
      <c r="D2758" s="2">
        <f>1204034816/(10^6)</f>
        <v>1204.034816</v>
      </c>
      <c r="E2758" s="5" t="s">
        <v>86</v>
      </c>
      <c r="F2758" s="5">
        <v>3.73882293701172</v>
      </c>
      <c r="G2758" s="5" t="s">
        <v>86</v>
      </c>
      <c r="H2758" s="5" t="s">
        <v>86</v>
      </c>
      <c r="I2758" t="s">
        <v>57</v>
      </c>
    </row>
    <row r="2759" spans="1:9">
      <c r="A2759" s="4" t="s">
        <v>5572</v>
      </c>
      <c r="B2759" s="4" t="s">
        <v>5573</v>
      </c>
      <c r="C2759" s="4" t="s">
        <v>47</v>
      </c>
      <c r="D2759" s="2">
        <f>1200967296/(10^6)</f>
        <v>1200.967296</v>
      </c>
      <c r="E2759" s="5">
        <v>20.0977745056152</v>
      </c>
      <c r="F2759" s="5">
        <v>2.01978969573975</v>
      </c>
      <c r="G2759" s="5">
        <v>0.072842575609684</v>
      </c>
      <c r="H2759" s="5">
        <v>8.78106117248535</v>
      </c>
      <c r="I2759" t="s">
        <v>57</v>
      </c>
    </row>
    <row r="2760" spans="1:9">
      <c r="A2760" s="4" t="s">
        <v>5574</v>
      </c>
      <c r="B2760" s="4" t="s">
        <v>5575</v>
      </c>
      <c r="C2760" s="4" t="s">
        <v>37</v>
      </c>
      <c r="D2760" s="2">
        <f>1200165120/(10^6)</f>
        <v>1200.16512</v>
      </c>
      <c r="E2760" s="5">
        <v>20.5977458953857</v>
      </c>
      <c r="F2760" s="5">
        <v>2.22729516029358</v>
      </c>
      <c r="G2760" s="5">
        <v>1.17995595932007</v>
      </c>
      <c r="H2760" s="5">
        <v>8.51840782165527</v>
      </c>
      <c r="I2760" t="s">
        <v>57</v>
      </c>
    </row>
    <row r="2761" spans="1:9">
      <c r="A2761" s="4" t="s">
        <v>5576</v>
      </c>
      <c r="B2761" s="4" t="s">
        <v>5577</v>
      </c>
      <c r="C2761" s="4" t="s">
        <v>41</v>
      </c>
      <c r="D2761" s="2">
        <f>1200029952/(10^6)</f>
        <v>1200.029952</v>
      </c>
      <c r="E2761" s="5" t="s">
        <v>86</v>
      </c>
      <c r="F2761" s="5" t="s">
        <v>86</v>
      </c>
      <c r="G2761" s="5" t="s">
        <v>86</v>
      </c>
      <c r="H2761" s="5" t="s">
        <v>86</v>
      </c>
      <c r="I2761" t="s">
        <v>57</v>
      </c>
    </row>
    <row r="2762" spans="1:9">
      <c r="A2762" s="4" t="s">
        <v>5578</v>
      </c>
      <c r="B2762" s="4" t="s">
        <v>5579</v>
      </c>
      <c r="C2762" s="4" t="s">
        <v>41</v>
      </c>
      <c r="D2762" s="2">
        <f>1197013376/(10^6)</f>
        <v>1197.013376</v>
      </c>
      <c r="E2762" s="5" t="s">
        <v>86</v>
      </c>
      <c r="F2762" s="5">
        <v>8.3538761138916</v>
      </c>
      <c r="G2762" s="5">
        <v>4.3404655456543</v>
      </c>
      <c r="H2762" s="5" t="s">
        <v>86</v>
      </c>
      <c r="I2762" t="s">
        <v>57</v>
      </c>
    </row>
    <row r="2763" spans="1:9">
      <c r="A2763" s="4" t="s">
        <v>5580</v>
      </c>
      <c r="B2763" s="4" t="s">
        <v>5581</v>
      </c>
      <c r="C2763" s="4" t="s">
        <v>41</v>
      </c>
      <c r="D2763" s="2">
        <f>1196763136/(10^6)</f>
        <v>1196.763136</v>
      </c>
      <c r="E2763" s="5">
        <v>36.5058135986328</v>
      </c>
      <c r="F2763" s="5">
        <v>0.945478320121765</v>
      </c>
      <c r="G2763" s="5">
        <v>1.71095204353333</v>
      </c>
      <c r="H2763" s="5" t="s">
        <v>86</v>
      </c>
      <c r="I2763" t="s">
        <v>57</v>
      </c>
    </row>
    <row r="2764" spans="1:9">
      <c r="A2764" s="4" t="s">
        <v>5582</v>
      </c>
      <c r="B2764" s="4" t="s">
        <v>5583</v>
      </c>
      <c r="C2764" s="4" t="s">
        <v>51</v>
      </c>
      <c r="D2764" s="2">
        <f>1195827712/(10^6)</f>
        <v>1195.827712</v>
      </c>
      <c r="E2764" s="5" t="s">
        <v>86</v>
      </c>
      <c r="F2764" s="5">
        <v>4.07542371749878</v>
      </c>
      <c r="G2764" s="5">
        <v>2.53885912895203</v>
      </c>
      <c r="H2764" s="5" t="s">
        <v>86</v>
      </c>
      <c r="I2764" t="s">
        <v>57</v>
      </c>
    </row>
    <row r="2765" spans="1:9">
      <c r="A2765" s="4" t="s">
        <v>5584</v>
      </c>
      <c r="B2765" s="4" t="s">
        <v>5585</v>
      </c>
      <c r="C2765" s="4" t="s">
        <v>31</v>
      </c>
      <c r="D2765" s="2">
        <f>1195198336/(10^6)</f>
        <v>1195.198336</v>
      </c>
      <c r="E2765" s="5" t="s">
        <v>86</v>
      </c>
      <c r="F2765" s="5">
        <v>13.4089813232422</v>
      </c>
      <c r="G2765" s="5">
        <v>4.03556489944458</v>
      </c>
      <c r="H2765" s="5" t="s">
        <v>86</v>
      </c>
      <c r="I2765" t="s">
        <v>57</v>
      </c>
    </row>
    <row r="2766" spans="1:9">
      <c r="A2766" s="4" t="s">
        <v>5586</v>
      </c>
      <c r="B2766" s="4" t="s">
        <v>5587</v>
      </c>
      <c r="C2766" s="4" t="s">
        <v>33</v>
      </c>
      <c r="D2766" s="2">
        <f>1194271488/(10^6)</f>
        <v>1194.271488</v>
      </c>
      <c r="E2766" s="5">
        <v>12.9416437149048</v>
      </c>
      <c r="F2766" s="5">
        <v>0.811818480491638</v>
      </c>
      <c r="G2766" s="5">
        <v>0.559753715991974</v>
      </c>
      <c r="H2766" s="5">
        <v>7.97077226638794</v>
      </c>
      <c r="I2766" t="s">
        <v>57</v>
      </c>
    </row>
    <row r="2767" spans="1:9">
      <c r="A2767" s="4" t="s">
        <v>5588</v>
      </c>
      <c r="B2767" s="4" t="s">
        <v>5589</v>
      </c>
      <c r="C2767" s="4" t="s">
        <v>33</v>
      </c>
      <c r="D2767" s="2">
        <f>1194271488/(10^6)</f>
        <v>1194.271488</v>
      </c>
      <c r="E2767" s="5">
        <v>12.9416437149048</v>
      </c>
      <c r="F2767" s="5">
        <v>0.811818480491638</v>
      </c>
      <c r="G2767" s="5">
        <v>0.559753715991974</v>
      </c>
      <c r="H2767" s="5">
        <v>7.97077226638794</v>
      </c>
      <c r="I2767" t="s">
        <v>57</v>
      </c>
    </row>
    <row r="2768" spans="1:9">
      <c r="A2768" s="4" t="s">
        <v>5590</v>
      </c>
      <c r="B2768" s="4" t="s">
        <v>5591</v>
      </c>
      <c r="C2768" s="4" t="s">
        <v>43</v>
      </c>
      <c r="D2768" s="2">
        <f>1184987264/(10^6)</f>
        <v>1184.987264</v>
      </c>
      <c r="E2768" s="5">
        <v>7.27021360397339</v>
      </c>
      <c r="F2768" s="5">
        <v>0.560341775417328</v>
      </c>
      <c r="G2768" s="5">
        <v>1.74770653247833</v>
      </c>
      <c r="H2768" s="5" t="s">
        <v>86</v>
      </c>
      <c r="I2768" t="s">
        <v>57</v>
      </c>
    </row>
    <row r="2769" spans="1:9">
      <c r="A2769" s="4" t="s">
        <v>5592</v>
      </c>
      <c r="B2769" s="4" t="s">
        <v>5593</v>
      </c>
      <c r="C2769" s="4" t="s">
        <v>51</v>
      </c>
      <c r="D2769" s="2">
        <f>1183236480/(10^6)</f>
        <v>1183.23648</v>
      </c>
      <c r="E2769" s="5">
        <v>16.2216339111328</v>
      </c>
      <c r="F2769" s="5">
        <v>2.1172354221344</v>
      </c>
      <c r="G2769" s="5">
        <v>0.981915473937988</v>
      </c>
      <c r="H2769" s="5">
        <v>8.26659965515137</v>
      </c>
      <c r="I2769" t="s">
        <v>57</v>
      </c>
    </row>
    <row r="2770" spans="1:9">
      <c r="A2770" s="4" t="s">
        <v>5594</v>
      </c>
      <c r="B2770" s="4" t="s">
        <v>5595</v>
      </c>
      <c r="C2770" s="4" t="s">
        <v>47</v>
      </c>
      <c r="D2770" s="2">
        <f>1181097728/(10^6)</f>
        <v>1181.097728</v>
      </c>
      <c r="E2770" s="5">
        <v>6.42834901809692</v>
      </c>
      <c r="F2770" s="5" t="s">
        <v>86</v>
      </c>
      <c r="G2770" s="5">
        <v>0.791226029396057</v>
      </c>
      <c r="H2770" s="5">
        <v>6.94709491729736</v>
      </c>
      <c r="I2770" t="s">
        <v>57</v>
      </c>
    </row>
    <row r="2771" spans="1:9">
      <c r="A2771" s="4" t="s">
        <v>5596</v>
      </c>
      <c r="B2771" s="4" t="s">
        <v>5597</v>
      </c>
      <c r="C2771" s="4" t="s">
        <v>43</v>
      </c>
      <c r="D2771" s="2">
        <f>1179113600/(10^6)</f>
        <v>1179.1136</v>
      </c>
      <c r="E2771" s="5">
        <v>44.9987411499023</v>
      </c>
      <c r="F2771" s="5">
        <v>1.22683203220367</v>
      </c>
      <c r="G2771" s="5">
        <v>0.832320332527161</v>
      </c>
      <c r="H2771" s="5" t="s">
        <v>86</v>
      </c>
      <c r="I2771" t="s">
        <v>57</v>
      </c>
    </row>
    <row r="2772" spans="1:9">
      <c r="A2772" s="4" t="s">
        <v>5598</v>
      </c>
      <c r="B2772" s="4" t="s">
        <v>5599</v>
      </c>
      <c r="C2772" s="4" t="s">
        <v>43</v>
      </c>
      <c r="D2772" s="2">
        <f>1178353792/(10^6)</f>
        <v>1178.353792</v>
      </c>
      <c r="E2772" s="5">
        <v>14.7611284255981</v>
      </c>
      <c r="F2772" s="5">
        <v>1.45762622356415</v>
      </c>
      <c r="G2772" s="5">
        <v>1.32652080059052</v>
      </c>
      <c r="H2772" s="5" t="s">
        <v>86</v>
      </c>
      <c r="I2772" t="s">
        <v>57</v>
      </c>
    </row>
    <row r="2773" spans="1:9">
      <c r="A2773" s="4" t="s">
        <v>5600</v>
      </c>
      <c r="B2773" s="4" t="s">
        <v>5601</v>
      </c>
      <c r="C2773" s="4" t="s">
        <v>47</v>
      </c>
      <c r="D2773" s="2">
        <f>1177844992/(10^6)</f>
        <v>1177.844992</v>
      </c>
      <c r="E2773" s="5">
        <v>10.9445571899414</v>
      </c>
      <c r="F2773" s="5">
        <v>1.05114269256592</v>
      </c>
      <c r="G2773" s="5">
        <v>0.46515092253685</v>
      </c>
      <c r="H2773" s="5">
        <v>5.68237447738647</v>
      </c>
      <c r="I2773" t="s">
        <v>57</v>
      </c>
    </row>
    <row r="2774" spans="1:9">
      <c r="A2774" s="4" t="s">
        <v>5602</v>
      </c>
      <c r="B2774" s="4" t="s">
        <v>5603</v>
      </c>
      <c r="C2774" s="4" t="s">
        <v>43</v>
      </c>
      <c r="D2774" s="2">
        <f>1173033472/(10^6)</f>
        <v>1173.033472</v>
      </c>
      <c r="E2774" s="5">
        <v>7.61826515197754</v>
      </c>
      <c r="F2774" s="5">
        <v>0.744845986366272</v>
      </c>
      <c r="G2774" s="5">
        <v>1.90561747550964</v>
      </c>
      <c r="H2774" s="5" t="s">
        <v>86</v>
      </c>
      <c r="I2774" t="s">
        <v>57</v>
      </c>
    </row>
    <row r="2775" spans="1:9">
      <c r="A2775" s="4" t="s">
        <v>5604</v>
      </c>
      <c r="B2775" s="4" t="s">
        <v>5605</v>
      </c>
      <c r="C2775" s="4" t="s">
        <v>47</v>
      </c>
      <c r="D2775" s="2">
        <f>1172932352/(10^6)</f>
        <v>1172.932352</v>
      </c>
      <c r="E2775" s="5">
        <v>2.72933554649353</v>
      </c>
      <c r="F2775" s="5">
        <v>0.624032735824585</v>
      </c>
      <c r="G2775" s="5">
        <v>0.135623678565025</v>
      </c>
      <c r="H2775" s="5">
        <v>5.08066415786743</v>
      </c>
      <c r="I2775" t="s">
        <v>57</v>
      </c>
    </row>
    <row r="2776" spans="1:9">
      <c r="A2776" s="4" t="s">
        <v>5606</v>
      </c>
      <c r="B2776" s="4" t="s">
        <v>5607</v>
      </c>
      <c r="C2776" s="4" t="s">
        <v>43</v>
      </c>
      <c r="D2776" s="2">
        <f>1169356288/(10^6)</f>
        <v>1169.356288</v>
      </c>
      <c r="E2776" s="5">
        <v>11.0859928131104</v>
      </c>
      <c r="F2776" s="5">
        <v>1.21238577365875</v>
      </c>
      <c r="G2776" s="5">
        <v>2.55077290534973</v>
      </c>
      <c r="H2776" s="5" t="s">
        <v>86</v>
      </c>
      <c r="I2776" t="s">
        <v>57</v>
      </c>
    </row>
    <row r="2777" spans="1:9">
      <c r="A2777" s="4" t="s">
        <v>5608</v>
      </c>
      <c r="B2777" s="4" t="s">
        <v>5609</v>
      </c>
      <c r="C2777" s="4" t="s">
        <v>45</v>
      </c>
      <c r="D2777" s="2">
        <f>1165573376/(10^6)</f>
        <v>1165.573376</v>
      </c>
      <c r="E2777" s="5">
        <v>15.235897064209</v>
      </c>
      <c r="F2777" s="5">
        <v>2.35042428970337</v>
      </c>
      <c r="G2777" s="5">
        <v>1.45196032524109</v>
      </c>
      <c r="H2777" s="5">
        <v>6.8155574798584</v>
      </c>
      <c r="I2777" t="s">
        <v>57</v>
      </c>
    </row>
    <row r="2778" spans="1:9">
      <c r="A2778" s="4" t="s">
        <v>5610</v>
      </c>
      <c r="B2778" s="4" t="s">
        <v>5611</v>
      </c>
      <c r="C2778" s="4" t="s">
        <v>47</v>
      </c>
      <c r="D2778" s="2">
        <f>1164717440/(10^6)</f>
        <v>1164.71744</v>
      </c>
      <c r="E2778" s="5">
        <v>9.81474590301514</v>
      </c>
      <c r="F2778" s="5">
        <v>2.32609963417053</v>
      </c>
      <c r="G2778" s="5">
        <v>0.372081428766251</v>
      </c>
      <c r="H2778" s="5">
        <v>10.0161170959473</v>
      </c>
      <c r="I2778" t="s">
        <v>57</v>
      </c>
    </row>
    <row r="2779" spans="1:9">
      <c r="A2779" s="4" t="s">
        <v>5612</v>
      </c>
      <c r="B2779" s="4" t="s">
        <v>5613</v>
      </c>
      <c r="C2779" s="4" t="s">
        <v>31</v>
      </c>
      <c r="D2779" s="2">
        <f>1161041920/(10^6)</f>
        <v>1161.04192</v>
      </c>
      <c r="E2779" s="5">
        <v>13.5355024337769</v>
      </c>
      <c r="F2779" s="5">
        <v>1.37331831455231</v>
      </c>
      <c r="G2779" s="5">
        <v>1.88687002658844</v>
      </c>
      <c r="H2779" s="5">
        <v>8.90327548980713</v>
      </c>
      <c r="I2779" t="s">
        <v>57</v>
      </c>
    </row>
    <row r="2780" spans="1:9">
      <c r="A2780" s="4" t="s">
        <v>5614</v>
      </c>
      <c r="B2780" s="4" t="s">
        <v>5615</v>
      </c>
      <c r="C2780" s="4" t="s">
        <v>31</v>
      </c>
      <c r="D2780" s="2">
        <f>1160527872/(10^6)</f>
        <v>1160.527872</v>
      </c>
      <c r="E2780" s="5" t="s">
        <v>86</v>
      </c>
      <c r="F2780" s="5">
        <v>3.07640957832336</v>
      </c>
      <c r="G2780" s="5">
        <v>0.618572235107422</v>
      </c>
      <c r="H2780" s="5">
        <v>11.3237056732178</v>
      </c>
      <c r="I2780" t="s">
        <v>57</v>
      </c>
    </row>
    <row r="2781" spans="1:9">
      <c r="A2781" s="4" t="s">
        <v>5616</v>
      </c>
      <c r="B2781" s="4" t="s">
        <v>5617</v>
      </c>
      <c r="C2781" s="4" t="s">
        <v>41</v>
      </c>
      <c r="D2781" s="2">
        <f>1158001408/(10^6)</f>
        <v>1158.001408</v>
      </c>
      <c r="E2781" s="5" t="s">
        <v>86</v>
      </c>
      <c r="F2781" s="5">
        <v>9.6799898147583</v>
      </c>
      <c r="G2781" s="5">
        <v>15.4747095108032</v>
      </c>
      <c r="H2781" s="5" t="s">
        <v>86</v>
      </c>
      <c r="I2781" t="s">
        <v>57</v>
      </c>
    </row>
    <row r="2782" spans="1:9">
      <c r="A2782" s="4" t="s">
        <v>5618</v>
      </c>
      <c r="B2782" s="4" t="s">
        <v>5619</v>
      </c>
      <c r="C2782" s="4" t="s">
        <v>47</v>
      </c>
      <c r="D2782" s="2">
        <f>1157954432/(10^6)</f>
        <v>1157.954432</v>
      </c>
      <c r="E2782" s="5">
        <v>6.09322309494019</v>
      </c>
      <c r="F2782" s="5">
        <v>16.652229309082</v>
      </c>
      <c r="G2782" s="5">
        <v>0.451486825942993</v>
      </c>
      <c r="H2782" s="5">
        <v>8.68108654022217</v>
      </c>
      <c r="I2782" t="s">
        <v>57</v>
      </c>
    </row>
    <row r="2783" spans="1:9">
      <c r="A2783" s="4" t="s">
        <v>5620</v>
      </c>
      <c r="B2783" s="4" t="s">
        <v>5621</v>
      </c>
      <c r="C2783" s="4" t="s">
        <v>41</v>
      </c>
      <c r="D2783" s="2">
        <f>1157142272/(10^6)</f>
        <v>1157.142272</v>
      </c>
      <c r="E2783" s="5" t="s">
        <v>86</v>
      </c>
      <c r="F2783" s="5">
        <v>4.37695264816284</v>
      </c>
      <c r="G2783" s="5" t="s">
        <v>86</v>
      </c>
      <c r="H2783" s="5" t="s">
        <v>86</v>
      </c>
      <c r="I2783" t="s">
        <v>57</v>
      </c>
    </row>
    <row r="2784" spans="1:9">
      <c r="A2784" s="4" t="s">
        <v>5622</v>
      </c>
      <c r="B2784" s="4" t="s">
        <v>5623</v>
      </c>
      <c r="C2784" s="4" t="s">
        <v>43</v>
      </c>
      <c r="D2784" s="2">
        <f>1154342144/(10^6)</f>
        <v>1154.342144</v>
      </c>
      <c r="E2784" s="5">
        <v>3.87471437454224</v>
      </c>
      <c r="F2784" s="5">
        <v>0.602969646453857</v>
      </c>
      <c r="G2784" s="5">
        <v>1.9373517036438</v>
      </c>
      <c r="H2784" s="5" t="s">
        <v>86</v>
      </c>
      <c r="I2784" t="s">
        <v>57</v>
      </c>
    </row>
    <row r="2785" spans="1:9">
      <c r="A2785" s="4" t="s">
        <v>5624</v>
      </c>
      <c r="B2785" s="4" t="s">
        <v>5625</v>
      </c>
      <c r="C2785" s="4" t="s">
        <v>41</v>
      </c>
      <c r="D2785" s="2">
        <f>1151951104/(10^6)</f>
        <v>1151.951104</v>
      </c>
      <c r="E2785" s="5" t="s">
        <v>86</v>
      </c>
      <c r="F2785" s="5">
        <v>4.79974460601807</v>
      </c>
      <c r="G2785" s="5">
        <v>8.83511161804199</v>
      </c>
      <c r="H2785" s="5" t="s">
        <v>86</v>
      </c>
      <c r="I2785" t="s">
        <v>57</v>
      </c>
    </row>
    <row r="2786" spans="1:9">
      <c r="A2786" s="4" t="s">
        <v>5626</v>
      </c>
      <c r="B2786" s="4" t="s">
        <v>5627</v>
      </c>
      <c r="C2786" s="4" t="s">
        <v>31</v>
      </c>
      <c r="D2786" s="2">
        <f>1150807552/(10^6)</f>
        <v>1150.807552</v>
      </c>
      <c r="E2786" s="5">
        <v>8.63096904754639</v>
      </c>
      <c r="F2786" s="5">
        <v>1.03728652000427</v>
      </c>
      <c r="G2786" s="5">
        <v>0.20537456870079</v>
      </c>
      <c r="H2786" s="5">
        <v>5.16025972366333</v>
      </c>
      <c r="I2786" t="s">
        <v>57</v>
      </c>
    </row>
    <row r="2787" spans="1:9">
      <c r="A2787" s="4" t="s">
        <v>5628</v>
      </c>
      <c r="B2787" s="4" t="s">
        <v>5629</v>
      </c>
      <c r="C2787" s="4" t="s">
        <v>31</v>
      </c>
      <c r="D2787" s="2">
        <f>1150807552/(10^6)</f>
        <v>1150.807552</v>
      </c>
      <c r="E2787" s="5">
        <v>8.63096904754639</v>
      </c>
      <c r="F2787" s="5">
        <v>1.03728652000427</v>
      </c>
      <c r="G2787" s="5">
        <v>0.20537456870079</v>
      </c>
      <c r="H2787" s="5">
        <v>5.16025972366333</v>
      </c>
      <c r="I2787" t="s">
        <v>57</v>
      </c>
    </row>
    <row r="2788" spans="1:9">
      <c r="A2788" s="4" t="s">
        <v>5630</v>
      </c>
      <c r="B2788" s="4" t="s">
        <v>5631</v>
      </c>
      <c r="C2788" s="4" t="s">
        <v>41</v>
      </c>
      <c r="D2788" s="2">
        <f>1148352128/(10^6)</f>
        <v>1148.352128</v>
      </c>
      <c r="E2788" s="5">
        <v>13.6565322875977</v>
      </c>
      <c r="F2788" s="5">
        <v>10.8746175765991</v>
      </c>
      <c r="G2788" s="5">
        <v>3.18836402893066</v>
      </c>
      <c r="H2788" s="5">
        <v>10.2492971420288</v>
      </c>
      <c r="I2788" t="s">
        <v>57</v>
      </c>
    </row>
    <row r="2789" spans="1:9">
      <c r="A2789" s="4" t="s">
        <v>5632</v>
      </c>
      <c r="B2789" s="4" t="s">
        <v>5633</v>
      </c>
      <c r="C2789" s="4" t="s">
        <v>41</v>
      </c>
      <c r="D2789" s="2">
        <f>1145487872/(10^6)</f>
        <v>1145.487872</v>
      </c>
      <c r="E2789" s="5" t="s">
        <v>86</v>
      </c>
      <c r="F2789" s="5">
        <v>6.15692186355591</v>
      </c>
      <c r="G2789" s="5">
        <v>3.7080774307251</v>
      </c>
      <c r="H2789" s="5">
        <v>243.509078979492</v>
      </c>
      <c r="I2789" t="s">
        <v>57</v>
      </c>
    </row>
    <row r="2790" spans="1:9">
      <c r="A2790" s="4" t="s">
        <v>5634</v>
      </c>
      <c r="B2790" s="4" t="s">
        <v>5635</v>
      </c>
      <c r="C2790" s="4" t="s">
        <v>47</v>
      </c>
      <c r="D2790" s="2">
        <f>1144919808/(10^6)</f>
        <v>1144.919808</v>
      </c>
      <c r="E2790" s="5">
        <v>9.48290824890137</v>
      </c>
      <c r="F2790" s="5" t="s">
        <v>86</v>
      </c>
      <c r="G2790" s="5">
        <v>0.807134330272675</v>
      </c>
      <c r="H2790" s="5">
        <v>7.03693294525146</v>
      </c>
      <c r="I2790" t="s">
        <v>57</v>
      </c>
    </row>
    <row r="2791" spans="1:9">
      <c r="A2791" s="4" t="s">
        <v>5636</v>
      </c>
      <c r="B2791" s="4" t="s">
        <v>5637</v>
      </c>
      <c r="C2791" s="4" t="s">
        <v>43</v>
      </c>
      <c r="D2791" s="2">
        <f>1144356096/(10^6)</f>
        <v>1144.356096</v>
      </c>
      <c r="E2791" s="5">
        <v>3.65434074401856</v>
      </c>
      <c r="F2791" s="5">
        <v>0.426572233438492</v>
      </c>
      <c r="G2791" s="5">
        <v>0.784595668315887</v>
      </c>
      <c r="H2791" s="5" t="s">
        <v>86</v>
      </c>
      <c r="I2791" t="s">
        <v>57</v>
      </c>
    </row>
    <row r="2792" spans="1:9">
      <c r="A2792" s="4" t="s">
        <v>5638</v>
      </c>
      <c r="B2792" s="4" t="s">
        <v>5639</v>
      </c>
      <c r="C2792" s="4" t="s">
        <v>51</v>
      </c>
      <c r="D2792" s="2">
        <f>1144010752/(10^6)</f>
        <v>1144.010752</v>
      </c>
      <c r="E2792" s="5">
        <v>11.2165985107422</v>
      </c>
      <c r="F2792" s="5" t="s">
        <v>86</v>
      </c>
      <c r="G2792" s="5">
        <v>0.927909851074219</v>
      </c>
      <c r="H2792" s="5">
        <v>21.679027557373</v>
      </c>
      <c r="I2792" t="s">
        <v>57</v>
      </c>
    </row>
    <row r="2793" spans="1:9">
      <c r="A2793" s="4" t="s">
        <v>5640</v>
      </c>
      <c r="B2793" s="4" t="s">
        <v>5641</v>
      </c>
      <c r="C2793" s="4" t="s">
        <v>41</v>
      </c>
      <c r="D2793" s="2">
        <f>1141647232/(10^6)</f>
        <v>1141.647232</v>
      </c>
      <c r="E2793" s="5">
        <v>31.1145191192627</v>
      </c>
      <c r="F2793" s="5">
        <v>4.79990100860596</v>
      </c>
      <c r="G2793" s="5">
        <v>7.35985136032104</v>
      </c>
      <c r="H2793" s="5">
        <v>20.8799610137939</v>
      </c>
      <c r="I2793" t="s">
        <v>57</v>
      </c>
    </row>
    <row r="2794" spans="1:9">
      <c r="A2794" s="4" t="s">
        <v>5642</v>
      </c>
      <c r="B2794" s="4" t="s">
        <v>5643</v>
      </c>
      <c r="C2794" s="4" t="s">
        <v>37</v>
      </c>
      <c r="D2794" s="2">
        <f>1136028928/(10^6)</f>
        <v>1136.028928</v>
      </c>
      <c r="E2794" s="5">
        <v>10.5742359161377</v>
      </c>
      <c r="F2794" s="5">
        <v>0.54352855682373</v>
      </c>
      <c r="G2794" s="5">
        <v>0.274895757436752</v>
      </c>
      <c r="H2794" s="5">
        <v>4.13786315917969</v>
      </c>
      <c r="I2794" t="s">
        <v>57</v>
      </c>
    </row>
    <row r="2795" spans="1:9">
      <c r="A2795" s="4" t="s">
        <v>5644</v>
      </c>
      <c r="B2795" s="4" t="s">
        <v>5645</v>
      </c>
      <c r="C2795" s="4" t="s">
        <v>47</v>
      </c>
      <c r="D2795" s="2">
        <f>1133670400/(10^6)</f>
        <v>1133.6704</v>
      </c>
      <c r="E2795" s="5">
        <v>50.5563926696777</v>
      </c>
      <c r="F2795" s="5">
        <v>3.45401978492737</v>
      </c>
      <c r="G2795" s="5">
        <v>1.73184633255005</v>
      </c>
      <c r="H2795" s="5">
        <v>12.6629858016968</v>
      </c>
      <c r="I2795" t="s">
        <v>57</v>
      </c>
    </row>
    <row r="2796" spans="1:9">
      <c r="A2796" s="4" t="s">
        <v>5646</v>
      </c>
      <c r="B2796" s="4" t="s">
        <v>5647</v>
      </c>
      <c r="C2796" s="4" t="s">
        <v>31</v>
      </c>
      <c r="D2796" s="2">
        <f>1133378048/(10^6)</f>
        <v>1133.378048</v>
      </c>
      <c r="E2796" s="5">
        <v>18.5063762664795</v>
      </c>
      <c r="F2796" s="5">
        <v>0.883309543132782</v>
      </c>
      <c r="G2796" s="5">
        <v>0.456659942865372</v>
      </c>
      <c r="H2796" s="5">
        <v>8.83807754516602</v>
      </c>
      <c r="I2796" t="s">
        <v>57</v>
      </c>
    </row>
    <row r="2797" spans="1:9">
      <c r="A2797" s="4" t="s">
        <v>5648</v>
      </c>
      <c r="B2797" s="4" t="s">
        <v>5649</v>
      </c>
      <c r="C2797" s="4" t="s">
        <v>31</v>
      </c>
      <c r="D2797" s="2">
        <f>1130330880/(10^6)</f>
        <v>1130.33088</v>
      </c>
      <c r="E2797" s="5">
        <v>17.4252948760986</v>
      </c>
      <c r="F2797" s="5">
        <v>1.95618522167206</v>
      </c>
      <c r="G2797" s="5">
        <v>2.03511095046997</v>
      </c>
      <c r="H2797" s="5">
        <v>10.727970123291</v>
      </c>
      <c r="I2797" t="s">
        <v>57</v>
      </c>
    </row>
    <row r="2798" spans="1:9">
      <c r="A2798" s="4" t="s">
        <v>5650</v>
      </c>
      <c r="B2798" s="4" t="s">
        <v>5651</v>
      </c>
      <c r="C2798" s="4" t="s">
        <v>43</v>
      </c>
      <c r="D2798" s="2">
        <f>1130317312/(10^6)</f>
        <v>1130.317312</v>
      </c>
      <c r="E2798" s="5">
        <v>5.25000047683716</v>
      </c>
      <c r="F2798" s="5">
        <v>0.631875395774841</v>
      </c>
      <c r="G2798" s="5">
        <v>0.803781807422638</v>
      </c>
      <c r="H2798" s="5" t="s">
        <v>86</v>
      </c>
      <c r="I2798" t="s">
        <v>57</v>
      </c>
    </row>
    <row r="2799" spans="1:9">
      <c r="A2799" s="4" t="s">
        <v>5652</v>
      </c>
      <c r="B2799" s="4" t="s">
        <v>5653</v>
      </c>
      <c r="C2799" s="4" t="s">
        <v>43</v>
      </c>
      <c r="D2799" s="2">
        <f>1130303488/(10^6)</f>
        <v>1130.303488</v>
      </c>
      <c r="E2799" s="5">
        <v>10.2722158432007</v>
      </c>
      <c r="F2799" s="5">
        <v>0.966373920440674</v>
      </c>
      <c r="G2799" s="5">
        <v>1.37741231918335</v>
      </c>
      <c r="H2799" s="5" t="s">
        <v>86</v>
      </c>
      <c r="I2799" t="s">
        <v>57</v>
      </c>
    </row>
    <row r="2800" spans="1:9">
      <c r="A2800" s="4" t="s">
        <v>5654</v>
      </c>
      <c r="B2800" s="4" t="s">
        <v>5655</v>
      </c>
      <c r="C2800" s="4" t="s">
        <v>41</v>
      </c>
      <c r="D2800" s="2">
        <f>1126959104/(10^6)</f>
        <v>1126.959104</v>
      </c>
      <c r="E2800" s="5">
        <v>7.7762017250061</v>
      </c>
      <c r="F2800" s="5">
        <v>3.59279322624206</v>
      </c>
      <c r="G2800" s="5">
        <v>4.3095064163208</v>
      </c>
      <c r="H2800" s="5">
        <v>4.54369163513184</v>
      </c>
      <c r="I2800" t="s">
        <v>57</v>
      </c>
    </row>
    <row r="2801" spans="1:9">
      <c r="A2801" s="4" t="s">
        <v>5656</v>
      </c>
      <c r="B2801" s="4" t="s">
        <v>5657</v>
      </c>
      <c r="C2801" s="4" t="s">
        <v>31</v>
      </c>
      <c r="D2801" s="2">
        <f>1124546560/(10^6)</f>
        <v>1124.54656</v>
      </c>
      <c r="E2801" s="5">
        <v>8.73183059692383</v>
      </c>
      <c r="F2801" s="5">
        <v>0.580986857414246</v>
      </c>
      <c r="G2801" s="5">
        <v>0.609866559505463</v>
      </c>
      <c r="H2801" s="5">
        <v>6.86899423599243</v>
      </c>
      <c r="I2801" t="s">
        <v>57</v>
      </c>
    </row>
    <row r="2802" spans="1:9">
      <c r="A2802" s="4" t="s">
        <v>5658</v>
      </c>
      <c r="B2802" s="4" t="s">
        <v>5659</v>
      </c>
      <c r="C2802" s="4" t="s">
        <v>51</v>
      </c>
      <c r="D2802" s="2">
        <f>1124298496/(10^6)</f>
        <v>1124.298496</v>
      </c>
      <c r="E2802" s="5">
        <v>21.1515216827393</v>
      </c>
      <c r="F2802" s="5">
        <v>4.71263027191162</v>
      </c>
      <c r="G2802" s="5">
        <v>3.93089008331299</v>
      </c>
      <c r="H2802" s="5" t="s">
        <v>86</v>
      </c>
      <c r="I2802" t="s">
        <v>57</v>
      </c>
    </row>
    <row r="2803" spans="1:9">
      <c r="A2803" s="4" t="s">
        <v>5660</v>
      </c>
      <c r="B2803" s="4" t="s">
        <v>5661</v>
      </c>
      <c r="C2803" s="4" t="s">
        <v>31</v>
      </c>
      <c r="D2803" s="2">
        <f>1122652032/(10^6)</f>
        <v>1122.652032</v>
      </c>
      <c r="E2803" s="5">
        <v>11.9304962158203</v>
      </c>
      <c r="F2803" s="5">
        <v>1.79216635227203</v>
      </c>
      <c r="G2803" s="5">
        <v>0.519774317741394</v>
      </c>
      <c r="H2803" s="5">
        <v>6.65568876266479</v>
      </c>
      <c r="I2803" t="s">
        <v>57</v>
      </c>
    </row>
    <row r="2804" spans="1:9">
      <c r="A2804" s="4" t="s">
        <v>5662</v>
      </c>
      <c r="B2804" s="4" t="s">
        <v>5663</v>
      </c>
      <c r="C2804" s="4" t="s">
        <v>37</v>
      </c>
      <c r="D2804" s="2">
        <f>1119710208/(10^6)</f>
        <v>1119.710208</v>
      </c>
      <c r="E2804" s="5">
        <v>7.72340297698975</v>
      </c>
      <c r="F2804" s="5">
        <v>0.799885272979736</v>
      </c>
      <c r="G2804" s="5">
        <v>0.635649263858795</v>
      </c>
      <c r="H2804" s="5">
        <v>5.86058330535889</v>
      </c>
      <c r="I2804" t="s">
        <v>57</v>
      </c>
    </row>
    <row r="2805" spans="1:9">
      <c r="A2805" s="4" t="s">
        <v>5664</v>
      </c>
      <c r="B2805" s="4" t="s">
        <v>5665</v>
      </c>
      <c r="C2805" s="4" t="s">
        <v>31</v>
      </c>
      <c r="D2805" s="2">
        <f>1116065024/(10^6)</f>
        <v>1116.065024</v>
      </c>
      <c r="E2805" s="5">
        <v>15.5679969787598</v>
      </c>
      <c r="F2805" s="5">
        <v>1.69468855857849</v>
      </c>
      <c r="G2805" s="5">
        <v>1.15511882305145</v>
      </c>
      <c r="H2805" s="5">
        <v>9.85342693328857</v>
      </c>
      <c r="I2805" t="s">
        <v>57</v>
      </c>
    </row>
    <row r="2806" spans="1:9">
      <c r="A2806" s="4" t="s">
        <v>5666</v>
      </c>
      <c r="B2806" s="4" t="s">
        <v>5667</v>
      </c>
      <c r="C2806" s="4" t="s">
        <v>43</v>
      </c>
      <c r="D2806" s="2">
        <f>1115325440/(10^6)</f>
        <v>1115.32544</v>
      </c>
      <c r="E2806" s="5">
        <v>6.79430866241455</v>
      </c>
      <c r="F2806" s="5">
        <v>0.969046235084534</v>
      </c>
      <c r="G2806" s="5">
        <v>1.59879612922669</v>
      </c>
      <c r="H2806" s="5" t="s">
        <v>86</v>
      </c>
      <c r="I2806" t="s">
        <v>57</v>
      </c>
    </row>
    <row r="2807" spans="1:9">
      <c r="A2807" s="4" t="s">
        <v>5668</v>
      </c>
      <c r="B2807" s="4" t="s">
        <v>5669</v>
      </c>
      <c r="C2807" s="4" t="s">
        <v>43</v>
      </c>
      <c r="D2807" s="2">
        <f>1112407936/(10^6)</f>
        <v>1112.407936</v>
      </c>
      <c r="E2807" s="5">
        <v>12.5026168823242</v>
      </c>
      <c r="F2807" s="5">
        <v>2.58570218086243</v>
      </c>
      <c r="G2807" s="5">
        <v>2.99508428573608</v>
      </c>
      <c r="H2807" s="5" t="s">
        <v>86</v>
      </c>
      <c r="I2807" t="s">
        <v>57</v>
      </c>
    </row>
    <row r="2808" spans="1:9">
      <c r="A2808" s="4" t="s">
        <v>5670</v>
      </c>
      <c r="B2808" s="4" t="s">
        <v>5671</v>
      </c>
      <c r="C2808" s="4" t="s">
        <v>31</v>
      </c>
      <c r="D2808" s="2">
        <f>1103694464/(10^6)</f>
        <v>1103.694464</v>
      </c>
      <c r="E2808" s="5">
        <v>9.72377300262451</v>
      </c>
      <c r="F2808" s="5">
        <v>1.12432253360748</v>
      </c>
      <c r="G2808" s="5">
        <v>0.303821891546249</v>
      </c>
      <c r="H2808" s="5">
        <v>5.39802694320679</v>
      </c>
      <c r="I2808" t="s">
        <v>57</v>
      </c>
    </row>
    <row r="2809" spans="1:9">
      <c r="A2809" s="4" t="s">
        <v>5672</v>
      </c>
      <c r="B2809" s="4" t="s">
        <v>5673</v>
      </c>
      <c r="C2809" s="4" t="s">
        <v>41</v>
      </c>
      <c r="D2809" s="2">
        <f>1103398784/(10^6)</f>
        <v>1103.398784</v>
      </c>
      <c r="E2809" s="5">
        <v>52.0352058410645</v>
      </c>
      <c r="F2809" s="5">
        <v>3.20030546188354</v>
      </c>
      <c r="G2809" s="5">
        <v>3.01778721809387</v>
      </c>
      <c r="H2809" s="5">
        <v>25.103666305542</v>
      </c>
      <c r="I2809" t="s">
        <v>57</v>
      </c>
    </row>
    <row r="2810" spans="1:9">
      <c r="A2810" s="4" t="s">
        <v>5674</v>
      </c>
      <c r="B2810" s="4" t="s">
        <v>5675</v>
      </c>
      <c r="C2810" s="4" t="s">
        <v>41</v>
      </c>
      <c r="D2810" s="2">
        <f>1102382080/(10^6)</f>
        <v>1102.38208</v>
      </c>
      <c r="E2810" s="5" t="s">
        <v>86</v>
      </c>
      <c r="F2810" s="5">
        <v>1.46449601650238</v>
      </c>
      <c r="G2810" s="5">
        <v>10.6151256561279</v>
      </c>
      <c r="H2810" s="5">
        <v>0.825579881668091</v>
      </c>
      <c r="I2810" t="s">
        <v>57</v>
      </c>
    </row>
    <row r="2811" spans="1:9">
      <c r="A2811" s="4" t="s">
        <v>5676</v>
      </c>
      <c r="B2811" s="4" t="s">
        <v>5677</v>
      </c>
      <c r="C2811" s="4" t="s">
        <v>41</v>
      </c>
      <c r="D2811" s="2">
        <f>1101133568/(10^6)</f>
        <v>1101.133568</v>
      </c>
      <c r="E2811" s="5">
        <v>151.714111328125</v>
      </c>
      <c r="F2811" s="5" t="s">
        <v>86</v>
      </c>
      <c r="G2811" s="5">
        <v>0.639692306518555</v>
      </c>
      <c r="H2811" s="5">
        <v>15.4594697952271</v>
      </c>
      <c r="I2811" t="s">
        <v>57</v>
      </c>
    </row>
    <row r="2812" spans="1:9">
      <c r="A2812" s="4" t="s">
        <v>5678</v>
      </c>
      <c r="B2812" s="4" t="s">
        <v>5679</v>
      </c>
      <c r="C2812" s="4" t="s">
        <v>51</v>
      </c>
      <c r="D2812" s="2">
        <f>1100836864/(10^6)</f>
        <v>1100.836864</v>
      </c>
      <c r="E2812" s="5">
        <v>28.366491317749</v>
      </c>
      <c r="F2812" s="5">
        <v>3.19381523132324</v>
      </c>
      <c r="G2812" s="5">
        <v>2.39712333679199</v>
      </c>
      <c r="H2812" s="5">
        <v>8.81464004516602</v>
      </c>
      <c r="I2812" t="s">
        <v>57</v>
      </c>
    </row>
    <row r="2813" spans="1:9">
      <c r="A2813" s="4" t="s">
        <v>5680</v>
      </c>
      <c r="B2813" s="4" t="s">
        <v>5681</v>
      </c>
      <c r="C2813" s="4" t="s">
        <v>43</v>
      </c>
      <c r="D2813" s="2">
        <f>1098508672/(10^6)</f>
        <v>1098.508672</v>
      </c>
      <c r="E2813" s="5">
        <v>7.84509181976318</v>
      </c>
      <c r="F2813" s="5">
        <v>2.03640532493591</v>
      </c>
      <c r="G2813" s="5">
        <v>1.77275252342224</v>
      </c>
      <c r="H2813" s="5">
        <v>13.6225776672363</v>
      </c>
      <c r="I2813" t="s">
        <v>57</v>
      </c>
    </row>
    <row r="2814" spans="1:9">
      <c r="A2814" s="4" t="s">
        <v>5682</v>
      </c>
      <c r="B2814" s="4" t="s">
        <v>5683</v>
      </c>
      <c r="C2814" s="4" t="s">
        <v>27</v>
      </c>
      <c r="D2814" s="2">
        <f>1098295680/(10^6)</f>
        <v>1098.29568</v>
      </c>
      <c r="E2814" s="5">
        <v>7.93569326400757</v>
      </c>
      <c r="F2814" s="5">
        <v>0.509649991989136</v>
      </c>
      <c r="G2814" s="5">
        <v>0.030021721497178</v>
      </c>
      <c r="H2814" s="5">
        <v>8.66248416900635</v>
      </c>
      <c r="I2814" t="s">
        <v>57</v>
      </c>
    </row>
    <row r="2815" spans="1:9">
      <c r="A2815" s="4" t="s">
        <v>5684</v>
      </c>
      <c r="B2815" s="4" t="s">
        <v>5685</v>
      </c>
      <c r="C2815" s="4" t="s">
        <v>47</v>
      </c>
      <c r="D2815" s="2">
        <f>1095454848/(10^6)</f>
        <v>1095.454848</v>
      </c>
      <c r="E2815" s="5">
        <v>4.3465166091919</v>
      </c>
      <c r="F2815" s="5">
        <v>495.509796142578</v>
      </c>
      <c r="G2815" s="5">
        <v>0.287761658430099</v>
      </c>
      <c r="H2815" s="5">
        <v>5.30952501296997</v>
      </c>
      <c r="I2815" t="s">
        <v>57</v>
      </c>
    </row>
    <row r="2816" spans="1:9">
      <c r="A2816" s="4" t="s">
        <v>5686</v>
      </c>
      <c r="B2816" s="4" t="s">
        <v>5687</v>
      </c>
      <c r="C2816" s="4" t="s">
        <v>41</v>
      </c>
      <c r="D2816" s="2">
        <f>1095312768/(10^6)</f>
        <v>1095.312768</v>
      </c>
      <c r="E2816" s="5" t="s">
        <v>86</v>
      </c>
      <c r="F2816" s="5">
        <v>4.1341028213501</v>
      </c>
      <c r="G2816" s="5">
        <v>49.0236968994141</v>
      </c>
      <c r="H2816" s="5" t="s">
        <v>86</v>
      </c>
      <c r="I2816" t="s">
        <v>57</v>
      </c>
    </row>
    <row r="2817" spans="1:9">
      <c r="A2817" s="4" t="s">
        <v>5688</v>
      </c>
      <c r="B2817" s="4" t="s">
        <v>5689</v>
      </c>
      <c r="C2817" s="4" t="s">
        <v>41</v>
      </c>
      <c r="D2817" s="2">
        <f>1094786560/(10^6)</f>
        <v>1094.78656</v>
      </c>
      <c r="E2817" s="5">
        <v>18.9456462860107</v>
      </c>
      <c r="F2817" s="5">
        <v>1.40602290630341</v>
      </c>
      <c r="G2817" s="5">
        <v>1.0942440032959</v>
      </c>
      <c r="H2817" s="5">
        <v>7.48896360397339</v>
      </c>
      <c r="I2817" t="s">
        <v>57</v>
      </c>
    </row>
    <row r="2818" spans="1:9">
      <c r="A2818" s="4" t="s">
        <v>5690</v>
      </c>
      <c r="B2818" s="4" t="s">
        <v>5691</v>
      </c>
      <c r="C2818" s="4" t="s">
        <v>43</v>
      </c>
      <c r="D2818" s="2">
        <f>1093993856/(10^6)</f>
        <v>1093.993856</v>
      </c>
      <c r="E2818" s="5">
        <v>8.25984382629395</v>
      </c>
      <c r="F2818" s="5">
        <v>1.08851957321167</v>
      </c>
      <c r="G2818" s="5">
        <v>2.30462121963501</v>
      </c>
      <c r="H2818" s="5" t="s">
        <v>86</v>
      </c>
      <c r="I2818" t="s">
        <v>57</v>
      </c>
    </row>
    <row r="2819" spans="1:9">
      <c r="A2819" s="4" t="s">
        <v>5692</v>
      </c>
      <c r="B2819" s="4" t="s">
        <v>5693</v>
      </c>
      <c r="C2819" s="4" t="s">
        <v>43</v>
      </c>
      <c r="D2819" s="2">
        <f>1092701312/(10^6)</f>
        <v>1092.701312</v>
      </c>
      <c r="E2819" s="5">
        <v>7.98856210708618</v>
      </c>
      <c r="F2819" s="5">
        <v>0.69122713804245</v>
      </c>
      <c r="G2819" s="5">
        <v>1.69545245170593</v>
      </c>
      <c r="H2819" s="5" t="s">
        <v>86</v>
      </c>
      <c r="I2819" t="s">
        <v>57</v>
      </c>
    </row>
    <row r="2820" spans="1:9">
      <c r="A2820" s="4" t="s">
        <v>5694</v>
      </c>
      <c r="B2820" s="4" t="s">
        <v>5695</v>
      </c>
      <c r="C2820" s="4" t="s">
        <v>31</v>
      </c>
      <c r="D2820" s="2">
        <f>1089883776/(10^6)</f>
        <v>1089.883776</v>
      </c>
      <c r="E2820" s="5">
        <v>42.9026374816895</v>
      </c>
      <c r="F2820" s="5">
        <v>0.591977179050446</v>
      </c>
      <c r="G2820" s="5">
        <v>0.153786048293114</v>
      </c>
      <c r="H2820" s="5">
        <v>10.6919212341309</v>
      </c>
      <c r="I2820" t="s">
        <v>57</v>
      </c>
    </row>
    <row r="2821" spans="1:9">
      <c r="A2821" s="4" t="s">
        <v>5696</v>
      </c>
      <c r="B2821" s="4" t="s">
        <v>5697</v>
      </c>
      <c r="C2821" s="4" t="s">
        <v>31</v>
      </c>
      <c r="D2821" s="2">
        <f>1089322880/(10^6)</f>
        <v>1089.32288</v>
      </c>
      <c r="E2821" s="5">
        <v>4.78876161575317</v>
      </c>
      <c r="F2821" s="5">
        <v>1.6525913476944</v>
      </c>
      <c r="G2821" s="5">
        <v>0.120136506855488</v>
      </c>
      <c r="H2821" s="5">
        <v>4.44466733932495</v>
      </c>
      <c r="I2821" t="s">
        <v>57</v>
      </c>
    </row>
    <row r="2822" spans="1:9">
      <c r="A2822" s="4" t="s">
        <v>5698</v>
      </c>
      <c r="B2822" s="4" t="s">
        <v>5699</v>
      </c>
      <c r="C2822" s="4" t="s">
        <v>41</v>
      </c>
      <c r="D2822" s="2">
        <f>1088210944/(10^6)</f>
        <v>1088.210944</v>
      </c>
      <c r="E2822" s="5">
        <v>19.9890403747559</v>
      </c>
      <c r="F2822" s="5">
        <v>0.776150107383728</v>
      </c>
      <c r="G2822" s="5">
        <v>0.149191275238991</v>
      </c>
      <c r="H2822" s="5">
        <v>4.69677209854126</v>
      </c>
      <c r="I2822" t="s">
        <v>57</v>
      </c>
    </row>
    <row r="2823" spans="1:9">
      <c r="A2823" s="4" t="s">
        <v>5700</v>
      </c>
      <c r="B2823" s="4" t="s">
        <v>5701</v>
      </c>
      <c r="C2823" s="4" t="s">
        <v>43</v>
      </c>
      <c r="D2823" s="2">
        <f>1080726784/(10^6)</f>
        <v>1080.726784</v>
      </c>
      <c r="E2823" s="5">
        <v>6.90687131881714</v>
      </c>
      <c r="F2823" s="5">
        <v>0.536342561244965</v>
      </c>
      <c r="G2823" s="5">
        <v>1.94894587993622</v>
      </c>
      <c r="H2823" s="5" t="s">
        <v>86</v>
      </c>
      <c r="I2823" t="s">
        <v>57</v>
      </c>
    </row>
    <row r="2824" spans="1:9">
      <c r="A2824" s="4" t="s">
        <v>5702</v>
      </c>
      <c r="B2824" s="4" t="s">
        <v>5703</v>
      </c>
      <c r="C2824" s="4" t="s">
        <v>31</v>
      </c>
      <c r="D2824" s="2">
        <f>1080564608/(10^6)</f>
        <v>1080.564608</v>
      </c>
      <c r="E2824" s="5">
        <v>3.95247721672058</v>
      </c>
      <c r="F2824" s="5">
        <v>3.23135185241699</v>
      </c>
      <c r="G2824" s="5">
        <v>0.282943874597549</v>
      </c>
      <c r="H2824" s="5">
        <v>5.37702608108521</v>
      </c>
      <c r="I2824" t="s">
        <v>57</v>
      </c>
    </row>
    <row r="2825" spans="1:9">
      <c r="A2825" s="4" t="s">
        <v>5704</v>
      </c>
      <c r="B2825" s="4" t="s">
        <v>5705</v>
      </c>
      <c r="C2825" s="4" t="s">
        <v>37</v>
      </c>
      <c r="D2825" s="2">
        <f>1077925888/(10^6)</f>
        <v>1077.925888</v>
      </c>
      <c r="E2825" s="5">
        <v>7.11913442611694</v>
      </c>
      <c r="F2825" s="5">
        <v>1.47007215023041</v>
      </c>
      <c r="G2825" s="5">
        <v>0.71840500831604</v>
      </c>
      <c r="H2825" s="5">
        <v>6.9293794631958</v>
      </c>
      <c r="I2825" t="s">
        <v>57</v>
      </c>
    </row>
    <row r="2826" spans="1:9">
      <c r="A2826" s="4" t="s">
        <v>5706</v>
      </c>
      <c r="B2826" s="4" t="s">
        <v>5707</v>
      </c>
      <c r="C2826" s="4" t="s">
        <v>35</v>
      </c>
      <c r="D2826" s="2">
        <f>1075950080/(10^6)</f>
        <v>1075.95008</v>
      </c>
      <c r="E2826" s="5">
        <v>11.6124019622803</v>
      </c>
      <c r="F2826" s="5">
        <v>1.32417774200439</v>
      </c>
      <c r="G2826" s="5">
        <v>0.657321214675903</v>
      </c>
      <c r="H2826" s="5">
        <v>10.8999948501587</v>
      </c>
      <c r="I2826" t="s">
        <v>57</v>
      </c>
    </row>
    <row r="2827" spans="1:9">
      <c r="A2827" s="4" t="s">
        <v>5708</v>
      </c>
      <c r="B2827" s="4" t="s">
        <v>5709</v>
      </c>
      <c r="C2827" s="4" t="s">
        <v>41</v>
      </c>
      <c r="D2827" s="2">
        <f>1075413632/(10^6)</f>
        <v>1075.413632</v>
      </c>
      <c r="E2827" s="5" t="s">
        <v>86</v>
      </c>
      <c r="F2827" s="5">
        <v>27.8452110290527</v>
      </c>
      <c r="G2827" s="5">
        <v>5691.951171875</v>
      </c>
      <c r="H2827" s="5" t="s">
        <v>86</v>
      </c>
      <c r="I2827" t="s">
        <v>57</v>
      </c>
    </row>
    <row r="2828" spans="1:9">
      <c r="A2828" s="4" t="s">
        <v>5710</v>
      </c>
      <c r="B2828" s="4" t="s">
        <v>5711</v>
      </c>
      <c r="C2828" s="4" t="s">
        <v>31</v>
      </c>
      <c r="D2828" s="2">
        <f>1075083008/(10^6)</f>
        <v>1075.083008</v>
      </c>
      <c r="E2828" s="5">
        <v>16.4355335235596</v>
      </c>
      <c r="F2828" s="5">
        <v>1.86021304130554</v>
      </c>
      <c r="G2828" s="5">
        <v>0.951876401901245</v>
      </c>
      <c r="H2828" s="5">
        <v>11.5419073104858</v>
      </c>
      <c r="I2828" t="s">
        <v>57</v>
      </c>
    </row>
    <row r="2829" spans="1:9">
      <c r="A2829" s="4" t="s">
        <v>5712</v>
      </c>
      <c r="B2829" s="4" t="s">
        <v>5713</v>
      </c>
      <c r="C2829" s="4" t="s">
        <v>27</v>
      </c>
      <c r="D2829" s="2">
        <f>1074667648/(10^6)</f>
        <v>1074.667648</v>
      </c>
      <c r="E2829" s="5">
        <v>2.64633202552795</v>
      </c>
      <c r="F2829" s="5">
        <v>0.341849118471146</v>
      </c>
      <c r="G2829" s="5">
        <v>1.32379961013794</v>
      </c>
      <c r="H2829" s="5" t="s">
        <v>86</v>
      </c>
      <c r="I2829" t="s">
        <v>57</v>
      </c>
    </row>
    <row r="2830" spans="1:9">
      <c r="A2830" s="4" t="s">
        <v>5714</v>
      </c>
      <c r="B2830" s="4" t="s">
        <v>5715</v>
      </c>
      <c r="C2830" s="4" t="s">
        <v>47</v>
      </c>
      <c r="D2830" s="2">
        <f>1074610304/(10^6)</f>
        <v>1074.610304</v>
      </c>
      <c r="E2830" s="5">
        <v>7.28359699249268</v>
      </c>
      <c r="F2830" s="5">
        <v>5.06497812271118</v>
      </c>
      <c r="G2830" s="5">
        <v>0.780209362506866</v>
      </c>
      <c r="H2830" s="5">
        <v>7.05947828292847</v>
      </c>
      <c r="I2830" t="s">
        <v>57</v>
      </c>
    </row>
    <row r="2831" spans="1:9">
      <c r="A2831" s="4" t="s">
        <v>5716</v>
      </c>
      <c r="B2831" s="4" t="s">
        <v>5717</v>
      </c>
      <c r="C2831" s="4" t="s">
        <v>51</v>
      </c>
      <c r="D2831" s="2">
        <f>1074263936/(10^6)</f>
        <v>1074.263936</v>
      </c>
      <c r="E2831" s="5">
        <v>87.2838668823242</v>
      </c>
      <c r="F2831" s="5">
        <v>2.11466503143311</v>
      </c>
      <c r="G2831" s="5">
        <v>2.24163460731506</v>
      </c>
      <c r="H2831" s="5">
        <v>20.2377815246582</v>
      </c>
      <c r="I2831" t="s">
        <v>57</v>
      </c>
    </row>
    <row r="2832" spans="1:9">
      <c r="A2832" s="4" t="s">
        <v>5718</v>
      </c>
      <c r="B2832" s="4" t="s">
        <v>5719</v>
      </c>
      <c r="C2832" s="4" t="s">
        <v>41</v>
      </c>
      <c r="D2832" s="2">
        <f>1072199104/(10^6)</f>
        <v>1072.199104</v>
      </c>
      <c r="E2832" s="5">
        <v>78.972282409668</v>
      </c>
      <c r="F2832" s="5">
        <v>0.833115696907043</v>
      </c>
      <c r="G2832" s="5">
        <v>0.618335008621216</v>
      </c>
      <c r="H2832" s="5">
        <v>9.53335285186768</v>
      </c>
      <c r="I2832" t="s">
        <v>57</v>
      </c>
    </row>
    <row r="2833" spans="1:9">
      <c r="A2833" s="4" t="s">
        <v>5720</v>
      </c>
      <c r="B2833" s="4" t="s">
        <v>5721</v>
      </c>
      <c r="C2833" s="4" t="s">
        <v>27</v>
      </c>
      <c r="D2833" s="2">
        <f>1070866752/(10^6)</f>
        <v>1070.866752</v>
      </c>
      <c r="E2833" s="5">
        <v>1.85517358779907</v>
      </c>
      <c r="F2833" s="5">
        <v>1.58950018882752</v>
      </c>
      <c r="G2833" s="5">
        <v>0.656671166419983</v>
      </c>
      <c r="H2833" s="5">
        <v>32.6458282470703</v>
      </c>
      <c r="I2833" t="s">
        <v>57</v>
      </c>
    </row>
    <row r="2834" spans="1:9">
      <c r="A2834" s="4" t="s">
        <v>5722</v>
      </c>
      <c r="B2834" s="4" t="s">
        <v>5723</v>
      </c>
      <c r="C2834" s="4" t="s">
        <v>33</v>
      </c>
      <c r="D2834" s="2">
        <f>1070744256/(10^6)</f>
        <v>1070.744256</v>
      </c>
      <c r="E2834" s="5">
        <v>5.57426023483276</v>
      </c>
      <c r="F2834" s="5">
        <v>19.7814235687256</v>
      </c>
      <c r="G2834" s="5">
        <v>0.413258910179138</v>
      </c>
      <c r="H2834" s="5">
        <v>8.73752689361572</v>
      </c>
      <c r="I2834" t="s">
        <v>57</v>
      </c>
    </row>
    <row r="2835" spans="1:9">
      <c r="A2835" s="4" t="s">
        <v>5724</v>
      </c>
      <c r="B2835" s="4" t="s">
        <v>5725</v>
      </c>
      <c r="C2835" s="4" t="s">
        <v>47</v>
      </c>
      <c r="D2835" s="2">
        <f>1069960320/(10^6)</f>
        <v>1069.96032</v>
      </c>
      <c r="E2835" s="5">
        <v>5.64170789718628</v>
      </c>
      <c r="F2835" s="5">
        <v>1.65567171573639</v>
      </c>
      <c r="G2835" s="5">
        <v>0.147196501493454</v>
      </c>
      <c r="H2835" s="5">
        <v>7.45425271987915</v>
      </c>
      <c r="I2835" t="s">
        <v>57</v>
      </c>
    </row>
    <row r="2836" spans="1:9">
      <c r="A2836" s="4" t="s">
        <v>5726</v>
      </c>
      <c r="B2836" s="4" t="s">
        <v>5727</v>
      </c>
      <c r="C2836" s="4" t="s">
        <v>43</v>
      </c>
      <c r="D2836" s="2">
        <f>1067470272/(10^6)</f>
        <v>1067.470272</v>
      </c>
      <c r="E2836" s="5">
        <v>8.7797737121582</v>
      </c>
      <c r="F2836" s="5">
        <v>0.897741556167603</v>
      </c>
      <c r="G2836" s="5">
        <v>2.51230907440186</v>
      </c>
      <c r="H2836" s="5" t="s">
        <v>86</v>
      </c>
      <c r="I2836" t="s">
        <v>57</v>
      </c>
    </row>
    <row r="2837" spans="1:9">
      <c r="A2837" s="4" t="s">
        <v>5728</v>
      </c>
      <c r="B2837" s="4" t="s">
        <v>5729</v>
      </c>
      <c r="C2837" s="4" t="s">
        <v>31</v>
      </c>
      <c r="D2837" s="2">
        <f>1066846464/(10^6)</f>
        <v>1066.846464</v>
      </c>
      <c r="E2837" s="5">
        <v>9.6098518371582</v>
      </c>
      <c r="F2837" s="5">
        <v>1.8283839225769</v>
      </c>
      <c r="G2837" s="5">
        <v>0.480519652366638</v>
      </c>
      <c r="H2837" s="5">
        <v>5.00415420532227</v>
      </c>
      <c r="I2837" t="s">
        <v>57</v>
      </c>
    </row>
    <row r="2838" spans="1:9">
      <c r="A2838" s="4" t="s">
        <v>5730</v>
      </c>
      <c r="B2838" s="4" t="s">
        <v>5731</v>
      </c>
      <c r="C2838" s="4" t="s">
        <v>47</v>
      </c>
      <c r="D2838" s="2">
        <f>1064130624/(10^6)</f>
        <v>1064.130624</v>
      </c>
      <c r="E2838" s="5">
        <v>15.4876136779785</v>
      </c>
      <c r="F2838" s="5">
        <v>2.2425811290741</v>
      </c>
      <c r="G2838" s="5">
        <v>1.10613143444061</v>
      </c>
      <c r="H2838" s="5">
        <v>8.08825778961182</v>
      </c>
      <c r="I2838" t="s">
        <v>57</v>
      </c>
    </row>
    <row r="2839" spans="1:9">
      <c r="A2839" s="4" t="s">
        <v>5732</v>
      </c>
      <c r="B2839" s="4" t="s">
        <v>5733</v>
      </c>
      <c r="C2839" s="4" t="s">
        <v>31</v>
      </c>
      <c r="D2839" s="2">
        <f>1063566400/(10^6)</f>
        <v>1063.5664</v>
      </c>
      <c r="E2839" s="5">
        <v>4.97816371917725</v>
      </c>
      <c r="F2839" s="5">
        <v>1.86034142971039</v>
      </c>
      <c r="G2839" s="5">
        <v>0.539775490760803</v>
      </c>
      <c r="H2839" s="5">
        <v>173.545349121094</v>
      </c>
      <c r="I2839" t="s">
        <v>57</v>
      </c>
    </row>
    <row r="2840" spans="1:9">
      <c r="A2840" s="4" t="s">
        <v>5734</v>
      </c>
      <c r="B2840" s="4" t="s">
        <v>5735</v>
      </c>
      <c r="C2840" s="4" t="s">
        <v>31</v>
      </c>
      <c r="D2840" s="2">
        <f>1061606464/(10^6)</f>
        <v>1061.606464</v>
      </c>
      <c r="E2840" s="5">
        <v>4.1204400062561</v>
      </c>
      <c r="F2840" s="5">
        <v>1.20221197605133</v>
      </c>
      <c r="G2840" s="5">
        <v>0.651712715625763</v>
      </c>
      <c r="H2840" s="5">
        <v>8.44314289093018</v>
      </c>
      <c r="I2840" t="s">
        <v>57</v>
      </c>
    </row>
    <row r="2841" spans="1:9">
      <c r="A2841" s="4" t="s">
        <v>5736</v>
      </c>
      <c r="B2841" s="4" t="s">
        <v>5737</v>
      </c>
      <c r="C2841" s="4" t="s">
        <v>41</v>
      </c>
      <c r="D2841" s="2">
        <f>1060445760/(10^6)</f>
        <v>1060.44576</v>
      </c>
      <c r="E2841" s="5" t="s">
        <v>86</v>
      </c>
      <c r="F2841" s="5">
        <v>2.54569101333618</v>
      </c>
      <c r="G2841" s="5" t="s">
        <v>86</v>
      </c>
      <c r="H2841" s="5" t="s">
        <v>86</v>
      </c>
      <c r="I2841" t="s">
        <v>57</v>
      </c>
    </row>
    <row r="2842" spans="1:9">
      <c r="A2842" s="4" t="s">
        <v>5738</v>
      </c>
      <c r="B2842" s="4" t="s">
        <v>5739</v>
      </c>
      <c r="C2842" s="4" t="s">
        <v>41</v>
      </c>
      <c r="D2842" s="2">
        <f>1055926656/(10^6)</f>
        <v>1055.926656</v>
      </c>
      <c r="E2842" s="5">
        <v>33.4841270446777</v>
      </c>
      <c r="F2842" s="5">
        <v>31.999719619751</v>
      </c>
      <c r="G2842" s="5">
        <v>8.17842769622803</v>
      </c>
      <c r="H2842" s="5">
        <v>21.8626613616943</v>
      </c>
      <c r="I2842" t="s">
        <v>57</v>
      </c>
    </row>
    <row r="2843" spans="1:9">
      <c r="A2843" s="4" t="s">
        <v>5740</v>
      </c>
      <c r="B2843" s="4" t="s">
        <v>5741</v>
      </c>
      <c r="C2843" s="4" t="s">
        <v>51</v>
      </c>
      <c r="D2843" s="2">
        <f>1055751936/(10^6)</f>
        <v>1055.751936</v>
      </c>
      <c r="E2843" s="5">
        <v>14.1597833633423</v>
      </c>
      <c r="F2843" s="5">
        <v>1.20358800888062</v>
      </c>
      <c r="G2843" s="5">
        <v>0.655088245868683</v>
      </c>
      <c r="H2843" s="5">
        <v>5.66046333312988</v>
      </c>
      <c r="I2843" t="s">
        <v>57</v>
      </c>
    </row>
    <row r="2844" spans="1:9">
      <c r="A2844" s="4" t="s">
        <v>5742</v>
      </c>
      <c r="B2844" s="4" t="s">
        <v>5743</v>
      </c>
      <c r="C2844" s="4" t="s">
        <v>41</v>
      </c>
      <c r="D2844" s="2">
        <f>1048174592/(10^6)</f>
        <v>1048.174592</v>
      </c>
      <c r="E2844" s="5">
        <v>301.296447753906</v>
      </c>
      <c r="F2844" s="5">
        <v>0.972400724887848</v>
      </c>
      <c r="G2844" s="5">
        <v>1.27358400821686</v>
      </c>
      <c r="H2844" s="5">
        <v>21.9710006713867</v>
      </c>
      <c r="I2844" t="s">
        <v>57</v>
      </c>
    </row>
    <row r="2845" spans="1:9">
      <c r="A2845" s="4" t="s">
        <v>5744</v>
      </c>
      <c r="B2845" s="4" t="s">
        <v>5745</v>
      </c>
      <c r="C2845" s="4" t="s">
        <v>41</v>
      </c>
      <c r="D2845" s="2">
        <f>1046226944/(10^6)</f>
        <v>1046.226944</v>
      </c>
      <c r="E2845" s="5" t="s">
        <v>86</v>
      </c>
      <c r="F2845" s="5">
        <v>4.50305557250977</v>
      </c>
      <c r="G2845" s="5">
        <v>14421.1484375</v>
      </c>
      <c r="H2845" s="5" t="s">
        <v>86</v>
      </c>
      <c r="I2845" t="s">
        <v>57</v>
      </c>
    </row>
    <row r="2846" spans="1:9">
      <c r="A2846" s="4" t="s">
        <v>5746</v>
      </c>
      <c r="B2846" s="4" t="s">
        <v>5747</v>
      </c>
      <c r="C2846" s="4" t="s">
        <v>27</v>
      </c>
      <c r="D2846" s="2">
        <f>1044799488/(10^6)</f>
        <v>1044.799488</v>
      </c>
      <c r="E2846" s="5">
        <v>13.6917400360107</v>
      </c>
      <c r="F2846" s="5">
        <v>0.585722982883453</v>
      </c>
      <c r="G2846" s="5">
        <v>0.710129141807556</v>
      </c>
      <c r="H2846" s="5">
        <v>3.30428099632263</v>
      </c>
      <c r="I2846" t="s">
        <v>57</v>
      </c>
    </row>
    <row r="2847" spans="1:9">
      <c r="A2847" s="4" t="s">
        <v>5748</v>
      </c>
      <c r="B2847" s="4" t="s">
        <v>5749</v>
      </c>
      <c r="C2847" s="4" t="s">
        <v>51</v>
      </c>
      <c r="D2847" s="2">
        <f>1044170816/(10^6)</f>
        <v>1044.170816</v>
      </c>
      <c r="E2847" s="5">
        <v>12.6942148208618</v>
      </c>
      <c r="F2847" s="5">
        <v>1.029092669487</v>
      </c>
      <c r="G2847" s="5">
        <v>0.312527924776077</v>
      </c>
      <c r="H2847" s="5">
        <v>6.06823444366455</v>
      </c>
      <c r="I2847" t="s">
        <v>57</v>
      </c>
    </row>
    <row r="2848" spans="1:9">
      <c r="A2848" s="4" t="s">
        <v>5750</v>
      </c>
      <c r="B2848" s="4" t="s">
        <v>5751</v>
      </c>
      <c r="C2848" s="4" t="s">
        <v>31</v>
      </c>
      <c r="D2848" s="2">
        <f>1043665024/(10^6)</f>
        <v>1043.665024</v>
      </c>
      <c r="E2848" s="5">
        <v>23.3879489898682</v>
      </c>
      <c r="F2848" s="5">
        <v>1.77225279808044</v>
      </c>
      <c r="G2848" s="5">
        <v>1.04043662548065</v>
      </c>
      <c r="H2848" s="5">
        <v>12.2515363693237</v>
      </c>
      <c r="I2848" t="s">
        <v>57</v>
      </c>
    </row>
    <row r="2849" spans="1:9">
      <c r="A2849" s="4" t="s">
        <v>5752</v>
      </c>
      <c r="B2849" s="4" t="s">
        <v>5753</v>
      </c>
      <c r="C2849" s="4" t="s">
        <v>51</v>
      </c>
      <c r="D2849" s="2">
        <f>1042449600/(10^6)</f>
        <v>1042.4496</v>
      </c>
      <c r="E2849" s="5">
        <v>19.5987415313721</v>
      </c>
      <c r="F2849" s="5">
        <v>0.815018534660339</v>
      </c>
      <c r="G2849" s="5">
        <v>0.386542320251465</v>
      </c>
      <c r="H2849" s="5">
        <v>5.90297508239746</v>
      </c>
      <c r="I2849" t="s">
        <v>57</v>
      </c>
    </row>
    <row r="2850" spans="1:9">
      <c r="A2850" s="4" t="s">
        <v>5754</v>
      </c>
      <c r="B2850" s="4" t="s">
        <v>5755</v>
      </c>
      <c r="C2850" s="4" t="s">
        <v>41</v>
      </c>
      <c r="D2850" s="2">
        <f>1041733056/(10^6)</f>
        <v>1041.733056</v>
      </c>
      <c r="E2850" s="5" t="s">
        <v>86</v>
      </c>
      <c r="F2850" s="5">
        <v>0.617222428321838</v>
      </c>
      <c r="G2850" s="5" t="s">
        <v>86</v>
      </c>
      <c r="H2850" s="5" t="s">
        <v>86</v>
      </c>
      <c r="I2850" t="s">
        <v>57</v>
      </c>
    </row>
    <row r="2851" spans="1:9">
      <c r="A2851" s="4" t="s">
        <v>5756</v>
      </c>
      <c r="B2851" s="4" t="s">
        <v>5757</v>
      </c>
      <c r="C2851" s="4" t="s">
        <v>41</v>
      </c>
      <c r="D2851" s="2">
        <f>1039372288/(10^6)</f>
        <v>1039.372288</v>
      </c>
      <c r="E2851" s="5" t="s">
        <v>86</v>
      </c>
      <c r="F2851" s="5">
        <v>5.34089279174805</v>
      </c>
      <c r="G2851" s="5">
        <v>16.2300872802734</v>
      </c>
      <c r="H2851" s="5" t="s">
        <v>86</v>
      </c>
      <c r="I2851" t="s">
        <v>57</v>
      </c>
    </row>
    <row r="2852" spans="1:9">
      <c r="A2852" s="4" t="s">
        <v>5758</v>
      </c>
      <c r="B2852" s="4" t="s">
        <v>5759</v>
      </c>
      <c r="C2852" s="4" t="s">
        <v>35</v>
      </c>
      <c r="D2852" s="2">
        <f>1039355840/(10^6)</f>
        <v>1039.35584</v>
      </c>
      <c r="E2852" s="5">
        <v>15.5458612442017</v>
      </c>
      <c r="F2852" s="5">
        <v>0.981686651706696</v>
      </c>
      <c r="G2852" s="5">
        <v>0.293329954147339</v>
      </c>
      <c r="H2852" s="5">
        <v>5.11762666702271</v>
      </c>
      <c r="I2852" t="s">
        <v>57</v>
      </c>
    </row>
    <row r="2853" spans="1:9">
      <c r="A2853" s="4" t="s">
        <v>5760</v>
      </c>
      <c r="B2853" s="4" t="s">
        <v>5761</v>
      </c>
      <c r="C2853" s="4" t="s">
        <v>31</v>
      </c>
      <c r="D2853" s="2">
        <f>1038978176/(10^6)</f>
        <v>1038.978176</v>
      </c>
      <c r="E2853" s="5">
        <v>13.5736474990845</v>
      </c>
      <c r="F2853" s="5">
        <v>1.2624294757843</v>
      </c>
      <c r="G2853" s="5">
        <v>0.990475237369537</v>
      </c>
      <c r="H2853" s="5">
        <v>7.62709045410156</v>
      </c>
      <c r="I2853" t="s">
        <v>57</v>
      </c>
    </row>
    <row r="2854" spans="1:9">
      <c r="A2854" s="4" t="s">
        <v>5762</v>
      </c>
      <c r="B2854" s="4" t="s">
        <v>5763</v>
      </c>
      <c r="C2854" s="4" t="s">
        <v>41</v>
      </c>
      <c r="D2854" s="2">
        <f>1038736192/(10^6)</f>
        <v>1038.736192</v>
      </c>
      <c r="E2854" s="5">
        <v>29.7887172698975</v>
      </c>
      <c r="F2854" s="5">
        <v>2.21009659767151</v>
      </c>
      <c r="G2854" s="5">
        <v>1.42918717861175</v>
      </c>
      <c r="H2854" s="5">
        <v>20.6010704040527</v>
      </c>
      <c r="I2854" t="s">
        <v>57</v>
      </c>
    </row>
    <row r="2855" spans="1:9">
      <c r="A2855" s="4" t="s">
        <v>5764</v>
      </c>
      <c r="B2855" s="4" t="s">
        <v>5765</v>
      </c>
      <c r="C2855" s="4" t="s">
        <v>43</v>
      </c>
      <c r="D2855" s="2">
        <f>1035561088/(10^6)</f>
        <v>1035.561088</v>
      </c>
      <c r="E2855" s="5">
        <v>4.76403188705444</v>
      </c>
      <c r="F2855" s="5">
        <v>0.441659301519394</v>
      </c>
      <c r="G2855" s="5">
        <v>1.42280530929565</v>
      </c>
      <c r="H2855" s="5" t="s">
        <v>86</v>
      </c>
      <c r="I2855" t="s">
        <v>57</v>
      </c>
    </row>
    <row r="2856" spans="1:9">
      <c r="A2856" s="4" t="s">
        <v>5766</v>
      </c>
      <c r="B2856" s="4" t="s">
        <v>5767</v>
      </c>
      <c r="C2856" s="4" t="s">
        <v>43</v>
      </c>
      <c r="D2856" s="2">
        <f>1032617920/(10^6)</f>
        <v>1032.61792</v>
      </c>
      <c r="E2856" s="5">
        <v>11.6011533737183</v>
      </c>
      <c r="F2856" s="5">
        <v>1.56839907169342</v>
      </c>
      <c r="G2856" s="5">
        <v>3.87935447692871</v>
      </c>
      <c r="H2856" s="5" t="s">
        <v>86</v>
      </c>
      <c r="I2856" t="s">
        <v>57</v>
      </c>
    </row>
    <row r="2857" spans="1:9">
      <c r="A2857" s="4" t="s">
        <v>5768</v>
      </c>
      <c r="B2857" s="4" t="s">
        <v>5769</v>
      </c>
      <c r="C2857" s="4" t="s">
        <v>47</v>
      </c>
      <c r="D2857" s="2">
        <f>1032223744/(10^6)</f>
        <v>1032.223744</v>
      </c>
      <c r="E2857" s="5">
        <v>10.1542100906372</v>
      </c>
      <c r="F2857" s="5">
        <v>1.34050405025482</v>
      </c>
      <c r="G2857" s="5">
        <v>0.605228900909424</v>
      </c>
      <c r="H2857" s="5">
        <v>8.17607688903809</v>
      </c>
      <c r="I2857" t="s">
        <v>57</v>
      </c>
    </row>
    <row r="2858" spans="1:9">
      <c r="A2858" s="4" t="s">
        <v>5770</v>
      </c>
      <c r="B2858" s="4" t="s">
        <v>5771</v>
      </c>
      <c r="C2858" s="4" t="s">
        <v>37</v>
      </c>
      <c r="D2858" s="2">
        <f>1032110208/(10^6)</f>
        <v>1032.110208</v>
      </c>
      <c r="E2858" s="5">
        <v>2.63565349578857</v>
      </c>
      <c r="F2858" s="5">
        <v>2.20960545539856</v>
      </c>
      <c r="G2858" s="5">
        <v>0.153575673699379</v>
      </c>
      <c r="H2858" s="5">
        <v>4.93778085708618</v>
      </c>
      <c r="I2858" t="s">
        <v>57</v>
      </c>
    </row>
    <row r="2859" spans="1:9">
      <c r="A2859" s="4" t="s">
        <v>5772</v>
      </c>
      <c r="B2859" s="4" t="s">
        <v>5773</v>
      </c>
      <c r="C2859" s="4" t="s">
        <v>47</v>
      </c>
      <c r="D2859" s="2">
        <f>1022699584/(10^6)</f>
        <v>1022.699584</v>
      </c>
      <c r="E2859" s="5">
        <v>8.80668449401855</v>
      </c>
      <c r="F2859" s="5">
        <v>1.27314722537994</v>
      </c>
      <c r="G2859" s="5">
        <v>0.429716974496841</v>
      </c>
      <c r="H2859" s="5">
        <v>7.68534278869629</v>
      </c>
      <c r="I2859" t="s">
        <v>57</v>
      </c>
    </row>
    <row r="2860" spans="1:9">
      <c r="A2860" s="4" t="s">
        <v>5774</v>
      </c>
      <c r="B2860" s="4" t="s">
        <v>5775</v>
      </c>
      <c r="C2860" s="4" t="s">
        <v>41</v>
      </c>
      <c r="D2860" s="2">
        <f>1021229440/(10^6)</f>
        <v>1021.22944</v>
      </c>
      <c r="E2860" s="5" t="s">
        <v>86</v>
      </c>
      <c r="F2860" s="5">
        <v>2.52686190605164</v>
      </c>
      <c r="G2860" s="5">
        <v>6.31028985977173</v>
      </c>
      <c r="H2860" s="5" t="s">
        <v>86</v>
      </c>
      <c r="I2860" t="s">
        <v>57</v>
      </c>
    </row>
    <row r="2861" spans="1:9">
      <c r="A2861" s="4" t="s">
        <v>5776</v>
      </c>
      <c r="B2861" s="4" t="s">
        <v>5777</v>
      </c>
      <c r="C2861" s="4" t="s">
        <v>33</v>
      </c>
      <c r="D2861" s="2">
        <f>1020934976/(10^6)</f>
        <v>1020.934976</v>
      </c>
      <c r="E2861" s="5">
        <v>0.058931216597557</v>
      </c>
      <c r="F2861" s="5">
        <v>0.152791231870651</v>
      </c>
      <c r="G2861" s="5">
        <v>0.193213239312172</v>
      </c>
      <c r="H2861" s="5">
        <v>6.42032146453857</v>
      </c>
      <c r="I2861" t="s">
        <v>57</v>
      </c>
    </row>
    <row r="2862" spans="1:9">
      <c r="A2862" s="4" t="s">
        <v>5778</v>
      </c>
      <c r="B2862" s="4" t="s">
        <v>5779</v>
      </c>
      <c r="C2862" s="4" t="s">
        <v>31</v>
      </c>
      <c r="D2862" s="2">
        <f>1019872960/(10^6)</f>
        <v>1019.87296</v>
      </c>
      <c r="E2862" s="5" t="s">
        <v>86</v>
      </c>
      <c r="F2862" s="5">
        <v>2.21546816825867</v>
      </c>
      <c r="G2862" s="5">
        <v>0.697220385074615</v>
      </c>
      <c r="H2862" s="5">
        <v>5.40985584259033</v>
      </c>
      <c r="I2862" t="s">
        <v>57</v>
      </c>
    </row>
    <row r="2863" spans="1:9">
      <c r="A2863" s="4" t="s">
        <v>5780</v>
      </c>
      <c r="B2863" s="4" t="s">
        <v>5781</v>
      </c>
      <c r="C2863" s="4" t="s">
        <v>43</v>
      </c>
      <c r="D2863" s="2">
        <f>1017944960/(10^6)</f>
        <v>1017.94496</v>
      </c>
      <c r="E2863" s="5">
        <v>6.02205848693848</v>
      </c>
      <c r="F2863" s="5">
        <v>0.505864679813385</v>
      </c>
      <c r="G2863" s="5">
        <v>1.41171157360077</v>
      </c>
      <c r="H2863" s="5" t="s">
        <v>86</v>
      </c>
      <c r="I2863" t="s">
        <v>57</v>
      </c>
    </row>
    <row r="2864" spans="1:9">
      <c r="A2864" s="4" t="s">
        <v>5782</v>
      </c>
      <c r="B2864" s="4" t="s">
        <v>5783</v>
      </c>
      <c r="C2864" s="4" t="s">
        <v>31</v>
      </c>
      <c r="D2864" s="2">
        <f>1016713728/(10^6)</f>
        <v>1016.713728</v>
      </c>
      <c r="E2864" s="5">
        <v>13.4001092910767</v>
      </c>
      <c r="F2864" s="5">
        <v>1.46757578849793</v>
      </c>
      <c r="G2864" s="5">
        <v>1.19902765750885</v>
      </c>
      <c r="H2864" s="5">
        <v>7.46631097793579</v>
      </c>
      <c r="I2864" t="s">
        <v>57</v>
      </c>
    </row>
    <row r="2865" spans="1:9">
      <c r="A2865" s="4" t="s">
        <v>5784</v>
      </c>
      <c r="B2865" s="4" t="s">
        <v>5785</v>
      </c>
      <c r="C2865" s="4" t="s">
        <v>41</v>
      </c>
      <c r="D2865" s="2">
        <f>1014142208/(10^6)</f>
        <v>1014.142208</v>
      </c>
      <c r="E2865" s="5" t="s">
        <v>86</v>
      </c>
      <c r="F2865" s="5" t="s">
        <v>86</v>
      </c>
      <c r="G2865" s="5">
        <v>0.833095073699951</v>
      </c>
      <c r="H2865" s="5">
        <v>12.6242685317993</v>
      </c>
      <c r="I2865" t="s">
        <v>57</v>
      </c>
    </row>
    <row r="2866" spans="1:9">
      <c r="A2866" s="4" t="s">
        <v>5786</v>
      </c>
      <c r="B2866" s="4" t="s">
        <v>5787</v>
      </c>
      <c r="C2866" s="4" t="s">
        <v>31</v>
      </c>
      <c r="D2866" s="2">
        <f>1013454592/(10^6)</f>
        <v>1013.454592</v>
      </c>
      <c r="E2866" s="5">
        <v>18.6818389892578</v>
      </c>
      <c r="F2866" s="5">
        <v>1.69166433811188</v>
      </c>
      <c r="G2866" s="5">
        <v>1.19722819328308</v>
      </c>
      <c r="H2866" s="5">
        <v>5.66555213928223</v>
      </c>
      <c r="I2866" t="s">
        <v>57</v>
      </c>
    </row>
    <row r="2867" spans="1:9">
      <c r="A2867" s="4" t="s">
        <v>5788</v>
      </c>
      <c r="B2867" s="4" t="s">
        <v>5789</v>
      </c>
      <c r="C2867" s="4" t="s">
        <v>27</v>
      </c>
      <c r="D2867" s="2">
        <f>1013115968/(10^6)</f>
        <v>1013.115968</v>
      </c>
      <c r="E2867" s="5">
        <v>4.29776954650879</v>
      </c>
      <c r="F2867" s="5">
        <v>0.608467221260071</v>
      </c>
      <c r="G2867" s="5">
        <v>0.112547874450684</v>
      </c>
      <c r="H2867" s="5">
        <v>3.40529727935791</v>
      </c>
      <c r="I2867" t="s">
        <v>57</v>
      </c>
    </row>
    <row r="2868" spans="1:9">
      <c r="A2868" s="4" t="s">
        <v>5790</v>
      </c>
      <c r="B2868" s="4" t="s">
        <v>5791</v>
      </c>
      <c r="C2868" s="4" t="s">
        <v>31</v>
      </c>
      <c r="D2868" s="2">
        <f>1012449600/(10^6)</f>
        <v>1012.4496</v>
      </c>
      <c r="E2868" s="5">
        <v>2.88336133956909</v>
      </c>
      <c r="F2868" s="5">
        <v>0.44772270321846</v>
      </c>
      <c r="G2868" s="5">
        <v>0.264213114976883</v>
      </c>
      <c r="H2868" s="5">
        <v>3.84669995307922</v>
      </c>
      <c r="I2868" t="s">
        <v>57</v>
      </c>
    </row>
    <row r="2869" spans="1:9">
      <c r="A2869" s="4" t="s">
        <v>5792</v>
      </c>
      <c r="B2869" s="4" t="s">
        <v>5793</v>
      </c>
      <c r="C2869" s="4" t="s">
        <v>35</v>
      </c>
      <c r="D2869" s="2">
        <f>1010500544/(10^6)</f>
        <v>1010.500544</v>
      </c>
      <c r="E2869" s="5">
        <v>11.5611438751221</v>
      </c>
      <c r="F2869" s="5">
        <v>0.772217988967896</v>
      </c>
      <c r="G2869" s="5">
        <v>0.526799857616425</v>
      </c>
      <c r="H2869" s="5">
        <v>7.50744771957397</v>
      </c>
      <c r="I2869" t="s">
        <v>57</v>
      </c>
    </row>
    <row r="2870" spans="1:9">
      <c r="A2870" s="4" t="s">
        <v>5794</v>
      </c>
      <c r="B2870" s="4" t="s">
        <v>5795</v>
      </c>
      <c r="C2870" s="4" t="s">
        <v>41</v>
      </c>
      <c r="D2870" s="2">
        <f>1007123136/(10^6)</f>
        <v>1007.123136</v>
      </c>
      <c r="E2870" s="5" t="s">
        <v>86</v>
      </c>
      <c r="F2870" s="5">
        <v>3.13156461715698</v>
      </c>
      <c r="G2870" s="5">
        <v>4.48858690261841</v>
      </c>
      <c r="H2870" s="5" t="s">
        <v>86</v>
      </c>
      <c r="I2870" t="s">
        <v>57</v>
      </c>
    </row>
    <row r="2871" spans="1:9">
      <c r="A2871" s="4" t="s">
        <v>5796</v>
      </c>
      <c r="B2871" s="4" t="s">
        <v>5797</v>
      </c>
      <c r="C2871" s="4" t="s">
        <v>41</v>
      </c>
      <c r="D2871" s="2">
        <f>1005430528/(10^6)</f>
        <v>1005.430528</v>
      </c>
      <c r="E2871" s="5">
        <v>4.57367086410522</v>
      </c>
      <c r="F2871" s="5">
        <v>0.670501232147217</v>
      </c>
      <c r="G2871" s="5">
        <v>0.283623725175858</v>
      </c>
      <c r="H2871" s="5" t="s">
        <v>86</v>
      </c>
      <c r="I2871" t="s">
        <v>57</v>
      </c>
    </row>
    <row r="2872" spans="1:9">
      <c r="A2872" s="4" t="s">
        <v>5798</v>
      </c>
      <c r="B2872" s="4" t="s">
        <v>5799</v>
      </c>
      <c r="C2872" s="4" t="s">
        <v>27</v>
      </c>
      <c r="D2872" s="2">
        <f>1003258112/(10^6)</f>
        <v>1003.258112</v>
      </c>
      <c r="E2872" s="5">
        <v>231.111175537109</v>
      </c>
      <c r="F2872" s="5">
        <v>0.919584155082703</v>
      </c>
      <c r="G2872" s="5">
        <v>2.41006898880005</v>
      </c>
      <c r="H2872" s="5">
        <v>15.9813194274902</v>
      </c>
      <c r="I2872" t="s">
        <v>57</v>
      </c>
    </row>
    <row r="2873" spans="1:9">
      <c r="A2873" s="4" t="s">
        <v>5800</v>
      </c>
      <c r="B2873" s="4" t="s">
        <v>5801</v>
      </c>
      <c r="C2873" s="4" t="s">
        <v>43</v>
      </c>
      <c r="D2873" s="2">
        <f>1000265920/(10^6)</f>
        <v>1000.26592</v>
      </c>
      <c r="E2873" s="5">
        <v>12.4572486877441</v>
      </c>
      <c r="F2873" s="5">
        <v>1.50831437110901</v>
      </c>
      <c r="G2873" s="5">
        <v>2.96640849113464</v>
      </c>
      <c r="H2873" s="5" t="s">
        <v>86</v>
      </c>
      <c r="I2873" t="s">
        <v>57</v>
      </c>
    </row>
    <row r="2874" spans="1:9">
      <c r="A2874" s="4" t="s">
        <v>5802</v>
      </c>
      <c r="B2874" s="4" t="s">
        <v>5803</v>
      </c>
      <c r="C2874" s="4" t="s">
        <v>39</v>
      </c>
      <c r="D2874" s="2">
        <f>997852544/(10^6)</f>
        <v>997.852544</v>
      </c>
      <c r="E2874" s="5">
        <v>28.6149997711182</v>
      </c>
      <c r="F2874" s="5">
        <v>3.08144664764404</v>
      </c>
      <c r="G2874" s="5">
        <v>7.12712907791138</v>
      </c>
      <c r="H2874" s="5">
        <v>23.0858459472656</v>
      </c>
      <c r="I2874" t="s">
        <v>57</v>
      </c>
    </row>
    <row r="2875" spans="1:9">
      <c r="A2875" s="4" t="s">
        <v>5804</v>
      </c>
      <c r="B2875" s="4" t="s">
        <v>5805</v>
      </c>
      <c r="C2875" s="4" t="s">
        <v>47</v>
      </c>
      <c r="D2875" s="2">
        <f>997528960/(10^6)</f>
        <v>997.52896</v>
      </c>
      <c r="E2875" s="5">
        <v>10.656551361084</v>
      </c>
      <c r="F2875" s="5">
        <v>1.39858448505402</v>
      </c>
      <c r="G2875" s="5">
        <v>0.564241290092468</v>
      </c>
      <c r="H2875" s="5">
        <v>4.96675968170166</v>
      </c>
      <c r="I2875" t="s">
        <v>57</v>
      </c>
    </row>
    <row r="2876" spans="1:9">
      <c r="A2876" s="4" t="s">
        <v>5806</v>
      </c>
      <c r="B2876" s="4" t="s">
        <v>5807</v>
      </c>
      <c r="C2876" s="4" t="s">
        <v>31</v>
      </c>
      <c r="D2876" s="2">
        <f>996085888/(10^6)</f>
        <v>996.085888</v>
      </c>
      <c r="E2876" s="5">
        <v>15.827784538269</v>
      </c>
      <c r="F2876" s="5">
        <v>0.809261858463287</v>
      </c>
      <c r="G2876" s="5">
        <v>0.724986433982849</v>
      </c>
      <c r="H2876" s="5">
        <v>9.91385173797607</v>
      </c>
      <c r="I2876" t="s">
        <v>57</v>
      </c>
    </row>
    <row r="2877" spans="1:9">
      <c r="A2877" s="4" t="s">
        <v>5808</v>
      </c>
      <c r="B2877" s="4" t="s">
        <v>5809</v>
      </c>
      <c r="C2877" s="4" t="s">
        <v>51</v>
      </c>
      <c r="D2877" s="2">
        <f>991619840/(10^6)</f>
        <v>991.61984</v>
      </c>
      <c r="E2877" s="5">
        <v>12.0495500564575</v>
      </c>
      <c r="F2877" s="5">
        <v>1.66014707088471</v>
      </c>
      <c r="G2877" s="5">
        <v>0.351495921611786</v>
      </c>
      <c r="H2877" s="5">
        <v>7.0490927696228</v>
      </c>
      <c r="I2877" t="s">
        <v>57</v>
      </c>
    </row>
    <row r="2878" spans="1:9">
      <c r="A2878" s="4" t="s">
        <v>5810</v>
      </c>
      <c r="B2878" s="4" t="s">
        <v>5811</v>
      </c>
      <c r="C2878" s="4" t="s">
        <v>31</v>
      </c>
      <c r="D2878" s="2">
        <f>990046208/(10^6)</f>
        <v>990.046208</v>
      </c>
      <c r="E2878" s="5">
        <v>7.0503978729248</v>
      </c>
      <c r="F2878" s="5">
        <v>3.59758806228638</v>
      </c>
      <c r="G2878" s="5">
        <v>0.514660120010376</v>
      </c>
      <c r="H2878" s="5">
        <v>5.48098707199097</v>
      </c>
      <c r="I2878" t="s">
        <v>57</v>
      </c>
    </row>
    <row r="2879" spans="1:9">
      <c r="A2879" s="4" t="s">
        <v>5812</v>
      </c>
      <c r="B2879" s="4" t="s">
        <v>5813</v>
      </c>
      <c r="C2879" s="4" t="s">
        <v>47</v>
      </c>
      <c r="D2879" s="2">
        <f>988530368/(10^6)</f>
        <v>988.530368</v>
      </c>
      <c r="E2879" s="5">
        <v>10.7070913314819</v>
      </c>
      <c r="F2879" s="5">
        <v>0.576891541481018</v>
      </c>
      <c r="G2879" s="5">
        <v>0.159378901124001</v>
      </c>
      <c r="H2879" s="5">
        <v>3.16251516342163</v>
      </c>
      <c r="I2879" t="s">
        <v>57</v>
      </c>
    </row>
    <row r="2880" spans="1:9">
      <c r="A2880" s="4" t="s">
        <v>5814</v>
      </c>
      <c r="B2880" s="4" t="s">
        <v>5815</v>
      </c>
      <c r="C2880" s="4" t="s">
        <v>33</v>
      </c>
      <c r="D2880" s="2">
        <f>988065792/(10^6)</f>
        <v>988.065792</v>
      </c>
      <c r="E2880" s="5" t="s">
        <v>86</v>
      </c>
      <c r="F2880" s="5">
        <v>6.8560037612915</v>
      </c>
      <c r="G2880" s="5">
        <v>4.17526960372925</v>
      </c>
      <c r="H2880" s="5" t="s">
        <v>86</v>
      </c>
      <c r="I2880" t="s">
        <v>57</v>
      </c>
    </row>
    <row r="2881" spans="1:9">
      <c r="A2881" s="4" t="s">
        <v>5816</v>
      </c>
      <c r="B2881" s="4" t="s">
        <v>5817</v>
      </c>
      <c r="C2881" s="4" t="s">
        <v>43</v>
      </c>
      <c r="D2881" s="2">
        <f>985969856/(10^6)</f>
        <v>985.969856</v>
      </c>
      <c r="E2881" s="5">
        <v>13.2409086227417</v>
      </c>
      <c r="F2881" s="5">
        <v>1.22456932067871</v>
      </c>
      <c r="G2881" s="5">
        <v>3.47176146507263</v>
      </c>
      <c r="H2881" s="5" t="s">
        <v>86</v>
      </c>
      <c r="I2881" t="s">
        <v>57</v>
      </c>
    </row>
    <row r="2882" spans="1:9">
      <c r="A2882" s="4" t="s">
        <v>5818</v>
      </c>
      <c r="B2882" s="4" t="s">
        <v>5819</v>
      </c>
      <c r="C2882" s="4" t="s">
        <v>31</v>
      </c>
      <c r="D2882" s="2">
        <f>984888512/(10^6)</f>
        <v>984.888512</v>
      </c>
      <c r="E2882" s="5">
        <v>14.4933652877808</v>
      </c>
      <c r="F2882" s="5">
        <v>0.972093820571899</v>
      </c>
      <c r="G2882" s="5">
        <v>1.08023691177368</v>
      </c>
      <c r="H2882" s="5">
        <v>13.9267816543579</v>
      </c>
      <c r="I2882" t="s">
        <v>57</v>
      </c>
    </row>
    <row r="2883" spans="1:9">
      <c r="A2883" s="4" t="s">
        <v>5820</v>
      </c>
      <c r="B2883" s="4" t="s">
        <v>5821</v>
      </c>
      <c r="C2883" s="4" t="s">
        <v>31</v>
      </c>
      <c r="D2883" s="2">
        <f>984879616/(10^6)</f>
        <v>984.879616</v>
      </c>
      <c r="E2883" s="5">
        <v>20.8579349517822</v>
      </c>
      <c r="F2883" s="5">
        <v>2.72314476966858</v>
      </c>
      <c r="G2883" s="5">
        <v>0.851269364356995</v>
      </c>
      <c r="H2883" s="5">
        <v>8.77997016906738</v>
      </c>
      <c r="I2883" t="s">
        <v>57</v>
      </c>
    </row>
    <row r="2884" spans="1:9">
      <c r="A2884" s="4" t="s">
        <v>5822</v>
      </c>
      <c r="B2884" s="4" t="s">
        <v>5823</v>
      </c>
      <c r="C2884" s="4" t="s">
        <v>37</v>
      </c>
      <c r="D2884" s="2">
        <f>984027456/(10^6)</f>
        <v>984.027456</v>
      </c>
      <c r="E2884" s="5" t="s">
        <v>86</v>
      </c>
      <c r="F2884" s="5">
        <v>0.240191876888275</v>
      </c>
      <c r="G2884" s="5">
        <v>0.076633222401142</v>
      </c>
      <c r="H2884" s="5">
        <v>9.75183773040771</v>
      </c>
      <c r="I2884" t="s">
        <v>57</v>
      </c>
    </row>
    <row r="2885" spans="1:9">
      <c r="A2885" s="4" t="s">
        <v>5824</v>
      </c>
      <c r="B2885" s="4" t="s">
        <v>5825</v>
      </c>
      <c r="C2885" s="4" t="s">
        <v>31</v>
      </c>
      <c r="D2885" s="2">
        <f>983367232/(10^6)</f>
        <v>983.367232</v>
      </c>
      <c r="E2885" s="5">
        <v>8.68371486663818</v>
      </c>
      <c r="F2885" s="5">
        <v>1.20987010002136</v>
      </c>
      <c r="G2885" s="5">
        <v>0.22945062816143</v>
      </c>
      <c r="H2885" s="5">
        <v>6.52586460113525</v>
      </c>
      <c r="I2885" t="s">
        <v>57</v>
      </c>
    </row>
    <row r="2886" spans="1:9">
      <c r="A2886" s="4" t="s">
        <v>5826</v>
      </c>
      <c r="B2886" s="4" t="s">
        <v>5827</v>
      </c>
      <c r="C2886" s="4" t="s">
        <v>43</v>
      </c>
      <c r="D2886" s="2">
        <f>983291648/(10^6)</f>
        <v>983.291648</v>
      </c>
      <c r="E2886" s="5">
        <v>7.15274429321289</v>
      </c>
      <c r="F2886" s="5">
        <v>0.836704075336456</v>
      </c>
      <c r="G2886" s="5">
        <v>2.24936819076538</v>
      </c>
      <c r="H2886" s="5" t="s">
        <v>86</v>
      </c>
      <c r="I2886" t="s">
        <v>57</v>
      </c>
    </row>
    <row r="2887" spans="1:9">
      <c r="A2887" s="4" t="s">
        <v>5828</v>
      </c>
      <c r="B2887" s="4" t="s">
        <v>5829</v>
      </c>
      <c r="C2887" s="4" t="s">
        <v>43</v>
      </c>
      <c r="D2887" s="2">
        <f>982771712/(10^6)</f>
        <v>982.771712</v>
      </c>
      <c r="E2887" s="5">
        <v>5.57103872299194</v>
      </c>
      <c r="F2887" s="5">
        <v>0.875466644763947</v>
      </c>
      <c r="G2887" s="5">
        <v>3.87134718894958</v>
      </c>
      <c r="H2887" s="5">
        <v>10.1613807678223</v>
      </c>
      <c r="I2887" t="s">
        <v>57</v>
      </c>
    </row>
    <row r="2888" spans="1:9">
      <c r="A2888" s="4" t="s">
        <v>5830</v>
      </c>
      <c r="B2888" s="4" t="s">
        <v>5831</v>
      </c>
      <c r="C2888" s="4" t="s">
        <v>45</v>
      </c>
      <c r="D2888" s="2">
        <f>980934784/(10^6)</f>
        <v>980.934784</v>
      </c>
      <c r="E2888" s="5">
        <v>37.5541381835938</v>
      </c>
      <c r="F2888" s="5">
        <v>1.88815248012543</v>
      </c>
      <c r="G2888" s="5">
        <v>7.78702306747437</v>
      </c>
      <c r="H2888" s="5">
        <v>21.1127662658691</v>
      </c>
      <c r="I2888" t="s">
        <v>57</v>
      </c>
    </row>
    <row r="2889" spans="1:9">
      <c r="A2889" s="4" t="s">
        <v>5832</v>
      </c>
      <c r="B2889" s="4" t="s">
        <v>5833</v>
      </c>
      <c r="C2889" s="4" t="s">
        <v>27</v>
      </c>
      <c r="D2889" s="2">
        <f>970924416/(10^6)</f>
        <v>970.924416</v>
      </c>
      <c r="E2889" s="5">
        <v>10.7433967590332</v>
      </c>
      <c r="F2889" s="5">
        <v>0.849445283412933</v>
      </c>
      <c r="G2889" s="5">
        <v>0.969400763511658</v>
      </c>
      <c r="H2889" s="5">
        <v>6.47444438934326</v>
      </c>
      <c r="I2889" t="s">
        <v>57</v>
      </c>
    </row>
    <row r="2890" spans="1:9">
      <c r="A2890" s="4" t="s">
        <v>5834</v>
      </c>
      <c r="B2890" s="4" t="s">
        <v>5835</v>
      </c>
      <c r="C2890" s="4" t="s">
        <v>41</v>
      </c>
      <c r="D2890" s="2">
        <f>970914048/(10^6)</f>
        <v>970.914048</v>
      </c>
      <c r="E2890" s="5" t="s">
        <v>86</v>
      </c>
      <c r="F2890" s="5">
        <v>48.6416473388672</v>
      </c>
      <c r="G2890" s="5">
        <v>6.38637590408325</v>
      </c>
      <c r="H2890" s="5" t="s">
        <v>86</v>
      </c>
      <c r="I2890" t="s">
        <v>57</v>
      </c>
    </row>
    <row r="2891" spans="1:9">
      <c r="A2891" s="4" t="s">
        <v>5836</v>
      </c>
      <c r="B2891" s="4" t="s">
        <v>5837</v>
      </c>
      <c r="C2891" s="4" t="s">
        <v>41</v>
      </c>
      <c r="D2891" s="2">
        <f>969776320/(10^6)</f>
        <v>969.77632</v>
      </c>
      <c r="E2891" s="5" t="s">
        <v>86</v>
      </c>
      <c r="F2891" s="5">
        <v>13.4471015930176</v>
      </c>
      <c r="G2891" s="5">
        <v>2.5139536857605</v>
      </c>
      <c r="H2891" s="5" t="s">
        <v>86</v>
      </c>
      <c r="I2891" t="s">
        <v>57</v>
      </c>
    </row>
    <row r="2892" spans="1:9">
      <c r="A2892" s="4" t="s">
        <v>5838</v>
      </c>
      <c r="B2892" s="4" t="s">
        <v>5839</v>
      </c>
      <c r="C2892" s="4" t="s">
        <v>51</v>
      </c>
      <c r="D2892" s="2">
        <f>968637824/(10^6)</f>
        <v>968.637824</v>
      </c>
      <c r="E2892" s="5" t="s">
        <v>86</v>
      </c>
      <c r="F2892" s="5">
        <v>2.07460165023804</v>
      </c>
      <c r="G2892" s="5">
        <v>6.67867183685303</v>
      </c>
      <c r="H2892" s="5" t="s">
        <v>86</v>
      </c>
      <c r="I2892" t="s">
        <v>57</v>
      </c>
    </row>
    <row r="2893" spans="1:9">
      <c r="A2893" s="4" t="s">
        <v>5840</v>
      </c>
      <c r="B2893" s="4" t="s">
        <v>5841</v>
      </c>
      <c r="C2893" s="4" t="s">
        <v>31</v>
      </c>
      <c r="D2893" s="2">
        <f>963743232/(10^6)</f>
        <v>963.743232</v>
      </c>
      <c r="E2893" s="5">
        <v>19.3058738708496</v>
      </c>
      <c r="F2893" s="5">
        <v>2.74221515655518</v>
      </c>
      <c r="G2893" s="5">
        <v>1.33679497241974</v>
      </c>
      <c r="H2893" s="5" t="s">
        <v>86</v>
      </c>
      <c r="I2893" t="s">
        <v>57</v>
      </c>
    </row>
    <row r="2894" spans="1:9">
      <c r="A2894" s="4" t="s">
        <v>5842</v>
      </c>
      <c r="B2894" s="4" t="s">
        <v>5843</v>
      </c>
      <c r="C2894" s="4" t="s">
        <v>51</v>
      </c>
      <c r="D2894" s="2">
        <f>961751424/(10^6)</f>
        <v>961.751424</v>
      </c>
      <c r="E2894" s="5" t="s">
        <v>86</v>
      </c>
      <c r="F2894" s="5">
        <v>1.44175720214844</v>
      </c>
      <c r="G2894" s="5">
        <v>1.725625872612</v>
      </c>
      <c r="H2894" s="5" t="s">
        <v>86</v>
      </c>
      <c r="I2894" t="s">
        <v>57</v>
      </c>
    </row>
    <row r="2895" spans="1:9">
      <c r="A2895" s="4" t="s">
        <v>5844</v>
      </c>
      <c r="B2895" s="4" t="s">
        <v>5845</v>
      </c>
      <c r="C2895" s="4" t="s">
        <v>31</v>
      </c>
      <c r="D2895" s="2">
        <f>961405312/(10^6)</f>
        <v>961.405312</v>
      </c>
      <c r="E2895" s="5">
        <v>4.40152740478516</v>
      </c>
      <c r="F2895" s="5">
        <v>0.423601150512695</v>
      </c>
      <c r="G2895" s="5">
        <v>0.118529073894024</v>
      </c>
      <c r="H2895" s="5">
        <v>4.87049579620361</v>
      </c>
      <c r="I2895" t="s">
        <v>57</v>
      </c>
    </row>
    <row r="2896" spans="1:9">
      <c r="A2896" s="4" t="s">
        <v>5846</v>
      </c>
      <c r="B2896" s="4" t="s">
        <v>5847</v>
      </c>
      <c r="C2896" s="4" t="s">
        <v>51</v>
      </c>
      <c r="D2896" s="2">
        <f>956589504/(10^6)</f>
        <v>956.589504</v>
      </c>
      <c r="E2896" s="5">
        <v>8.46424388885498</v>
      </c>
      <c r="F2896" s="5">
        <v>1.23766267299652</v>
      </c>
      <c r="G2896" s="5">
        <v>0.896869361400604</v>
      </c>
      <c r="H2896" s="5">
        <v>5.81958675384521</v>
      </c>
      <c r="I2896" t="s">
        <v>57</v>
      </c>
    </row>
    <row r="2897" spans="1:9">
      <c r="A2897" s="4" t="s">
        <v>5848</v>
      </c>
      <c r="B2897" s="4" t="s">
        <v>5849</v>
      </c>
      <c r="C2897" s="4" t="s">
        <v>37</v>
      </c>
      <c r="D2897" s="2">
        <f>951813504/(10^6)</f>
        <v>951.813504</v>
      </c>
      <c r="E2897" s="5">
        <v>11.2393760681152</v>
      </c>
      <c r="F2897" s="5">
        <v>1.16678214073181</v>
      </c>
      <c r="G2897" s="5">
        <v>0.550566673278809</v>
      </c>
      <c r="H2897" s="5">
        <v>5.02735614776611</v>
      </c>
      <c r="I2897" t="s">
        <v>57</v>
      </c>
    </row>
    <row r="2898" spans="1:9">
      <c r="A2898" s="4" t="s">
        <v>5850</v>
      </c>
      <c r="B2898" s="4" t="s">
        <v>5851</v>
      </c>
      <c r="C2898" s="4" t="s">
        <v>37</v>
      </c>
      <c r="D2898" s="2">
        <f>951437760/(10^6)</f>
        <v>951.43776</v>
      </c>
      <c r="E2898" s="5" t="s">
        <v>86</v>
      </c>
      <c r="F2898" s="5">
        <v>0.595987319946289</v>
      </c>
      <c r="G2898" s="5">
        <v>1.40238416194916</v>
      </c>
      <c r="H2898" s="5">
        <v>9.57172012329102</v>
      </c>
      <c r="I2898" t="s">
        <v>57</v>
      </c>
    </row>
    <row r="2899" spans="1:9">
      <c r="A2899" s="4" t="s">
        <v>5852</v>
      </c>
      <c r="B2899" s="4" t="s">
        <v>5853</v>
      </c>
      <c r="C2899" s="4" t="s">
        <v>33</v>
      </c>
      <c r="D2899" s="2">
        <f>948270656/(10^6)</f>
        <v>948.270656</v>
      </c>
      <c r="E2899" s="5">
        <v>67.6655426025391</v>
      </c>
      <c r="F2899" s="5">
        <v>0.792287349700928</v>
      </c>
      <c r="G2899" s="5">
        <v>0.576135456562042</v>
      </c>
      <c r="H2899" s="5">
        <v>10.559178352356</v>
      </c>
      <c r="I2899" t="s">
        <v>57</v>
      </c>
    </row>
    <row r="2900" spans="1:9">
      <c r="A2900" s="4" t="s">
        <v>5854</v>
      </c>
      <c r="B2900" s="4" t="s">
        <v>5855</v>
      </c>
      <c r="C2900" s="4" t="s">
        <v>47</v>
      </c>
      <c r="D2900" s="2">
        <f>948216128/(10^6)</f>
        <v>948.216128</v>
      </c>
      <c r="E2900" s="5">
        <v>3679.04541015625</v>
      </c>
      <c r="F2900" s="5">
        <v>2.6095027923584</v>
      </c>
      <c r="G2900" s="5">
        <v>0.693920195102692</v>
      </c>
      <c r="H2900" s="5">
        <v>14.6081514358521</v>
      </c>
      <c r="I2900" t="s">
        <v>57</v>
      </c>
    </row>
    <row r="2901" spans="1:9">
      <c r="A2901" s="4" t="s">
        <v>5856</v>
      </c>
      <c r="B2901" s="4" t="s">
        <v>5857</v>
      </c>
      <c r="C2901" s="4" t="s">
        <v>41</v>
      </c>
      <c r="D2901" s="2">
        <f>942168768/(10^6)</f>
        <v>942.168768</v>
      </c>
      <c r="E2901" s="5">
        <v>20.4752349853516</v>
      </c>
      <c r="F2901" s="5">
        <v>4.88538360595703</v>
      </c>
      <c r="G2901" s="5">
        <v>1.61131548881531</v>
      </c>
      <c r="H2901" s="5">
        <v>9.82042789459229</v>
      </c>
      <c r="I2901" t="s">
        <v>57</v>
      </c>
    </row>
    <row r="2902" spans="1:9">
      <c r="A2902" s="4" t="s">
        <v>5858</v>
      </c>
      <c r="B2902" s="4" t="s">
        <v>5859</v>
      </c>
      <c r="C2902" s="4" t="s">
        <v>31</v>
      </c>
      <c r="D2902" s="2">
        <f>941724032/(10^6)</f>
        <v>941.724032</v>
      </c>
      <c r="E2902" s="5">
        <v>4.19786834716797</v>
      </c>
      <c r="F2902" s="5">
        <v>1.00582206249237</v>
      </c>
      <c r="G2902" s="5">
        <v>0.217453300952911</v>
      </c>
      <c r="H2902" s="5">
        <v>4.06580591201782</v>
      </c>
      <c r="I2902" t="s">
        <v>57</v>
      </c>
    </row>
    <row r="2903" spans="1:9">
      <c r="A2903" s="4" t="s">
        <v>5860</v>
      </c>
      <c r="B2903" s="4" t="s">
        <v>5861</v>
      </c>
      <c r="C2903" s="4" t="s">
        <v>35</v>
      </c>
      <c r="D2903" s="2">
        <f>941656896/(10^6)</f>
        <v>941.656896</v>
      </c>
      <c r="E2903" s="5">
        <v>23.5472984313965</v>
      </c>
      <c r="F2903" s="5">
        <v>3.29692387580872</v>
      </c>
      <c r="G2903" s="5">
        <v>0.77375054359436</v>
      </c>
      <c r="H2903" s="5">
        <v>14.7988939285278</v>
      </c>
      <c r="I2903" t="s">
        <v>57</v>
      </c>
    </row>
    <row r="2904" spans="1:9">
      <c r="A2904" s="4" t="s">
        <v>5862</v>
      </c>
      <c r="B2904" s="4" t="s">
        <v>5863</v>
      </c>
      <c r="C2904" s="4" t="s">
        <v>51</v>
      </c>
      <c r="D2904" s="2">
        <f>940755264/(10^6)</f>
        <v>940.755264</v>
      </c>
      <c r="E2904" s="5" t="s">
        <v>86</v>
      </c>
      <c r="F2904" s="5">
        <v>2.40865278244019</v>
      </c>
      <c r="G2904" s="5">
        <v>0.708853244781494</v>
      </c>
      <c r="H2904" s="5" t="s">
        <v>86</v>
      </c>
      <c r="I2904" t="s">
        <v>57</v>
      </c>
    </row>
    <row r="2905" spans="1:9">
      <c r="A2905" s="4" t="s">
        <v>5864</v>
      </c>
      <c r="B2905" s="4" t="s">
        <v>5865</v>
      </c>
      <c r="C2905" s="4" t="s">
        <v>31</v>
      </c>
      <c r="D2905" s="2">
        <f>938924352/(10^6)</f>
        <v>938.924352</v>
      </c>
      <c r="E2905" s="5">
        <v>54.3415031433105</v>
      </c>
      <c r="F2905" s="5">
        <v>3.43948602676392</v>
      </c>
      <c r="G2905" s="5">
        <v>2.12165856361389</v>
      </c>
      <c r="H2905" s="5">
        <v>29.1006717681885</v>
      </c>
      <c r="I2905" t="s">
        <v>57</v>
      </c>
    </row>
    <row r="2906" spans="1:9">
      <c r="A2906" s="4" t="s">
        <v>5866</v>
      </c>
      <c r="B2906" s="4" t="s">
        <v>5867</v>
      </c>
      <c r="C2906" s="4" t="s">
        <v>27</v>
      </c>
      <c r="D2906" s="2">
        <f>938814080/(10^6)</f>
        <v>938.81408</v>
      </c>
      <c r="E2906" s="5">
        <v>453.479888916016</v>
      </c>
      <c r="F2906" s="5">
        <v>0.225646868348122</v>
      </c>
      <c r="G2906" s="5">
        <v>0.471319824457169</v>
      </c>
      <c r="H2906" s="5">
        <v>6.0733118057251</v>
      </c>
      <c r="I2906" t="s">
        <v>57</v>
      </c>
    </row>
    <row r="2907" spans="1:9">
      <c r="A2907" s="4" t="s">
        <v>5868</v>
      </c>
      <c r="B2907" s="4" t="s">
        <v>5869</v>
      </c>
      <c r="C2907" s="4" t="s">
        <v>31</v>
      </c>
      <c r="D2907" s="2">
        <f>937807744/(10^6)</f>
        <v>937.807744</v>
      </c>
      <c r="E2907" s="5">
        <v>19.9295959472656</v>
      </c>
      <c r="F2907" s="5">
        <v>3.200599193573</v>
      </c>
      <c r="G2907" s="5">
        <v>2.47450160980225</v>
      </c>
      <c r="H2907" s="5">
        <v>10.9608860015869</v>
      </c>
      <c r="I2907" t="s">
        <v>57</v>
      </c>
    </row>
    <row r="2908" spans="1:9">
      <c r="A2908" s="4" t="s">
        <v>5870</v>
      </c>
      <c r="B2908" s="4" t="s">
        <v>5871</v>
      </c>
      <c r="C2908" s="4" t="s">
        <v>41</v>
      </c>
      <c r="D2908" s="2">
        <f>937759936/(10^6)</f>
        <v>937.759936</v>
      </c>
      <c r="E2908" s="5" t="s">
        <v>86</v>
      </c>
      <c r="F2908" s="5">
        <v>0.580743253231049</v>
      </c>
      <c r="G2908" s="5">
        <v>0.923515737056732</v>
      </c>
      <c r="H2908" s="5" t="s">
        <v>86</v>
      </c>
      <c r="I2908" t="s">
        <v>57</v>
      </c>
    </row>
    <row r="2909" spans="1:9">
      <c r="A2909" s="4" t="s">
        <v>5872</v>
      </c>
      <c r="B2909" s="4" t="s">
        <v>5873</v>
      </c>
      <c r="C2909" s="4" t="s">
        <v>41</v>
      </c>
      <c r="D2909" s="2">
        <f>937045760/(10^6)</f>
        <v>937.04576</v>
      </c>
      <c r="E2909" s="5">
        <v>29.0308628082275</v>
      </c>
      <c r="F2909" s="5">
        <v>1.93176317214966</v>
      </c>
      <c r="G2909" s="5">
        <v>4.92424726486206</v>
      </c>
      <c r="H2909" s="5">
        <v>20.5204544067383</v>
      </c>
      <c r="I2909" t="s">
        <v>57</v>
      </c>
    </row>
    <row r="2910" spans="1:9">
      <c r="A2910" s="4" t="s">
        <v>5874</v>
      </c>
      <c r="B2910" s="4" t="s">
        <v>5875</v>
      </c>
      <c r="C2910" s="4" t="s">
        <v>41</v>
      </c>
      <c r="D2910" s="2">
        <f>936915456/(10^6)</f>
        <v>936.915456</v>
      </c>
      <c r="E2910" s="5" t="s">
        <v>86</v>
      </c>
      <c r="F2910" s="5">
        <v>9.37970352172852</v>
      </c>
      <c r="G2910" s="5">
        <v>7.25384664535522</v>
      </c>
      <c r="H2910" s="5" t="s">
        <v>86</v>
      </c>
      <c r="I2910" t="s">
        <v>57</v>
      </c>
    </row>
    <row r="2911" spans="1:9">
      <c r="A2911" s="4" t="s">
        <v>5876</v>
      </c>
      <c r="B2911" s="4" t="s">
        <v>5877</v>
      </c>
      <c r="C2911" s="4" t="s">
        <v>27</v>
      </c>
      <c r="D2911" s="2">
        <f>936827456/(10^6)</f>
        <v>936.827456</v>
      </c>
      <c r="E2911" s="5">
        <v>8.0302619934082</v>
      </c>
      <c r="F2911" s="5">
        <v>1.00611352920532</v>
      </c>
      <c r="G2911" s="5">
        <v>1.22830772399902</v>
      </c>
      <c r="H2911" s="5" t="s">
        <v>86</v>
      </c>
      <c r="I2911" t="s">
        <v>57</v>
      </c>
    </row>
    <row r="2912" spans="1:9">
      <c r="A2912" s="4" t="s">
        <v>5878</v>
      </c>
      <c r="B2912" s="4" t="s">
        <v>5879</v>
      </c>
      <c r="C2912" s="4" t="s">
        <v>43</v>
      </c>
      <c r="D2912" s="2">
        <f>936729600/(10^6)</f>
        <v>936.7296</v>
      </c>
      <c r="E2912" s="5">
        <v>9.16663837432861</v>
      </c>
      <c r="F2912" s="5">
        <v>0.931349873542786</v>
      </c>
      <c r="G2912" s="5">
        <v>2.64555168151856</v>
      </c>
      <c r="H2912" s="5" t="s">
        <v>86</v>
      </c>
      <c r="I2912" t="s">
        <v>57</v>
      </c>
    </row>
    <row r="2913" spans="1:9">
      <c r="A2913" s="4" t="s">
        <v>5880</v>
      </c>
      <c r="B2913" s="4" t="s">
        <v>5881</v>
      </c>
      <c r="C2913" s="4" t="s">
        <v>43</v>
      </c>
      <c r="D2913" s="2">
        <f>933047360/(10^6)</f>
        <v>933.04736</v>
      </c>
      <c r="E2913" s="5">
        <v>6.00190544128418</v>
      </c>
      <c r="F2913" s="5">
        <v>0.799746632575989</v>
      </c>
      <c r="G2913" s="5">
        <v>3.18718457221985</v>
      </c>
      <c r="H2913" s="5">
        <v>9.38787364959717</v>
      </c>
      <c r="I2913" t="s">
        <v>57</v>
      </c>
    </row>
    <row r="2914" spans="1:9">
      <c r="A2914" s="4" t="s">
        <v>5882</v>
      </c>
      <c r="B2914" s="4" t="s">
        <v>5883</v>
      </c>
      <c r="C2914" s="4" t="s">
        <v>43</v>
      </c>
      <c r="D2914" s="2">
        <f>930073920/(10^6)</f>
        <v>930.07392</v>
      </c>
      <c r="E2914" s="5">
        <v>5.31442928314209</v>
      </c>
      <c r="F2914" s="5">
        <v>0.998459041118622</v>
      </c>
      <c r="G2914" s="5">
        <v>2.48313522338867</v>
      </c>
      <c r="H2914" s="5" t="s">
        <v>86</v>
      </c>
      <c r="I2914" t="s">
        <v>57</v>
      </c>
    </row>
    <row r="2915" spans="1:9">
      <c r="A2915" s="4" t="s">
        <v>5884</v>
      </c>
      <c r="B2915" s="4" t="s">
        <v>5885</v>
      </c>
      <c r="C2915" s="4" t="s">
        <v>43</v>
      </c>
      <c r="D2915" s="2">
        <f>928603008/(10^6)</f>
        <v>928.603008</v>
      </c>
      <c r="E2915" s="5">
        <v>7.41832208633423</v>
      </c>
      <c r="F2915" s="5">
        <v>0.673747837543488</v>
      </c>
      <c r="G2915" s="5">
        <v>2.20050573348999</v>
      </c>
      <c r="H2915" s="5" t="s">
        <v>86</v>
      </c>
      <c r="I2915" t="s">
        <v>57</v>
      </c>
    </row>
    <row r="2916" spans="1:9">
      <c r="A2916" s="4" t="s">
        <v>5886</v>
      </c>
      <c r="B2916" s="4" t="s">
        <v>5887</v>
      </c>
      <c r="C2916" s="4" t="s">
        <v>43</v>
      </c>
      <c r="D2916" s="2">
        <f>928507072/(10^6)</f>
        <v>928.507072</v>
      </c>
      <c r="E2916" s="5" t="s">
        <v>86</v>
      </c>
      <c r="F2916" s="5">
        <v>6.78701877593994</v>
      </c>
      <c r="G2916" s="5">
        <v>2.39901566505432</v>
      </c>
      <c r="H2916" s="5">
        <v>230.520767211914</v>
      </c>
      <c r="I2916" t="s">
        <v>57</v>
      </c>
    </row>
    <row r="2917" spans="1:9">
      <c r="A2917" s="4" t="s">
        <v>5888</v>
      </c>
      <c r="B2917" s="4" t="s">
        <v>5889</v>
      </c>
      <c r="C2917" s="4" t="s">
        <v>41</v>
      </c>
      <c r="D2917" s="2">
        <f>925086272/(10^6)</f>
        <v>925.086272</v>
      </c>
      <c r="E2917" s="5" t="s">
        <v>86</v>
      </c>
      <c r="F2917" s="5" t="s">
        <v>86</v>
      </c>
      <c r="G2917" s="5" t="s">
        <v>86</v>
      </c>
      <c r="H2917" s="5" t="s">
        <v>86</v>
      </c>
      <c r="I2917" t="s">
        <v>57</v>
      </c>
    </row>
    <row r="2918" spans="1:9">
      <c r="A2918" s="4" t="s">
        <v>5890</v>
      </c>
      <c r="B2918" s="4" t="s">
        <v>5891</v>
      </c>
      <c r="C2918" s="4" t="s">
        <v>51</v>
      </c>
      <c r="D2918" s="2">
        <f>921117952/(10^6)</f>
        <v>921.117952</v>
      </c>
      <c r="E2918" s="5" t="s">
        <v>86</v>
      </c>
      <c r="F2918" s="5">
        <v>90.4865036010742</v>
      </c>
      <c r="G2918" s="5">
        <v>0.426714837551117</v>
      </c>
      <c r="H2918" s="5">
        <v>157.590087890625</v>
      </c>
      <c r="I2918" t="s">
        <v>57</v>
      </c>
    </row>
    <row r="2919" spans="1:9">
      <c r="A2919" s="4" t="s">
        <v>5892</v>
      </c>
      <c r="B2919" s="4" t="s">
        <v>5893</v>
      </c>
      <c r="C2919" s="4" t="s">
        <v>37</v>
      </c>
      <c r="D2919" s="2">
        <f>918694016/(10^6)</f>
        <v>918.694016</v>
      </c>
      <c r="E2919" s="5">
        <v>5.39952230453491</v>
      </c>
      <c r="F2919" s="5">
        <v>0.572944760322571</v>
      </c>
      <c r="G2919" s="5">
        <v>0.381601452827454</v>
      </c>
      <c r="H2919" s="5">
        <v>4.20481300354004</v>
      </c>
      <c r="I2919" t="s">
        <v>57</v>
      </c>
    </row>
    <row r="2920" spans="1:9">
      <c r="A2920" s="4" t="s">
        <v>5894</v>
      </c>
      <c r="B2920" s="4" t="s">
        <v>5895</v>
      </c>
      <c r="C2920" s="4" t="s">
        <v>47</v>
      </c>
      <c r="D2920" s="2">
        <f>918037952/(10^6)</f>
        <v>918.037952</v>
      </c>
      <c r="E2920" s="5">
        <v>13.152229309082</v>
      </c>
      <c r="F2920" s="5">
        <v>1.82035994529724</v>
      </c>
      <c r="G2920" s="5">
        <v>0.803611516952515</v>
      </c>
      <c r="H2920" s="5">
        <v>7.75143098831177</v>
      </c>
      <c r="I2920" t="s">
        <v>57</v>
      </c>
    </row>
    <row r="2921" spans="1:9">
      <c r="A2921" s="4" t="s">
        <v>5896</v>
      </c>
      <c r="B2921" s="4" t="s">
        <v>5897</v>
      </c>
      <c r="C2921" s="4" t="s">
        <v>33</v>
      </c>
      <c r="D2921" s="2">
        <f>916693632/(10^6)</f>
        <v>916.693632</v>
      </c>
      <c r="E2921" s="5">
        <v>92.6010131835938</v>
      </c>
      <c r="F2921" s="5">
        <v>4.44599342346191</v>
      </c>
      <c r="G2921" s="5">
        <v>2.16681575775146</v>
      </c>
      <c r="H2921" s="5">
        <v>39.2420921325684</v>
      </c>
      <c r="I2921" t="s">
        <v>57</v>
      </c>
    </row>
    <row r="2922" spans="1:9">
      <c r="A2922" s="4" t="s">
        <v>5898</v>
      </c>
      <c r="B2922" s="4" t="s">
        <v>5899</v>
      </c>
      <c r="C2922" s="4" t="s">
        <v>39</v>
      </c>
      <c r="D2922" s="2">
        <f>916451584/(10^6)</f>
        <v>916.451584</v>
      </c>
      <c r="E2922" s="5" t="s">
        <v>86</v>
      </c>
      <c r="F2922" s="5">
        <v>1.41845762729645</v>
      </c>
      <c r="G2922" s="5">
        <v>3.38339471817017</v>
      </c>
      <c r="H2922" s="5">
        <v>87.063362121582</v>
      </c>
      <c r="I2922" t="s">
        <v>57</v>
      </c>
    </row>
    <row r="2923" spans="1:9">
      <c r="A2923" s="4" t="s">
        <v>5900</v>
      </c>
      <c r="B2923" s="4" t="s">
        <v>5901</v>
      </c>
      <c r="C2923" s="4" t="s">
        <v>43</v>
      </c>
      <c r="D2923" s="2">
        <f>915862528/(10^6)</f>
        <v>915.862528</v>
      </c>
      <c r="E2923" s="5" t="s">
        <v>86</v>
      </c>
      <c r="F2923" s="5" t="s">
        <v>86</v>
      </c>
      <c r="G2923" s="5" t="s">
        <v>86</v>
      </c>
      <c r="H2923" s="5" t="s">
        <v>86</v>
      </c>
      <c r="I2923" t="s">
        <v>57</v>
      </c>
    </row>
    <row r="2924" spans="1:9">
      <c r="A2924" s="4" t="s">
        <v>5902</v>
      </c>
      <c r="B2924" s="4" t="s">
        <v>5903</v>
      </c>
      <c r="C2924" s="4" t="s">
        <v>43</v>
      </c>
      <c r="D2924" s="2">
        <f>915862528/(10^6)</f>
        <v>915.862528</v>
      </c>
      <c r="E2924" s="5" t="s">
        <v>86</v>
      </c>
      <c r="F2924" s="5" t="s">
        <v>86</v>
      </c>
      <c r="G2924" s="5" t="s">
        <v>86</v>
      </c>
      <c r="H2924" s="5" t="s">
        <v>86</v>
      </c>
      <c r="I2924" t="s">
        <v>57</v>
      </c>
    </row>
    <row r="2925" spans="1:9">
      <c r="A2925" s="4" t="s">
        <v>5904</v>
      </c>
      <c r="B2925" s="4" t="s">
        <v>5905</v>
      </c>
      <c r="C2925" s="4" t="s">
        <v>51</v>
      </c>
      <c r="D2925" s="2">
        <f>915788032/(10^6)</f>
        <v>915.788032</v>
      </c>
      <c r="E2925" s="5" t="s">
        <v>86</v>
      </c>
      <c r="F2925" s="5">
        <v>5.5617241859436</v>
      </c>
      <c r="G2925" s="5">
        <v>3.25693678855896</v>
      </c>
      <c r="H2925" s="5" t="s">
        <v>86</v>
      </c>
      <c r="I2925" t="s">
        <v>57</v>
      </c>
    </row>
    <row r="2926" spans="1:9">
      <c r="A2926" s="4" t="s">
        <v>5906</v>
      </c>
      <c r="B2926" s="4" t="s">
        <v>5907</v>
      </c>
      <c r="C2926" s="4" t="s">
        <v>41</v>
      </c>
      <c r="D2926" s="2">
        <f>915500736/(10^6)</f>
        <v>915.500736</v>
      </c>
      <c r="E2926" s="5" t="s">
        <v>86</v>
      </c>
      <c r="F2926" s="5">
        <v>2.17299723625183</v>
      </c>
      <c r="G2926" s="5">
        <v>2.49150943756104</v>
      </c>
      <c r="H2926" s="5" t="s">
        <v>86</v>
      </c>
      <c r="I2926" t="s">
        <v>57</v>
      </c>
    </row>
    <row r="2927" spans="1:9">
      <c r="A2927" s="4" t="s">
        <v>5908</v>
      </c>
      <c r="B2927" s="4" t="s">
        <v>5909</v>
      </c>
      <c r="C2927" s="4" t="s">
        <v>37</v>
      </c>
      <c r="D2927" s="2">
        <f>914457152/(10^6)</f>
        <v>914.457152</v>
      </c>
      <c r="E2927" s="5">
        <v>11.010290145874</v>
      </c>
      <c r="F2927" s="5">
        <v>1.29688358306885</v>
      </c>
      <c r="G2927" s="5">
        <v>0.196163356304169</v>
      </c>
      <c r="H2927" s="5">
        <v>5.0107364654541</v>
      </c>
      <c r="I2927" t="s">
        <v>57</v>
      </c>
    </row>
    <row r="2928" spans="1:9">
      <c r="A2928" s="4" t="s">
        <v>5910</v>
      </c>
      <c r="B2928" s="4" t="s">
        <v>5911</v>
      </c>
      <c r="C2928" s="4" t="s">
        <v>27</v>
      </c>
      <c r="D2928" s="2">
        <f>914387904/(10^6)</f>
        <v>914.387904</v>
      </c>
      <c r="E2928" s="5">
        <v>2.81006765365601</v>
      </c>
      <c r="F2928" s="5">
        <v>0.281772196292877</v>
      </c>
      <c r="G2928" s="5">
        <v>0.289381384849548</v>
      </c>
      <c r="H2928" s="5">
        <v>3.6797194480896</v>
      </c>
      <c r="I2928" t="s">
        <v>57</v>
      </c>
    </row>
    <row r="2929" spans="1:9">
      <c r="A2929" s="4" t="s">
        <v>5912</v>
      </c>
      <c r="B2929" s="4" t="s">
        <v>5913</v>
      </c>
      <c r="C2929" s="4" t="s">
        <v>41</v>
      </c>
      <c r="D2929" s="2">
        <f>910756736/(10^6)</f>
        <v>910.756736</v>
      </c>
      <c r="E2929" s="5" t="s">
        <v>86</v>
      </c>
      <c r="F2929" s="5">
        <v>4.39862537384033</v>
      </c>
      <c r="G2929" s="5">
        <v>2948.15600585938</v>
      </c>
      <c r="H2929" s="5" t="s">
        <v>86</v>
      </c>
      <c r="I2929" t="s">
        <v>57</v>
      </c>
    </row>
    <row r="2930" spans="1:9">
      <c r="A2930" s="4" t="s">
        <v>5914</v>
      </c>
      <c r="B2930" s="4" t="s">
        <v>5915</v>
      </c>
      <c r="C2930" s="4" t="s">
        <v>31</v>
      </c>
      <c r="D2930" s="2">
        <f>909731840/(10^6)</f>
        <v>909.73184</v>
      </c>
      <c r="E2930" s="5" t="s">
        <v>86</v>
      </c>
      <c r="F2930" s="5">
        <v>0.583350241184235</v>
      </c>
      <c r="G2930" s="5">
        <v>0.05339365825057</v>
      </c>
      <c r="H2930" s="5" t="s">
        <v>86</v>
      </c>
      <c r="I2930" t="s">
        <v>57</v>
      </c>
    </row>
    <row r="2931" spans="1:9">
      <c r="A2931" s="4" t="s">
        <v>5916</v>
      </c>
      <c r="B2931" s="4" t="s">
        <v>5917</v>
      </c>
      <c r="C2931" s="4" t="s">
        <v>41</v>
      </c>
      <c r="D2931" s="2">
        <f>909284736/(10^6)</f>
        <v>909.284736</v>
      </c>
      <c r="E2931" s="5" t="s">
        <v>86</v>
      </c>
      <c r="F2931" s="5">
        <v>8.57139205932617</v>
      </c>
      <c r="G2931" s="5" t="s">
        <v>86</v>
      </c>
      <c r="H2931" s="5" t="s">
        <v>86</v>
      </c>
      <c r="I2931" t="s">
        <v>57</v>
      </c>
    </row>
    <row r="2932" spans="1:9">
      <c r="A2932" s="4" t="s">
        <v>5918</v>
      </c>
      <c r="B2932" s="4" t="s">
        <v>5919</v>
      </c>
      <c r="C2932" s="4" t="s">
        <v>45</v>
      </c>
      <c r="D2932" s="2">
        <f>907708736/(10^6)</f>
        <v>907.708736</v>
      </c>
      <c r="E2932" s="5">
        <v>12.7931680679321</v>
      </c>
      <c r="F2932" s="5">
        <v>3.10297751426697</v>
      </c>
      <c r="G2932" s="5">
        <v>0.78973388671875</v>
      </c>
      <c r="H2932" s="5">
        <v>6.6789116859436</v>
      </c>
      <c r="I2932" t="s">
        <v>57</v>
      </c>
    </row>
    <row r="2933" spans="1:9">
      <c r="A2933" s="4" t="s">
        <v>5920</v>
      </c>
      <c r="B2933" s="4" t="s">
        <v>5921</v>
      </c>
      <c r="C2933" s="4" t="s">
        <v>43</v>
      </c>
      <c r="D2933" s="2">
        <f>905515136/(10^6)</f>
        <v>905.515136</v>
      </c>
      <c r="E2933" s="5">
        <v>7.7165699005127</v>
      </c>
      <c r="F2933" s="5">
        <v>0.610634982585907</v>
      </c>
      <c r="G2933" s="5">
        <v>1.1733386516571</v>
      </c>
      <c r="H2933" s="5" t="s">
        <v>86</v>
      </c>
      <c r="I2933" t="s">
        <v>57</v>
      </c>
    </row>
    <row r="2934" spans="1:9">
      <c r="A2934" s="4" t="s">
        <v>5922</v>
      </c>
      <c r="B2934" s="4" t="s">
        <v>5923</v>
      </c>
      <c r="C2934" s="4" t="s">
        <v>41</v>
      </c>
      <c r="D2934" s="2">
        <f>900228992/(10^6)</f>
        <v>900.228992</v>
      </c>
      <c r="E2934" s="5">
        <v>76.6038131713867</v>
      </c>
      <c r="F2934" s="5">
        <v>3.84432315826416</v>
      </c>
      <c r="G2934" s="5">
        <v>7.64124822616577</v>
      </c>
      <c r="H2934" s="5">
        <v>49.8772659301758</v>
      </c>
      <c r="I2934" t="s">
        <v>57</v>
      </c>
    </row>
    <row r="2935" spans="1:9">
      <c r="A2935" s="4" t="s">
        <v>5924</v>
      </c>
      <c r="B2935" s="4" t="s">
        <v>5925</v>
      </c>
      <c r="C2935" s="4" t="s">
        <v>41</v>
      </c>
      <c r="D2935" s="2">
        <f>897677696/(10^6)</f>
        <v>897.677696</v>
      </c>
      <c r="E2935" s="5" t="s">
        <v>86</v>
      </c>
      <c r="F2935" s="5">
        <v>3.86863160133362</v>
      </c>
      <c r="G2935" s="5">
        <v>0.242927685379982</v>
      </c>
      <c r="H2935" s="5" t="s">
        <v>86</v>
      </c>
      <c r="I2935" t="s">
        <v>57</v>
      </c>
    </row>
    <row r="2936" spans="1:9">
      <c r="A2936" s="4" t="s">
        <v>5926</v>
      </c>
      <c r="B2936" s="4" t="s">
        <v>5927</v>
      </c>
      <c r="C2936" s="4" t="s">
        <v>43</v>
      </c>
      <c r="D2936" s="2">
        <f>893927936/(10^6)</f>
        <v>893.927936</v>
      </c>
      <c r="E2936" s="5">
        <v>7.60681056976318</v>
      </c>
      <c r="F2936" s="5">
        <v>0.735793948173523</v>
      </c>
      <c r="G2936" s="5">
        <v>1.90253174304962</v>
      </c>
      <c r="H2936" s="5" t="s">
        <v>86</v>
      </c>
      <c r="I2936" t="s">
        <v>57</v>
      </c>
    </row>
    <row r="2937" spans="1:9">
      <c r="A2937" s="4" t="s">
        <v>5928</v>
      </c>
      <c r="B2937" s="4" t="s">
        <v>5929</v>
      </c>
      <c r="C2937" s="4" t="s">
        <v>41</v>
      </c>
      <c r="D2937" s="2">
        <f>893038400/(10^6)</f>
        <v>893.0384</v>
      </c>
      <c r="E2937" s="5" t="s">
        <v>86</v>
      </c>
      <c r="F2937" s="5">
        <v>4.3818507194519</v>
      </c>
      <c r="G2937" s="5" t="s">
        <v>86</v>
      </c>
      <c r="H2937" s="5" t="s">
        <v>86</v>
      </c>
      <c r="I2937" t="s">
        <v>57</v>
      </c>
    </row>
    <row r="2938" spans="1:9">
      <c r="A2938" s="4" t="s">
        <v>5930</v>
      </c>
      <c r="B2938" s="4" t="s">
        <v>5931</v>
      </c>
      <c r="C2938" s="4" t="s">
        <v>49</v>
      </c>
      <c r="D2938" s="2">
        <f>890451648/(10^6)</f>
        <v>890.451648</v>
      </c>
      <c r="E2938" s="5" t="s">
        <v>86</v>
      </c>
      <c r="F2938" s="5" t="s">
        <v>86</v>
      </c>
      <c r="G2938" s="5" t="s">
        <v>86</v>
      </c>
      <c r="H2938" s="5" t="s">
        <v>86</v>
      </c>
      <c r="I2938" t="s">
        <v>57</v>
      </c>
    </row>
    <row r="2939" spans="1:9">
      <c r="A2939" s="4" t="s">
        <v>5932</v>
      </c>
      <c r="B2939" s="4" t="s">
        <v>5933</v>
      </c>
      <c r="C2939" s="4" t="s">
        <v>41</v>
      </c>
      <c r="D2939" s="2">
        <f>890313728/(10^6)</f>
        <v>890.313728</v>
      </c>
      <c r="E2939" s="5" t="s">
        <v>86</v>
      </c>
      <c r="F2939" s="5">
        <v>0.708292543888092</v>
      </c>
      <c r="G2939" s="5">
        <v>0.214790776371956</v>
      </c>
      <c r="H2939" s="5" t="s">
        <v>86</v>
      </c>
      <c r="I2939" t="s">
        <v>57</v>
      </c>
    </row>
    <row r="2940" spans="1:9">
      <c r="A2940" s="4" t="s">
        <v>5934</v>
      </c>
      <c r="B2940" s="4" t="s">
        <v>5935</v>
      </c>
      <c r="C2940" s="4" t="s">
        <v>41</v>
      </c>
      <c r="D2940" s="2">
        <f>887488064/(10^6)</f>
        <v>887.488064</v>
      </c>
      <c r="E2940" s="5" t="s">
        <v>86</v>
      </c>
      <c r="F2940" s="5">
        <v>3.62110161781311</v>
      </c>
      <c r="G2940" s="5">
        <v>1607.87951660156</v>
      </c>
      <c r="H2940" s="5" t="s">
        <v>86</v>
      </c>
      <c r="I2940" t="s">
        <v>57</v>
      </c>
    </row>
    <row r="2941" spans="1:9">
      <c r="A2941" s="4" t="s">
        <v>5936</v>
      </c>
      <c r="B2941" s="4" t="s">
        <v>5937</v>
      </c>
      <c r="C2941" s="4" t="s">
        <v>27</v>
      </c>
      <c r="D2941" s="2">
        <f>886850368/(10^6)</f>
        <v>886.850368</v>
      </c>
      <c r="E2941" s="5">
        <v>6.6013822555542</v>
      </c>
      <c r="F2941" s="5">
        <v>0.161957412958145</v>
      </c>
      <c r="G2941" s="5">
        <v>0.344598025083542</v>
      </c>
      <c r="H2941" s="5">
        <v>1.89398634433746</v>
      </c>
      <c r="I2941" t="s">
        <v>57</v>
      </c>
    </row>
    <row r="2942" spans="1:9">
      <c r="A2942" s="4" t="s">
        <v>5938</v>
      </c>
      <c r="B2942" s="4" t="s">
        <v>5939</v>
      </c>
      <c r="C2942" s="4" t="s">
        <v>41</v>
      </c>
      <c r="D2942" s="2">
        <f>886203840/(10^6)</f>
        <v>886.20384</v>
      </c>
      <c r="E2942" s="5" t="s">
        <v>86</v>
      </c>
      <c r="F2942" s="5">
        <v>2.64829158782959</v>
      </c>
      <c r="G2942" s="5">
        <v>2.6369297504425</v>
      </c>
      <c r="H2942" s="5" t="s">
        <v>86</v>
      </c>
      <c r="I2942" t="s">
        <v>57</v>
      </c>
    </row>
    <row r="2943" spans="1:9">
      <c r="A2943" s="4" t="s">
        <v>5940</v>
      </c>
      <c r="B2943" s="4" t="s">
        <v>5941</v>
      </c>
      <c r="C2943" s="4" t="s">
        <v>43</v>
      </c>
      <c r="D2943" s="2">
        <f>884497344/(10^6)</f>
        <v>884.497344</v>
      </c>
      <c r="E2943" s="5">
        <v>4.02732181549072</v>
      </c>
      <c r="F2943" s="5">
        <v>0.364513248205185</v>
      </c>
      <c r="G2943" s="5">
        <v>0.914601385593414</v>
      </c>
      <c r="H2943" s="5" t="s">
        <v>86</v>
      </c>
      <c r="I2943" t="s">
        <v>57</v>
      </c>
    </row>
    <row r="2944" spans="1:9">
      <c r="A2944" s="4" t="s">
        <v>5942</v>
      </c>
      <c r="B2944" s="4" t="s">
        <v>5943</v>
      </c>
      <c r="C2944" s="4" t="s">
        <v>43</v>
      </c>
      <c r="D2944" s="2">
        <f>881037568/(10^6)</f>
        <v>881.037568</v>
      </c>
      <c r="E2944" s="5">
        <v>7.62285709381104</v>
      </c>
      <c r="F2944" s="5">
        <v>0.620728373527527</v>
      </c>
      <c r="G2944" s="5">
        <v>1.98002469539642</v>
      </c>
      <c r="H2944" s="5" t="s">
        <v>86</v>
      </c>
      <c r="I2944" t="s">
        <v>57</v>
      </c>
    </row>
    <row r="2945" spans="1:9">
      <c r="A2945" s="4" t="s">
        <v>5944</v>
      </c>
      <c r="B2945" s="4" t="s">
        <v>5945</v>
      </c>
      <c r="C2945" s="4" t="s">
        <v>41</v>
      </c>
      <c r="D2945" s="2">
        <f>879493952/(10^6)</f>
        <v>879.493952</v>
      </c>
      <c r="E2945" s="5" t="s">
        <v>86</v>
      </c>
      <c r="F2945" s="5">
        <v>8.28415775299072</v>
      </c>
      <c r="G2945" s="5">
        <v>6.55415868759155</v>
      </c>
      <c r="H2945" s="5" t="s">
        <v>86</v>
      </c>
      <c r="I2945" t="s">
        <v>57</v>
      </c>
    </row>
    <row r="2946" spans="1:9">
      <c r="A2946" s="4" t="s">
        <v>5946</v>
      </c>
      <c r="B2946" s="4" t="s">
        <v>5947</v>
      </c>
      <c r="C2946" s="4" t="s">
        <v>51</v>
      </c>
      <c r="D2946" s="2">
        <f>879376256/(10^6)</f>
        <v>879.376256</v>
      </c>
      <c r="E2946" s="5" t="s">
        <v>86</v>
      </c>
      <c r="F2946" s="5">
        <v>1.6710661649704</v>
      </c>
      <c r="G2946" s="5">
        <v>1.34243834018707</v>
      </c>
      <c r="H2946" s="5">
        <v>104.407028198242</v>
      </c>
      <c r="I2946" t="s">
        <v>57</v>
      </c>
    </row>
    <row r="2947" spans="1:9">
      <c r="A2947" s="4" t="s">
        <v>5948</v>
      </c>
      <c r="B2947" s="4" t="s">
        <v>5949</v>
      </c>
      <c r="C2947" s="4" t="s">
        <v>31</v>
      </c>
      <c r="D2947" s="2">
        <f>877924992/(10^6)</f>
        <v>877.924992</v>
      </c>
      <c r="E2947" s="5">
        <v>11.1746349334717</v>
      </c>
      <c r="F2947" s="5">
        <v>0.496076911687851</v>
      </c>
      <c r="G2947" s="5">
        <v>0.072152800858021</v>
      </c>
      <c r="H2947" s="5">
        <v>4.43772983551025</v>
      </c>
      <c r="I2947" t="s">
        <v>57</v>
      </c>
    </row>
    <row r="2948" spans="1:9">
      <c r="A2948" s="4" t="s">
        <v>5950</v>
      </c>
      <c r="B2948" s="4" t="s">
        <v>5951</v>
      </c>
      <c r="C2948" s="4" t="s">
        <v>47</v>
      </c>
      <c r="D2948" s="2">
        <f>877360832/(10^6)</f>
        <v>877.360832</v>
      </c>
      <c r="E2948" s="5">
        <v>8.50282955169678</v>
      </c>
      <c r="F2948" s="5">
        <v>0.693129181861877</v>
      </c>
      <c r="G2948" s="5">
        <v>0.318168103694916</v>
      </c>
      <c r="H2948" s="5">
        <v>2.64467215538025</v>
      </c>
      <c r="I2948" t="s">
        <v>57</v>
      </c>
    </row>
    <row r="2949" spans="1:9">
      <c r="A2949" s="4" t="s">
        <v>5952</v>
      </c>
      <c r="B2949" s="4" t="s">
        <v>5953</v>
      </c>
      <c r="C2949" s="4" t="s">
        <v>43</v>
      </c>
      <c r="D2949" s="2">
        <f>875859712/(10^6)</f>
        <v>875.859712</v>
      </c>
      <c r="E2949" s="5">
        <v>9.57063865661621</v>
      </c>
      <c r="F2949" s="5">
        <v>0.969010293483734</v>
      </c>
      <c r="G2949" s="5">
        <v>2.68921875953674</v>
      </c>
      <c r="H2949" s="5" t="s">
        <v>86</v>
      </c>
      <c r="I2949" t="s">
        <v>57</v>
      </c>
    </row>
    <row r="2950" spans="1:9">
      <c r="A2950" s="4" t="s">
        <v>5954</v>
      </c>
      <c r="B2950" s="4" t="s">
        <v>5955</v>
      </c>
      <c r="C2950" s="4" t="s">
        <v>31</v>
      </c>
      <c r="D2950" s="2">
        <f>874443904/(10^6)</f>
        <v>874.443904</v>
      </c>
      <c r="E2950" s="5">
        <v>15.314079284668</v>
      </c>
      <c r="F2950" s="5">
        <v>1.13860774040222</v>
      </c>
      <c r="G2950" s="5">
        <v>0.695404529571533</v>
      </c>
      <c r="H2950" s="5">
        <v>7.2111406326294</v>
      </c>
      <c r="I2950" t="s">
        <v>57</v>
      </c>
    </row>
    <row r="2951" spans="1:9">
      <c r="A2951" s="4" t="s">
        <v>5956</v>
      </c>
      <c r="B2951" s="4" t="s">
        <v>5957</v>
      </c>
      <c r="C2951" s="4" t="s">
        <v>47</v>
      </c>
      <c r="D2951" s="2">
        <f>873784832/(10^6)</f>
        <v>873.784832</v>
      </c>
      <c r="E2951" s="5">
        <v>13.3247270584106</v>
      </c>
      <c r="F2951" s="5">
        <v>1.86230909824371</v>
      </c>
      <c r="G2951" s="5">
        <v>0.62546294927597</v>
      </c>
      <c r="H2951" s="5">
        <v>6.86966133117676</v>
      </c>
      <c r="I2951" t="s">
        <v>57</v>
      </c>
    </row>
    <row r="2952" spans="1:9">
      <c r="A2952" s="4" t="s">
        <v>5958</v>
      </c>
      <c r="B2952" s="4" t="s">
        <v>5959</v>
      </c>
      <c r="C2952" s="4" t="s">
        <v>43</v>
      </c>
      <c r="D2952" s="2">
        <f>869495552/(10^6)</f>
        <v>869.495552</v>
      </c>
      <c r="E2952" s="5">
        <v>7.88205289840698</v>
      </c>
      <c r="F2952" s="5">
        <v>0.824181795120239</v>
      </c>
      <c r="G2952" s="5">
        <v>2.12010025978088</v>
      </c>
      <c r="H2952" s="5" t="s">
        <v>86</v>
      </c>
      <c r="I2952" t="s">
        <v>57</v>
      </c>
    </row>
    <row r="2953" spans="1:9">
      <c r="A2953" s="4" t="s">
        <v>5960</v>
      </c>
      <c r="B2953" s="4" t="s">
        <v>5961</v>
      </c>
      <c r="C2953" s="4" t="s">
        <v>43</v>
      </c>
      <c r="D2953" s="2">
        <f>869466752/(10^6)</f>
        <v>869.466752</v>
      </c>
      <c r="E2953" s="5">
        <v>9.80986785888672</v>
      </c>
      <c r="F2953" s="5">
        <v>0.924166083335876</v>
      </c>
      <c r="G2953" s="5">
        <v>2.30113339424133</v>
      </c>
      <c r="H2953" s="5" t="s">
        <v>86</v>
      </c>
      <c r="I2953" t="s">
        <v>57</v>
      </c>
    </row>
    <row r="2954" spans="1:9">
      <c r="A2954" s="4" t="s">
        <v>5962</v>
      </c>
      <c r="B2954" s="4" t="s">
        <v>5963</v>
      </c>
      <c r="C2954" s="4" t="s">
        <v>43</v>
      </c>
      <c r="D2954" s="2">
        <f>867467840/(10^6)</f>
        <v>867.46784</v>
      </c>
      <c r="E2954" s="5">
        <v>7.02894735336304</v>
      </c>
      <c r="F2954" s="5">
        <v>0.93958193063736</v>
      </c>
      <c r="G2954" s="5">
        <v>0.794312715530396</v>
      </c>
      <c r="H2954" s="5">
        <v>6.95314455032349</v>
      </c>
      <c r="I2954" t="s">
        <v>57</v>
      </c>
    </row>
    <row r="2955" spans="1:9">
      <c r="A2955" s="4" t="s">
        <v>5964</v>
      </c>
      <c r="B2955" s="4" t="s">
        <v>5965</v>
      </c>
      <c r="C2955" s="4" t="s">
        <v>43</v>
      </c>
      <c r="D2955" s="2">
        <f>867155648/(10^6)</f>
        <v>867.155648</v>
      </c>
      <c r="E2955" s="5">
        <v>9.98233795166016</v>
      </c>
      <c r="F2955" s="5">
        <v>1.43557548522949</v>
      </c>
      <c r="G2955" s="5">
        <v>3.31784725189209</v>
      </c>
      <c r="H2955" s="5" t="s">
        <v>86</v>
      </c>
      <c r="I2955" t="s">
        <v>57</v>
      </c>
    </row>
    <row r="2956" spans="1:9">
      <c r="A2956" s="4" t="s">
        <v>5966</v>
      </c>
      <c r="B2956" s="4" t="s">
        <v>5967</v>
      </c>
      <c r="C2956" s="4" t="s">
        <v>41</v>
      </c>
      <c r="D2956" s="2">
        <f>865807104/(10^6)</f>
        <v>865.807104</v>
      </c>
      <c r="E2956" s="5" t="s">
        <v>86</v>
      </c>
      <c r="F2956" s="5" t="s">
        <v>86</v>
      </c>
      <c r="G2956" s="5" t="s">
        <v>86</v>
      </c>
      <c r="H2956" s="5" t="s">
        <v>86</v>
      </c>
      <c r="I2956" t="s">
        <v>57</v>
      </c>
    </row>
    <row r="2957" spans="1:9">
      <c r="A2957" s="4" t="s">
        <v>5968</v>
      </c>
      <c r="B2957" s="4" t="s">
        <v>5969</v>
      </c>
      <c r="C2957" s="4" t="s">
        <v>39</v>
      </c>
      <c r="D2957" s="2">
        <f>864143488/(10^6)</f>
        <v>864.143488</v>
      </c>
      <c r="E2957" s="5" t="s">
        <v>86</v>
      </c>
      <c r="F2957" s="5">
        <v>2.15367674827576</v>
      </c>
      <c r="G2957" s="5">
        <v>3.86747074127197</v>
      </c>
      <c r="H2957" s="5">
        <v>16.7799396514893</v>
      </c>
      <c r="I2957" t="s">
        <v>57</v>
      </c>
    </row>
    <row r="2958" spans="1:9">
      <c r="A2958" s="4" t="s">
        <v>5970</v>
      </c>
      <c r="B2958" s="4" t="s">
        <v>5971</v>
      </c>
      <c r="C2958" s="4" t="s">
        <v>47</v>
      </c>
      <c r="D2958" s="2">
        <f>860085760/(10^6)</f>
        <v>860.08576</v>
      </c>
      <c r="E2958" s="5">
        <v>5.62252473831177</v>
      </c>
      <c r="F2958" s="5">
        <v>0.49345138669014</v>
      </c>
      <c r="G2958" s="5">
        <v>0.052643220871687</v>
      </c>
      <c r="H2958" s="5">
        <v>7.93015909194946</v>
      </c>
      <c r="I2958" t="s">
        <v>57</v>
      </c>
    </row>
    <row r="2959" spans="1:9">
      <c r="A2959" s="4" t="s">
        <v>5972</v>
      </c>
      <c r="B2959" s="4" t="s">
        <v>5973</v>
      </c>
      <c r="C2959" s="4" t="s">
        <v>43</v>
      </c>
      <c r="D2959" s="2">
        <f>857990080/(10^6)</f>
        <v>857.99008</v>
      </c>
      <c r="E2959" s="5">
        <v>4.85740613937378</v>
      </c>
      <c r="F2959" s="5">
        <v>0.839338779449463</v>
      </c>
      <c r="G2959" s="5">
        <v>0.616864442825317</v>
      </c>
      <c r="H2959" s="5">
        <v>8.43668079376221</v>
      </c>
      <c r="I2959" t="s">
        <v>57</v>
      </c>
    </row>
    <row r="2960" spans="1:9">
      <c r="A2960" s="4" t="s">
        <v>5974</v>
      </c>
      <c r="B2960" s="4" t="s">
        <v>5975</v>
      </c>
      <c r="C2960" s="4" t="s">
        <v>35</v>
      </c>
      <c r="D2960" s="2">
        <f>857560576/(10^6)</f>
        <v>857.560576</v>
      </c>
      <c r="E2960" s="5">
        <v>16.6496658325195</v>
      </c>
      <c r="F2960" s="5">
        <v>3.75917434692383</v>
      </c>
      <c r="G2960" s="5">
        <v>0.973850905895233</v>
      </c>
      <c r="H2960" s="5">
        <v>9.57668685913086</v>
      </c>
      <c r="I2960" t="s">
        <v>57</v>
      </c>
    </row>
    <row r="2961" spans="1:9">
      <c r="A2961" s="4" t="s">
        <v>5976</v>
      </c>
      <c r="B2961" s="4" t="s">
        <v>5977</v>
      </c>
      <c r="C2961" s="4" t="s">
        <v>33</v>
      </c>
      <c r="D2961" s="2">
        <f>854796544/(10^6)</f>
        <v>854.796544</v>
      </c>
      <c r="E2961" s="5" t="s">
        <v>86</v>
      </c>
      <c r="F2961" s="5">
        <v>1.26430356502533</v>
      </c>
      <c r="G2961" s="5">
        <v>1.94813859462738</v>
      </c>
      <c r="H2961" s="5">
        <v>8.30147647857666</v>
      </c>
      <c r="I2961" t="s">
        <v>57</v>
      </c>
    </row>
    <row r="2962" spans="1:9">
      <c r="A2962" s="4" t="s">
        <v>5978</v>
      </c>
      <c r="B2962" s="4" t="s">
        <v>5979</v>
      </c>
      <c r="C2962" s="4" t="s">
        <v>51</v>
      </c>
      <c r="D2962" s="2">
        <f>854249984/(10^6)</f>
        <v>854.249984</v>
      </c>
      <c r="E2962" s="5" t="s">
        <v>86</v>
      </c>
      <c r="F2962" s="5">
        <v>0.790421545505524</v>
      </c>
      <c r="G2962" s="5">
        <v>1.25833761692047</v>
      </c>
      <c r="H2962" s="5" t="s">
        <v>86</v>
      </c>
      <c r="I2962" t="s">
        <v>57</v>
      </c>
    </row>
    <row r="2963" spans="1:9">
      <c r="A2963" s="4" t="s">
        <v>5980</v>
      </c>
      <c r="B2963" s="4" t="s">
        <v>5981</v>
      </c>
      <c r="C2963" s="4" t="s">
        <v>47</v>
      </c>
      <c r="D2963" s="2">
        <f>852018752/(10^6)</f>
        <v>852.018752</v>
      </c>
      <c r="E2963" s="5">
        <v>4.23886299133301</v>
      </c>
      <c r="F2963" s="5">
        <v>0.687895178794861</v>
      </c>
      <c r="G2963" s="5">
        <v>0.06903014332056</v>
      </c>
      <c r="H2963" s="5">
        <v>8.74783611297607</v>
      </c>
      <c r="I2963" t="s">
        <v>57</v>
      </c>
    </row>
    <row r="2964" spans="1:9">
      <c r="A2964" s="4" t="s">
        <v>5982</v>
      </c>
      <c r="B2964" s="4" t="s">
        <v>5983</v>
      </c>
      <c r="C2964" s="4" t="s">
        <v>51</v>
      </c>
      <c r="D2964" s="2">
        <f>850399680/(10^6)</f>
        <v>850.39968</v>
      </c>
      <c r="E2964" s="5" t="s">
        <v>86</v>
      </c>
      <c r="F2964" s="5">
        <v>0.734881103038788</v>
      </c>
      <c r="G2964" s="5">
        <v>1.33238029479981</v>
      </c>
      <c r="H2964" s="5">
        <v>14.040075302124</v>
      </c>
      <c r="I2964" t="s">
        <v>57</v>
      </c>
    </row>
    <row r="2965" spans="1:9">
      <c r="A2965" s="4" t="s">
        <v>5984</v>
      </c>
      <c r="B2965" s="4" t="s">
        <v>5985</v>
      </c>
      <c r="C2965" s="4" t="s">
        <v>51</v>
      </c>
      <c r="D2965" s="2">
        <f>849973440/(10^6)</f>
        <v>849.97344</v>
      </c>
      <c r="E2965" s="5" t="s">
        <v>86</v>
      </c>
      <c r="F2965" s="5">
        <v>0.805492460727692</v>
      </c>
      <c r="G2965" s="5">
        <v>0.344138354063034</v>
      </c>
      <c r="H2965" s="5" t="s">
        <v>86</v>
      </c>
      <c r="I2965" t="s">
        <v>57</v>
      </c>
    </row>
    <row r="2966" spans="1:9">
      <c r="A2966" s="4" t="s">
        <v>5986</v>
      </c>
      <c r="B2966" s="4" t="s">
        <v>5987</v>
      </c>
      <c r="C2966" s="4" t="s">
        <v>41</v>
      </c>
      <c r="D2966" s="2">
        <f>844220928/(10^6)</f>
        <v>844.220928</v>
      </c>
      <c r="E2966" s="5">
        <v>7.62103652954102</v>
      </c>
      <c r="F2966" s="5">
        <v>1.41782200336456</v>
      </c>
      <c r="G2966" s="5">
        <v>2.14459300041199</v>
      </c>
      <c r="H2966" s="5">
        <v>1.76057469844818</v>
      </c>
      <c r="I2966" t="s">
        <v>57</v>
      </c>
    </row>
    <row r="2967" spans="1:9">
      <c r="A2967" s="4" t="s">
        <v>5988</v>
      </c>
      <c r="B2967" s="4" t="s">
        <v>5989</v>
      </c>
      <c r="C2967" s="4" t="s">
        <v>27</v>
      </c>
      <c r="D2967" s="2">
        <f>840667200/(10^6)</f>
        <v>840.6672</v>
      </c>
      <c r="E2967" s="5">
        <v>6.56429481506348</v>
      </c>
      <c r="F2967" s="5">
        <v>2.56915307044983</v>
      </c>
      <c r="G2967" s="5">
        <v>0.795027196407318</v>
      </c>
      <c r="H2967" s="5">
        <v>3.76137852668762</v>
      </c>
      <c r="I2967" t="s">
        <v>57</v>
      </c>
    </row>
    <row r="2968" spans="1:9">
      <c r="A2968" s="4" t="s">
        <v>5990</v>
      </c>
      <c r="B2968" s="4" t="s">
        <v>5991</v>
      </c>
      <c r="C2968" s="4" t="s">
        <v>47</v>
      </c>
      <c r="D2968" s="2">
        <f>838394112/(10^6)</f>
        <v>838.394112</v>
      </c>
      <c r="E2968" s="5">
        <v>26.4568614959717</v>
      </c>
      <c r="F2968" s="5">
        <v>2.93676590919495</v>
      </c>
      <c r="G2968" s="5">
        <v>2.04339623451233</v>
      </c>
      <c r="H2968" s="5">
        <v>9.84085941314697</v>
      </c>
      <c r="I2968" t="s">
        <v>57</v>
      </c>
    </row>
    <row r="2969" spans="1:9">
      <c r="A2969" s="4" t="s">
        <v>5992</v>
      </c>
      <c r="B2969" s="4" t="s">
        <v>5993</v>
      </c>
      <c r="C2969" s="4" t="s">
        <v>41</v>
      </c>
      <c r="D2969" s="2">
        <f>834890560/(10^6)</f>
        <v>834.89056</v>
      </c>
      <c r="E2969" s="5" t="s">
        <v>86</v>
      </c>
      <c r="F2969" s="5">
        <v>4.1944899559021</v>
      </c>
      <c r="G2969" s="5" t="s">
        <v>86</v>
      </c>
      <c r="H2969" s="5" t="s">
        <v>86</v>
      </c>
      <c r="I2969" t="s">
        <v>57</v>
      </c>
    </row>
    <row r="2970" spans="1:9">
      <c r="A2970" s="4" t="s">
        <v>5994</v>
      </c>
      <c r="B2970" s="4" t="s">
        <v>5995</v>
      </c>
      <c r="C2970" s="4" t="s">
        <v>41</v>
      </c>
      <c r="D2970" s="2">
        <f>832038336/(10^6)</f>
        <v>832.038336</v>
      </c>
      <c r="E2970" s="5" t="s">
        <v>86</v>
      </c>
      <c r="F2970" s="5">
        <v>5.12459087371826</v>
      </c>
      <c r="G2970" s="5" t="s">
        <v>86</v>
      </c>
      <c r="H2970" s="5" t="s">
        <v>86</v>
      </c>
      <c r="I2970" t="s">
        <v>57</v>
      </c>
    </row>
    <row r="2971" spans="1:9">
      <c r="A2971" s="4" t="s">
        <v>5996</v>
      </c>
      <c r="B2971" s="4" t="s">
        <v>5997</v>
      </c>
      <c r="C2971" s="4" t="s">
        <v>47</v>
      </c>
      <c r="D2971" s="2">
        <f>830668544/(10^6)</f>
        <v>830.668544</v>
      </c>
      <c r="E2971" s="5">
        <v>2.75221800804138</v>
      </c>
      <c r="F2971" s="5">
        <v>0.38667106628418</v>
      </c>
      <c r="G2971" s="5">
        <v>0.080362617969513</v>
      </c>
      <c r="H2971" s="5">
        <v>2.90262842178345</v>
      </c>
      <c r="I2971" t="s">
        <v>57</v>
      </c>
    </row>
    <row r="2972" spans="1:9">
      <c r="A2972" s="4" t="s">
        <v>5998</v>
      </c>
      <c r="B2972" s="4" t="s">
        <v>5999</v>
      </c>
      <c r="C2972" s="4" t="s">
        <v>47</v>
      </c>
      <c r="D2972" s="2">
        <f>828142592/(10^6)</f>
        <v>828.142592</v>
      </c>
      <c r="E2972" s="5">
        <v>20.7741928100586</v>
      </c>
      <c r="F2972" s="5">
        <v>2.0767514705658</v>
      </c>
      <c r="G2972" s="5">
        <v>0.638666152954102</v>
      </c>
      <c r="H2972" s="5">
        <v>7.91605472564697</v>
      </c>
      <c r="I2972" t="s">
        <v>57</v>
      </c>
    </row>
    <row r="2973" spans="1:9">
      <c r="A2973" s="4" t="s">
        <v>6000</v>
      </c>
      <c r="B2973" s="4" t="s">
        <v>6001</v>
      </c>
      <c r="C2973" s="4" t="s">
        <v>47</v>
      </c>
      <c r="D2973" s="2">
        <f>826249408/(10^6)</f>
        <v>826.249408</v>
      </c>
      <c r="E2973" s="5">
        <v>6.63111734390259</v>
      </c>
      <c r="F2973" s="5">
        <v>1.78418898582458</v>
      </c>
      <c r="G2973" s="5">
        <v>0.304363936185837</v>
      </c>
      <c r="H2973" s="5">
        <v>2.98562955856323</v>
      </c>
      <c r="I2973" t="s">
        <v>57</v>
      </c>
    </row>
    <row r="2974" spans="1:9">
      <c r="A2974" s="4" t="s">
        <v>6002</v>
      </c>
      <c r="B2974" s="4" t="s">
        <v>6003</v>
      </c>
      <c r="C2974" s="4" t="s">
        <v>35</v>
      </c>
      <c r="D2974" s="2">
        <f>826116992/(10^6)</f>
        <v>826.116992</v>
      </c>
      <c r="E2974" s="5" t="s">
        <v>86</v>
      </c>
      <c r="F2974" s="5">
        <v>0.813864052295685</v>
      </c>
      <c r="G2974" s="5">
        <v>0.037061676383018</v>
      </c>
      <c r="H2974" s="5">
        <v>8.84940052032471</v>
      </c>
      <c r="I2974" t="s">
        <v>57</v>
      </c>
    </row>
    <row r="2975" spans="1:9">
      <c r="A2975" s="4" t="s">
        <v>6004</v>
      </c>
      <c r="B2975" s="4" t="s">
        <v>6005</v>
      </c>
      <c r="C2975" s="4" t="s">
        <v>41</v>
      </c>
      <c r="D2975" s="2">
        <f>824217152/(10^6)</f>
        <v>824.217152</v>
      </c>
      <c r="E2975" s="5">
        <v>20.4517383575439</v>
      </c>
      <c r="F2975" s="5">
        <v>3.43056440353394</v>
      </c>
      <c r="G2975" s="5">
        <v>1.70760691165924</v>
      </c>
      <c r="H2975" s="5">
        <v>10.0022850036621</v>
      </c>
      <c r="I2975" t="s">
        <v>57</v>
      </c>
    </row>
    <row r="2976" spans="1:9">
      <c r="A2976" s="4" t="s">
        <v>6006</v>
      </c>
      <c r="B2976" s="4" t="s">
        <v>6007</v>
      </c>
      <c r="C2976" s="4" t="s">
        <v>37</v>
      </c>
      <c r="D2976" s="2">
        <f>824022080/(10^6)</f>
        <v>824.02208</v>
      </c>
      <c r="E2976" s="5" t="s">
        <v>86</v>
      </c>
      <c r="F2976" s="5">
        <v>1.22755420207977</v>
      </c>
      <c r="G2976" s="5">
        <v>1.04503095149994</v>
      </c>
      <c r="H2976" s="5" t="s">
        <v>86</v>
      </c>
      <c r="I2976" t="s">
        <v>57</v>
      </c>
    </row>
    <row r="2977" spans="1:9">
      <c r="A2977" s="4" t="s">
        <v>6008</v>
      </c>
      <c r="B2977" s="4" t="s">
        <v>6009</v>
      </c>
      <c r="C2977" s="4" t="s">
        <v>51</v>
      </c>
      <c r="D2977" s="2">
        <f>822952448/(10^6)</f>
        <v>822.952448</v>
      </c>
      <c r="E2977" s="5">
        <v>21.2408847808838</v>
      </c>
      <c r="F2977" s="5">
        <v>2.08078050613403</v>
      </c>
      <c r="G2977" s="5">
        <v>1.38668882846832</v>
      </c>
      <c r="H2977" s="5">
        <v>10.7125215530396</v>
      </c>
      <c r="I2977" t="s">
        <v>57</v>
      </c>
    </row>
    <row r="2978" spans="1:9">
      <c r="A2978" s="4" t="s">
        <v>6010</v>
      </c>
      <c r="B2978" s="4" t="s">
        <v>6011</v>
      </c>
      <c r="C2978" s="4" t="s">
        <v>41</v>
      </c>
      <c r="D2978" s="2">
        <f>822052480/(10^6)</f>
        <v>822.05248</v>
      </c>
      <c r="E2978" s="5">
        <v>19.4665260314941</v>
      </c>
      <c r="F2978" s="5">
        <v>3.76970362663269</v>
      </c>
      <c r="G2978" s="5">
        <v>1.00734257698059</v>
      </c>
      <c r="H2978" s="5">
        <v>11.6568021774292</v>
      </c>
      <c r="I2978" t="s">
        <v>57</v>
      </c>
    </row>
    <row r="2979" spans="1:9">
      <c r="A2979" s="4" t="s">
        <v>6012</v>
      </c>
      <c r="B2979" s="4" t="s">
        <v>6013</v>
      </c>
      <c r="C2979" s="4" t="s">
        <v>31</v>
      </c>
      <c r="D2979" s="2">
        <f>811337728/(10^6)</f>
        <v>811.337728</v>
      </c>
      <c r="E2979" s="5">
        <v>13.8586330413818</v>
      </c>
      <c r="F2979" s="5">
        <v>1.9037116765976</v>
      </c>
      <c r="G2979" s="5">
        <v>1.13256525993347</v>
      </c>
      <c r="H2979" s="5">
        <v>8.289231300354</v>
      </c>
      <c r="I2979" t="s">
        <v>57</v>
      </c>
    </row>
    <row r="2980" spans="1:9">
      <c r="A2980" s="4" t="s">
        <v>6014</v>
      </c>
      <c r="B2980" s="4" t="s">
        <v>6015</v>
      </c>
      <c r="C2980" s="4" t="s">
        <v>43</v>
      </c>
      <c r="D2980" s="2">
        <f>810333632/(10^6)</f>
        <v>810.333632</v>
      </c>
      <c r="E2980" s="5">
        <v>8.62061786651611</v>
      </c>
      <c r="F2980" s="5">
        <v>0.950125753879547</v>
      </c>
      <c r="G2980" s="5">
        <v>2.05656719207764</v>
      </c>
      <c r="H2980" s="5" t="s">
        <v>86</v>
      </c>
      <c r="I2980" t="s">
        <v>57</v>
      </c>
    </row>
    <row r="2981" spans="1:9">
      <c r="A2981" s="4" t="s">
        <v>6016</v>
      </c>
      <c r="B2981" s="4" t="s">
        <v>6017</v>
      </c>
      <c r="C2981" s="4" t="s">
        <v>51</v>
      </c>
      <c r="D2981" s="2">
        <f>809518208/(10^6)</f>
        <v>809.518208</v>
      </c>
      <c r="E2981" s="5">
        <v>18.7659473419189</v>
      </c>
      <c r="F2981" s="5">
        <v>2.01082134246826</v>
      </c>
      <c r="G2981" s="5">
        <v>0.621192157268524</v>
      </c>
      <c r="H2981" s="5">
        <v>9.02282810211182</v>
      </c>
      <c r="I2981" t="s">
        <v>57</v>
      </c>
    </row>
    <row r="2982" spans="1:9">
      <c r="A2982" s="4" t="s">
        <v>6018</v>
      </c>
      <c r="B2982" s="4" t="s">
        <v>6019</v>
      </c>
      <c r="C2982" s="4" t="s">
        <v>43</v>
      </c>
      <c r="D2982" s="2">
        <f>800762112/(10^6)</f>
        <v>800.762112</v>
      </c>
      <c r="E2982" s="5">
        <v>6.60442399978638</v>
      </c>
      <c r="F2982" s="5">
        <v>0.623905003070831</v>
      </c>
      <c r="G2982" s="5">
        <v>2.54438138008118</v>
      </c>
      <c r="H2982" s="5" t="s">
        <v>86</v>
      </c>
      <c r="I2982" t="s">
        <v>57</v>
      </c>
    </row>
    <row r="2983" spans="1:9">
      <c r="A2983" s="4" t="s">
        <v>6020</v>
      </c>
      <c r="B2983" s="4" t="s">
        <v>6021</v>
      </c>
      <c r="C2983" s="4" t="s">
        <v>31</v>
      </c>
      <c r="D2983" s="2">
        <f>795710144/(10^6)</f>
        <v>795.710144</v>
      </c>
      <c r="E2983" s="5">
        <v>8.83356666564941</v>
      </c>
      <c r="F2983" s="5">
        <v>0.888613402843475</v>
      </c>
      <c r="G2983" s="5">
        <v>0.562379658222198</v>
      </c>
      <c r="H2983" s="5">
        <v>8.08447551727295</v>
      </c>
      <c r="I2983" t="s">
        <v>57</v>
      </c>
    </row>
    <row r="2984" spans="1:9">
      <c r="A2984" s="4" t="s">
        <v>6022</v>
      </c>
      <c r="B2984" s="4" t="s">
        <v>6023</v>
      </c>
      <c r="C2984" s="4" t="s">
        <v>49</v>
      </c>
      <c r="D2984" s="2">
        <f>795368768/(10^6)</f>
        <v>795.368768</v>
      </c>
      <c r="E2984" s="5">
        <v>73.0161895751953</v>
      </c>
      <c r="F2984" s="5">
        <v>1.27870512008667</v>
      </c>
      <c r="G2984" s="5" t="s">
        <v>86</v>
      </c>
      <c r="H2984" s="5" t="s">
        <v>86</v>
      </c>
      <c r="I2984" t="s">
        <v>57</v>
      </c>
    </row>
    <row r="2985" spans="1:9">
      <c r="A2985" s="4" t="s">
        <v>6024</v>
      </c>
      <c r="B2985" s="4" t="s">
        <v>6025</v>
      </c>
      <c r="C2985" s="4" t="s">
        <v>31</v>
      </c>
      <c r="D2985" s="2">
        <f>794372864/(10^6)</f>
        <v>794.372864</v>
      </c>
      <c r="E2985" s="5">
        <v>20.5227203369141</v>
      </c>
      <c r="F2985" s="5">
        <v>0.914497315883636</v>
      </c>
      <c r="G2985" s="5">
        <v>0.237186178565025</v>
      </c>
      <c r="H2985" s="5">
        <v>4.80910396575928</v>
      </c>
      <c r="I2985" t="s">
        <v>57</v>
      </c>
    </row>
    <row r="2986" spans="1:9">
      <c r="A2986" s="4" t="s">
        <v>6026</v>
      </c>
      <c r="B2986" s="4" t="s">
        <v>6027</v>
      </c>
      <c r="C2986" s="4" t="s">
        <v>37</v>
      </c>
      <c r="D2986" s="2">
        <f>791486976/(10^6)</f>
        <v>791.486976</v>
      </c>
      <c r="E2986" s="5">
        <v>9.37338161468506</v>
      </c>
      <c r="F2986" s="5">
        <v>2.19576239585877</v>
      </c>
      <c r="G2986" s="5">
        <v>0.568693697452545</v>
      </c>
      <c r="H2986" s="5">
        <v>9.1687479019165</v>
      </c>
      <c r="I2986" t="s">
        <v>57</v>
      </c>
    </row>
    <row r="2987" spans="1:9">
      <c r="A2987" s="4" t="s">
        <v>6028</v>
      </c>
      <c r="B2987" s="4" t="s">
        <v>6029</v>
      </c>
      <c r="C2987" s="4" t="s">
        <v>37</v>
      </c>
      <c r="D2987" s="2">
        <f>791328896/(10^6)</f>
        <v>791.328896</v>
      </c>
      <c r="E2987" s="5">
        <v>7.13682317733765</v>
      </c>
      <c r="F2987" s="5">
        <v>1.31144106388092</v>
      </c>
      <c r="G2987" s="5">
        <v>0.760304749011993</v>
      </c>
      <c r="H2987" s="5">
        <v>6.33213186264038</v>
      </c>
      <c r="I2987" t="s">
        <v>57</v>
      </c>
    </row>
    <row r="2988" spans="1:9">
      <c r="A2988" s="4" t="s">
        <v>6030</v>
      </c>
      <c r="B2988" s="4" t="s">
        <v>6031</v>
      </c>
      <c r="C2988" s="4" t="s">
        <v>31</v>
      </c>
      <c r="D2988" s="2">
        <f>788954240/(10^6)</f>
        <v>788.95424</v>
      </c>
      <c r="E2988" s="5">
        <v>22.7600212097168</v>
      </c>
      <c r="F2988" s="5">
        <v>2.50678706169128</v>
      </c>
      <c r="G2988" s="5">
        <v>2.0743396282196</v>
      </c>
      <c r="H2988" s="5">
        <v>13.7692537307739</v>
      </c>
      <c r="I2988" t="s">
        <v>57</v>
      </c>
    </row>
    <row r="2989" spans="1:9">
      <c r="A2989" s="4" t="s">
        <v>6032</v>
      </c>
      <c r="B2989" s="4" t="s">
        <v>6033</v>
      </c>
      <c r="C2989" s="4" t="s">
        <v>31</v>
      </c>
      <c r="D2989" s="2">
        <f>785331456/(10^6)</f>
        <v>785.331456</v>
      </c>
      <c r="E2989" s="5">
        <v>10.6369981765747</v>
      </c>
      <c r="F2989" s="5">
        <v>1.13934218883514</v>
      </c>
      <c r="G2989" s="5">
        <v>0.472880840301514</v>
      </c>
      <c r="H2989" s="5">
        <v>5.95502948760986</v>
      </c>
      <c r="I2989" t="s">
        <v>57</v>
      </c>
    </row>
    <row r="2990" spans="1:9">
      <c r="A2990" s="4" t="s">
        <v>6034</v>
      </c>
      <c r="B2990" s="4" t="s">
        <v>6035</v>
      </c>
      <c r="C2990" s="4" t="s">
        <v>47</v>
      </c>
      <c r="D2990" s="2">
        <f>784135744/(10^6)</f>
        <v>784.135744</v>
      </c>
      <c r="E2990" s="5" t="s">
        <v>86</v>
      </c>
      <c r="F2990" s="5" t="s">
        <v>86</v>
      </c>
      <c r="G2990" s="5" t="s">
        <v>86</v>
      </c>
      <c r="H2990" s="5">
        <v>9.94030380249023</v>
      </c>
      <c r="I2990" t="s">
        <v>57</v>
      </c>
    </row>
    <row r="2991" spans="1:9">
      <c r="A2991" s="4" t="s">
        <v>6036</v>
      </c>
      <c r="B2991" s="4" t="s">
        <v>6037</v>
      </c>
      <c r="C2991" s="4" t="s">
        <v>47</v>
      </c>
      <c r="D2991" s="2">
        <f>782881792/(10^6)</f>
        <v>782.881792</v>
      </c>
      <c r="E2991" s="5" t="s">
        <v>86</v>
      </c>
      <c r="F2991" s="5" t="s">
        <v>86</v>
      </c>
      <c r="G2991" s="5">
        <v>0.227514743804932</v>
      </c>
      <c r="H2991" s="5">
        <v>7.83101606369019</v>
      </c>
      <c r="I2991" t="s">
        <v>57</v>
      </c>
    </row>
    <row r="2992" spans="1:9">
      <c r="A2992" s="4" t="s">
        <v>6038</v>
      </c>
      <c r="B2992" s="4" t="s">
        <v>6039</v>
      </c>
      <c r="C2992" s="4" t="s">
        <v>51</v>
      </c>
      <c r="D2992" s="2">
        <f>781986624/(10^6)</f>
        <v>781.986624</v>
      </c>
      <c r="E2992" s="5">
        <v>10.7089166641235</v>
      </c>
      <c r="F2992" s="5">
        <v>1.65506970882416</v>
      </c>
      <c r="G2992" s="5">
        <v>0.498964577913284</v>
      </c>
      <c r="H2992" s="5">
        <v>6.8788890838623</v>
      </c>
      <c r="I2992" t="s">
        <v>57</v>
      </c>
    </row>
    <row r="2993" spans="1:9">
      <c r="A2993" s="4" t="s">
        <v>6040</v>
      </c>
      <c r="B2993" s="4" t="s">
        <v>6041</v>
      </c>
      <c r="C2993" s="4" t="s">
        <v>31</v>
      </c>
      <c r="D2993" s="2">
        <f>780350912/(10^6)</f>
        <v>780.350912</v>
      </c>
      <c r="E2993" s="5">
        <v>19.2424812316895</v>
      </c>
      <c r="F2993" s="5">
        <v>2.27143335342407</v>
      </c>
      <c r="G2993" s="5">
        <v>0.989375948905945</v>
      </c>
      <c r="H2993" s="5">
        <v>8.49254703521729</v>
      </c>
      <c r="I2993" t="s">
        <v>57</v>
      </c>
    </row>
    <row r="2994" spans="1:9">
      <c r="A2994" s="4" t="s">
        <v>6042</v>
      </c>
      <c r="B2994" s="4" t="s">
        <v>6043</v>
      </c>
      <c r="C2994" s="4" t="s">
        <v>43</v>
      </c>
      <c r="D2994" s="2">
        <f>780330880/(10^6)</f>
        <v>780.33088</v>
      </c>
      <c r="E2994" s="5">
        <v>9.11681079864502</v>
      </c>
      <c r="F2994" s="5">
        <v>0.707397758960724</v>
      </c>
      <c r="G2994" s="5">
        <v>2.58281135559082</v>
      </c>
      <c r="H2994" s="5" t="s">
        <v>86</v>
      </c>
      <c r="I2994" t="s">
        <v>57</v>
      </c>
    </row>
    <row r="2995" spans="1:9">
      <c r="A2995" s="4" t="s">
        <v>6044</v>
      </c>
      <c r="B2995" s="4" t="s">
        <v>6045</v>
      </c>
      <c r="C2995" s="4" t="s">
        <v>43</v>
      </c>
      <c r="D2995" s="2">
        <f>778531264/(10^6)</f>
        <v>778.531264</v>
      </c>
      <c r="E2995" s="5">
        <v>7.33247995376587</v>
      </c>
      <c r="F2995" s="5">
        <v>0.956125557422638</v>
      </c>
      <c r="G2995" s="5">
        <v>1.49931526184082</v>
      </c>
      <c r="H2995" s="5" t="s">
        <v>86</v>
      </c>
      <c r="I2995" t="s">
        <v>57</v>
      </c>
    </row>
    <row r="2996" spans="1:9">
      <c r="A2996" s="4" t="s">
        <v>6046</v>
      </c>
      <c r="B2996" s="4" t="s">
        <v>6047</v>
      </c>
      <c r="C2996" s="4" t="s">
        <v>43</v>
      </c>
      <c r="D2996" s="2">
        <f>778339840/(10^6)</f>
        <v>778.33984</v>
      </c>
      <c r="E2996" s="5">
        <v>92.6652221679688</v>
      </c>
      <c r="F2996" s="5">
        <v>0.8536736369133</v>
      </c>
      <c r="G2996" s="5">
        <v>0.653213858604431</v>
      </c>
      <c r="H2996" s="5" t="s">
        <v>86</v>
      </c>
      <c r="I2996" t="s">
        <v>57</v>
      </c>
    </row>
    <row r="2997" spans="1:9">
      <c r="A2997" s="4" t="s">
        <v>6048</v>
      </c>
      <c r="B2997" s="4" t="s">
        <v>6049</v>
      </c>
      <c r="C2997" s="4" t="s">
        <v>31</v>
      </c>
      <c r="D2997" s="2">
        <f>778272192/(10^6)</f>
        <v>778.272192</v>
      </c>
      <c r="E2997" s="5">
        <v>45.3520317077637</v>
      </c>
      <c r="F2997" s="5">
        <v>20.8194370269775</v>
      </c>
      <c r="G2997" s="5">
        <v>6.98792457580566</v>
      </c>
      <c r="H2997" s="5">
        <v>33.2688941955566</v>
      </c>
      <c r="I2997" t="s">
        <v>57</v>
      </c>
    </row>
    <row r="2998" spans="1:9">
      <c r="A2998" s="4" t="s">
        <v>6050</v>
      </c>
      <c r="B2998" s="4" t="s">
        <v>6051</v>
      </c>
      <c r="C2998" s="4" t="s">
        <v>43</v>
      </c>
      <c r="D2998" s="2">
        <f>777508608/(10^6)</f>
        <v>777.508608</v>
      </c>
      <c r="E2998" s="5">
        <v>6.77821779251099</v>
      </c>
      <c r="F2998" s="5">
        <v>0.687077045440674</v>
      </c>
      <c r="G2998" s="5">
        <v>1.90210962295532</v>
      </c>
      <c r="H2998" s="5" t="s">
        <v>86</v>
      </c>
      <c r="I2998" t="s">
        <v>57</v>
      </c>
    </row>
    <row r="2999" spans="1:9">
      <c r="A2999" s="4" t="s">
        <v>6052</v>
      </c>
      <c r="B2999" s="4" t="s">
        <v>6053</v>
      </c>
      <c r="C2999" s="4" t="s">
        <v>41</v>
      </c>
      <c r="D2999" s="2">
        <f>775346112/(10^6)</f>
        <v>775.346112</v>
      </c>
      <c r="E2999" s="5" t="s">
        <v>86</v>
      </c>
      <c r="F2999" s="5">
        <v>4.21440982818604</v>
      </c>
      <c r="G2999" s="5">
        <v>48.5209808349609</v>
      </c>
      <c r="H2999" s="5" t="s">
        <v>86</v>
      </c>
      <c r="I2999" t="s">
        <v>57</v>
      </c>
    </row>
    <row r="3000" spans="1:9">
      <c r="A3000" s="4" t="s">
        <v>6054</v>
      </c>
      <c r="B3000" s="4" t="s">
        <v>6055</v>
      </c>
      <c r="C3000" s="4" t="s">
        <v>37</v>
      </c>
      <c r="D3000" s="2">
        <f>774738368/(10^6)</f>
        <v>774.738368</v>
      </c>
      <c r="E3000" s="5">
        <v>13.5017747879028</v>
      </c>
      <c r="F3000" s="5">
        <v>1.42326128482819</v>
      </c>
      <c r="G3000" s="5">
        <v>1.99227607250214</v>
      </c>
      <c r="H3000" s="5">
        <v>11.4115133285522</v>
      </c>
      <c r="I3000" t="s">
        <v>57</v>
      </c>
    </row>
    <row r="3001" spans="1:9">
      <c r="A3001" s="4" t="s">
        <v>6056</v>
      </c>
      <c r="B3001" s="4" t="s">
        <v>6057</v>
      </c>
      <c r="C3001" s="4" t="s">
        <v>39</v>
      </c>
      <c r="D3001" s="2">
        <f>772677568/(10^6)</f>
        <v>772.677568</v>
      </c>
      <c r="E3001" s="5">
        <v>17.4242420196533</v>
      </c>
      <c r="F3001" s="5">
        <v>2.05160999298096</v>
      </c>
      <c r="G3001" s="5">
        <v>1.7595386505127</v>
      </c>
      <c r="H3001" s="5">
        <v>10.2002973556519</v>
      </c>
      <c r="I3001" t="s">
        <v>57</v>
      </c>
    </row>
    <row r="3002" spans="1:9">
      <c r="A3002" s="4" t="s">
        <v>6058</v>
      </c>
      <c r="B3002" s="4" t="s">
        <v>6059</v>
      </c>
      <c r="C3002" s="4" t="s">
        <v>41</v>
      </c>
      <c r="D3002" s="2">
        <f>772648832/(10^6)</f>
        <v>772.648832</v>
      </c>
      <c r="E3002" s="5" t="s">
        <v>86</v>
      </c>
      <c r="F3002" s="5">
        <v>2.50072765350342</v>
      </c>
      <c r="G3002" s="5" t="s">
        <v>86</v>
      </c>
      <c r="H3002" s="5" t="s">
        <v>86</v>
      </c>
      <c r="I3002" t="s">
        <v>57</v>
      </c>
    </row>
    <row r="3003" spans="1:9">
      <c r="A3003" s="4" t="s">
        <v>6060</v>
      </c>
      <c r="B3003" s="4" t="s">
        <v>6061</v>
      </c>
      <c r="C3003" s="4" t="s">
        <v>41</v>
      </c>
      <c r="D3003" s="2">
        <f>769614976/(10^6)</f>
        <v>769.614976</v>
      </c>
      <c r="E3003" s="5">
        <v>26.9885673522949</v>
      </c>
      <c r="F3003" s="5">
        <v>1.71253049373627</v>
      </c>
      <c r="G3003" s="5">
        <v>0.963036715984344</v>
      </c>
      <c r="H3003" s="5">
        <v>15.4158697128296</v>
      </c>
      <c r="I3003" t="s">
        <v>57</v>
      </c>
    </row>
    <row r="3004" spans="1:9">
      <c r="A3004" s="4" t="s">
        <v>6062</v>
      </c>
      <c r="B3004" s="4" t="s">
        <v>6063</v>
      </c>
      <c r="C3004" s="4" t="s">
        <v>33</v>
      </c>
      <c r="D3004" s="2">
        <f>769354176/(10^6)</f>
        <v>769.354176</v>
      </c>
      <c r="E3004" s="5">
        <v>251.902526855469</v>
      </c>
      <c r="F3004" s="5">
        <v>0.856545686721802</v>
      </c>
      <c r="G3004" s="5">
        <v>0.539357960224152</v>
      </c>
      <c r="H3004" s="5">
        <v>16.4657497406006</v>
      </c>
      <c r="I3004" t="s">
        <v>57</v>
      </c>
    </row>
    <row r="3005" spans="1:9">
      <c r="A3005" s="4" t="s">
        <v>6064</v>
      </c>
      <c r="B3005" s="4" t="s">
        <v>6065</v>
      </c>
      <c r="C3005" s="4" t="s">
        <v>35</v>
      </c>
      <c r="D3005" s="2">
        <f>765793856/(10^6)</f>
        <v>765.793856</v>
      </c>
      <c r="E3005" s="5">
        <v>10.1286668777466</v>
      </c>
      <c r="F3005" s="5">
        <v>7.3042459487915</v>
      </c>
      <c r="G3005" s="5">
        <v>1.07361400127411</v>
      </c>
      <c r="H3005" s="5">
        <v>7.17850017547607</v>
      </c>
      <c r="I3005" t="s">
        <v>57</v>
      </c>
    </row>
    <row r="3006" spans="1:9">
      <c r="A3006" s="4" t="s">
        <v>6066</v>
      </c>
      <c r="B3006" s="4" t="s">
        <v>6067</v>
      </c>
      <c r="C3006" s="4" t="s">
        <v>51</v>
      </c>
      <c r="D3006" s="2">
        <f>765305664/(10^6)</f>
        <v>765.305664</v>
      </c>
      <c r="E3006" s="5">
        <v>16.970890045166</v>
      </c>
      <c r="F3006" s="5">
        <v>1.88959383964539</v>
      </c>
      <c r="G3006" s="5">
        <v>1.64415681362152</v>
      </c>
      <c r="H3006" s="5">
        <v>9.57364559173584</v>
      </c>
      <c r="I3006" t="s">
        <v>57</v>
      </c>
    </row>
    <row r="3007" spans="1:9">
      <c r="A3007" s="4" t="s">
        <v>6068</v>
      </c>
      <c r="B3007" s="4" t="s">
        <v>6069</v>
      </c>
      <c r="C3007" s="4" t="s">
        <v>51</v>
      </c>
      <c r="D3007" s="2">
        <f>764020480/(10^6)</f>
        <v>764.02048</v>
      </c>
      <c r="E3007" s="5" t="s">
        <v>86</v>
      </c>
      <c r="F3007" s="5">
        <v>12.8756523132324</v>
      </c>
      <c r="G3007" s="5">
        <v>5.17806959152222</v>
      </c>
      <c r="H3007" s="5" t="s">
        <v>86</v>
      </c>
      <c r="I3007" t="s">
        <v>57</v>
      </c>
    </row>
    <row r="3008" spans="1:9">
      <c r="A3008" s="4" t="s">
        <v>6070</v>
      </c>
      <c r="B3008" s="4" t="s">
        <v>6071</v>
      </c>
      <c r="C3008" s="4" t="s">
        <v>27</v>
      </c>
      <c r="D3008" s="2">
        <f>762206976/(10^6)</f>
        <v>762.206976</v>
      </c>
      <c r="E3008" s="5" t="s">
        <v>86</v>
      </c>
      <c r="F3008" s="5">
        <v>0.250677645206451</v>
      </c>
      <c r="G3008" s="5">
        <v>0.031062174588442</v>
      </c>
      <c r="H3008" s="5">
        <v>2.39426922798157</v>
      </c>
      <c r="I3008" t="s">
        <v>57</v>
      </c>
    </row>
    <row r="3009" spans="1:9">
      <c r="A3009" s="4" t="s">
        <v>6072</v>
      </c>
      <c r="B3009" s="4" t="s">
        <v>6073</v>
      </c>
      <c r="C3009" s="4" t="s">
        <v>41</v>
      </c>
      <c r="D3009" s="2">
        <f>761945408/(10^6)</f>
        <v>761.945408</v>
      </c>
      <c r="E3009" s="5" t="s">
        <v>86</v>
      </c>
      <c r="F3009" s="5">
        <v>5.54957437515259</v>
      </c>
      <c r="G3009" s="5" t="s">
        <v>86</v>
      </c>
      <c r="H3009" s="5" t="s">
        <v>86</v>
      </c>
      <c r="I3009" t="s">
        <v>57</v>
      </c>
    </row>
    <row r="3010" spans="1:9">
      <c r="A3010" s="4" t="s">
        <v>6074</v>
      </c>
      <c r="B3010" s="4" t="s">
        <v>6075</v>
      </c>
      <c r="C3010" s="4" t="s">
        <v>43</v>
      </c>
      <c r="D3010" s="2">
        <f>755450496/(10^6)</f>
        <v>755.450496</v>
      </c>
      <c r="E3010" s="5">
        <v>6.52990055084229</v>
      </c>
      <c r="F3010" s="5">
        <v>0.957512259483337</v>
      </c>
      <c r="G3010" s="5">
        <v>0.769495606422424</v>
      </c>
      <c r="H3010" s="5">
        <v>4.31726408004761</v>
      </c>
      <c r="I3010" t="s">
        <v>57</v>
      </c>
    </row>
    <row r="3011" spans="1:9">
      <c r="A3011" s="4" t="s">
        <v>6076</v>
      </c>
      <c r="B3011" s="4" t="s">
        <v>6077</v>
      </c>
      <c r="C3011" s="4" t="s">
        <v>31</v>
      </c>
      <c r="D3011" s="2">
        <f>755436160/(10^6)</f>
        <v>755.43616</v>
      </c>
      <c r="E3011" s="5">
        <v>21.153284072876</v>
      </c>
      <c r="F3011" s="5">
        <v>2.45368695259094</v>
      </c>
      <c r="G3011" s="5">
        <v>1.9004545211792</v>
      </c>
      <c r="H3011" s="5">
        <v>11.6652784347534</v>
      </c>
      <c r="I3011" t="s">
        <v>57</v>
      </c>
    </row>
    <row r="3012" spans="1:9">
      <c r="A3012" s="4" t="s">
        <v>6078</v>
      </c>
      <c r="B3012" s="4" t="s">
        <v>6079</v>
      </c>
      <c r="C3012" s="4" t="s">
        <v>51</v>
      </c>
      <c r="D3012" s="2">
        <f>751127552/(10^6)</f>
        <v>751.127552</v>
      </c>
      <c r="E3012" s="5" t="s">
        <v>86</v>
      </c>
      <c r="F3012" s="5">
        <v>1.80989015102387</v>
      </c>
      <c r="G3012" s="5">
        <v>2.33544969558716</v>
      </c>
      <c r="H3012" s="5">
        <v>18.5762405395508</v>
      </c>
      <c r="I3012" t="s">
        <v>57</v>
      </c>
    </row>
    <row r="3013" spans="1:9">
      <c r="A3013" s="4" t="s">
        <v>6080</v>
      </c>
      <c r="B3013" s="4" t="s">
        <v>6081</v>
      </c>
      <c r="C3013" s="4" t="s">
        <v>47</v>
      </c>
      <c r="D3013" s="2">
        <f>750878720/(10^6)</f>
        <v>750.87872</v>
      </c>
      <c r="E3013" s="5">
        <v>7.13084125518799</v>
      </c>
      <c r="F3013" s="5">
        <v>1.92954540252686</v>
      </c>
      <c r="G3013" s="5">
        <v>0.823716938495636</v>
      </c>
      <c r="H3013" s="5">
        <v>4.194655418396</v>
      </c>
      <c r="I3013" t="s">
        <v>57</v>
      </c>
    </row>
    <row r="3014" spans="1:9">
      <c r="A3014" s="4" t="s">
        <v>6082</v>
      </c>
      <c r="B3014" s="4" t="s">
        <v>6083</v>
      </c>
      <c r="C3014" s="4" t="s">
        <v>41</v>
      </c>
      <c r="D3014" s="2">
        <f>750312576/(10^6)</f>
        <v>750.312576</v>
      </c>
      <c r="E3014" s="5">
        <v>14.5964965820312</v>
      </c>
      <c r="F3014" s="5">
        <v>1.80540692806244</v>
      </c>
      <c r="G3014" s="5">
        <v>1.49570298194885</v>
      </c>
      <c r="H3014" s="5">
        <v>35.0226974487305</v>
      </c>
      <c r="I3014" t="s">
        <v>57</v>
      </c>
    </row>
    <row r="3015" spans="1:9">
      <c r="A3015" s="4" t="s">
        <v>6084</v>
      </c>
      <c r="B3015" s="4" t="s">
        <v>6085</v>
      </c>
      <c r="C3015" s="4" t="s">
        <v>31</v>
      </c>
      <c r="D3015" s="2">
        <f>749518656/(10^6)</f>
        <v>749.518656</v>
      </c>
      <c r="E3015" s="5">
        <v>14.2842750549316</v>
      </c>
      <c r="F3015" s="5">
        <v>2.39336442947388</v>
      </c>
      <c r="G3015" s="5">
        <v>1.3103791475296</v>
      </c>
      <c r="H3015" s="5">
        <v>8.92415523529053</v>
      </c>
      <c r="I3015" t="s">
        <v>57</v>
      </c>
    </row>
    <row r="3016" spans="1:9">
      <c r="A3016" s="4" t="s">
        <v>6086</v>
      </c>
      <c r="B3016" s="4" t="s">
        <v>6087</v>
      </c>
      <c r="C3016" s="4" t="s">
        <v>41</v>
      </c>
      <c r="D3016" s="2">
        <f>748492288/(10^6)</f>
        <v>748.492288</v>
      </c>
      <c r="E3016" s="5">
        <v>64.2703247070312</v>
      </c>
      <c r="F3016" s="5">
        <v>6.62550115585327</v>
      </c>
      <c r="G3016" s="5">
        <v>3.89200806617737</v>
      </c>
      <c r="H3016" s="5">
        <v>44.1063003540039</v>
      </c>
      <c r="I3016" t="s">
        <v>57</v>
      </c>
    </row>
    <row r="3017" spans="1:9">
      <c r="A3017" s="4" t="s">
        <v>6088</v>
      </c>
      <c r="B3017" s="4" t="s">
        <v>6089</v>
      </c>
      <c r="C3017" s="4" t="s">
        <v>37</v>
      </c>
      <c r="D3017" s="2">
        <f>747695872/(10^6)</f>
        <v>747.695872</v>
      </c>
      <c r="E3017" s="5">
        <v>21.6861438751221</v>
      </c>
      <c r="F3017" s="5">
        <v>2.73407554626465</v>
      </c>
      <c r="G3017" s="5">
        <v>2.69164657592773</v>
      </c>
      <c r="H3017" s="5">
        <v>11.2808017730713</v>
      </c>
      <c r="I3017" t="s">
        <v>57</v>
      </c>
    </row>
    <row r="3018" spans="1:9">
      <c r="A3018" s="4" t="s">
        <v>6090</v>
      </c>
      <c r="B3018" s="4" t="s">
        <v>6091</v>
      </c>
      <c r="C3018" s="4" t="s">
        <v>43</v>
      </c>
      <c r="D3018" s="2">
        <f>746853056/(10^6)</f>
        <v>746.853056</v>
      </c>
      <c r="E3018" s="5" t="s">
        <v>86</v>
      </c>
      <c r="F3018" s="5">
        <v>0.828230321407318</v>
      </c>
      <c r="G3018" s="5">
        <v>0.636713624000549</v>
      </c>
      <c r="H3018" s="5">
        <v>4.85282373428345</v>
      </c>
      <c r="I3018" t="s">
        <v>57</v>
      </c>
    </row>
    <row r="3019" spans="1:9">
      <c r="A3019" s="4" t="s">
        <v>6092</v>
      </c>
      <c r="B3019" s="4" t="s">
        <v>6093</v>
      </c>
      <c r="C3019" s="4" t="s">
        <v>33</v>
      </c>
      <c r="D3019" s="2">
        <f>744562176/(10^6)</f>
        <v>744.562176</v>
      </c>
      <c r="E3019" s="5" t="s">
        <v>86</v>
      </c>
      <c r="F3019" s="5" t="s">
        <v>86</v>
      </c>
      <c r="G3019" s="5">
        <v>0.482870787382126</v>
      </c>
      <c r="H3019" s="5">
        <v>7.29757690429688</v>
      </c>
      <c r="I3019" t="s">
        <v>57</v>
      </c>
    </row>
    <row r="3020" spans="1:9">
      <c r="A3020" s="4" t="s">
        <v>6094</v>
      </c>
      <c r="B3020" s="4" t="s">
        <v>6095</v>
      </c>
      <c r="C3020" s="4" t="s">
        <v>31</v>
      </c>
      <c r="D3020" s="2">
        <f>740556864/(10^6)</f>
        <v>740.556864</v>
      </c>
      <c r="E3020" s="5" t="s">
        <v>86</v>
      </c>
      <c r="F3020" s="5">
        <v>2.66726756095886</v>
      </c>
      <c r="G3020" s="5">
        <v>2.37487602233887</v>
      </c>
      <c r="H3020" s="5" t="s">
        <v>86</v>
      </c>
      <c r="I3020" t="s">
        <v>57</v>
      </c>
    </row>
    <row r="3021" spans="1:9">
      <c r="A3021" s="4" t="s">
        <v>6096</v>
      </c>
      <c r="B3021" s="4" t="s">
        <v>6097</v>
      </c>
      <c r="C3021" s="4" t="s">
        <v>41</v>
      </c>
      <c r="D3021" s="2">
        <f>737286720/(10^6)</f>
        <v>737.28672</v>
      </c>
      <c r="E3021" s="5">
        <v>51.75</v>
      </c>
      <c r="F3021" s="5">
        <v>2.18018817901611</v>
      </c>
      <c r="G3021" s="5">
        <v>2.90065097808838</v>
      </c>
      <c r="H3021" s="5">
        <v>12.6173896789551</v>
      </c>
      <c r="I3021" t="s">
        <v>57</v>
      </c>
    </row>
    <row r="3022" spans="1:9">
      <c r="A3022" s="4" t="s">
        <v>6098</v>
      </c>
      <c r="B3022" s="4" t="s">
        <v>6099</v>
      </c>
      <c r="C3022" s="4" t="s">
        <v>45</v>
      </c>
      <c r="D3022" s="2">
        <f>735882048/(10^6)</f>
        <v>735.882048</v>
      </c>
      <c r="E3022" s="5" t="s">
        <v>86</v>
      </c>
      <c r="F3022" s="5">
        <v>1.19783389568329</v>
      </c>
      <c r="G3022" s="5">
        <v>3.90744924545288</v>
      </c>
      <c r="H3022" s="5" t="s">
        <v>86</v>
      </c>
      <c r="I3022" t="s">
        <v>57</v>
      </c>
    </row>
    <row r="3023" spans="1:9">
      <c r="A3023" s="4" t="s">
        <v>6100</v>
      </c>
      <c r="B3023" s="4" t="s">
        <v>6101</v>
      </c>
      <c r="C3023" s="4" t="s">
        <v>41</v>
      </c>
      <c r="D3023" s="2">
        <f>735583488/(10^6)</f>
        <v>735.583488</v>
      </c>
      <c r="E3023" s="5" t="s">
        <v>86</v>
      </c>
      <c r="F3023" s="5">
        <v>1.69982719421387</v>
      </c>
      <c r="G3023" s="5">
        <v>7.08101415634155</v>
      </c>
      <c r="H3023" s="5" t="s">
        <v>86</v>
      </c>
      <c r="I3023" t="s">
        <v>57</v>
      </c>
    </row>
    <row r="3024" spans="1:9">
      <c r="A3024" s="4" t="s">
        <v>6102</v>
      </c>
      <c r="B3024" s="4" t="s">
        <v>6103</v>
      </c>
      <c r="C3024" s="4" t="s">
        <v>47</v>
      </c>
      <c r="D3024" s="2">
        <f>734484736/(10^6)</f>
        <v>734.484736</v>
      </c>
      <c r="E3024" s="5">
        <v>6.94733381271362</v>
      </c>
      <c r="F3024" s="5">
        <v>1.70297515392304</v>
      </c>
      <c r="G3024" s="5">
        <v>1.16902768611908</v>
      </c>
      <c r="H3024" s="5">
        <v>4.86301898956299</v>
      </c>
      <c r="I3024" t="s">
        <v>57</v>
      </c>
    </row>
    <row r="3025" spans="1:9">
      <c r="A3025" s="4" t="s">
        <v>6104</v>
      </c>
      <c r="B3025" s="4" t="s">
        <v>6105</v>
      </c>
      <c r="C3025" s="4" t="s">
        <v>51</v>
      </c>
      <c r="D3025" s="2">
        <f>734173248/(10^6)</f>
        <v>734.173248</v>
      </c>
      <c r="E3025" s="5" t="s">
        <v>86</v>
      </c>
      <c r="F3025" s="5">
        <v>4.7492823600769</v>
      </c>
      <c r="G3025" s="5">
        <v>1.70083343982696</v>
      </c>
      <c r="H3025" s="5">
        <v>121.483253479004</v>
      </c>
      <c r="I3025" t="s">
        <v>57</v>
      </c>
    </row>
    <row r="3026" spans="1:9">
      <c r="A3026" s="4" t="s">
        <v>6106</v>
      </c>
      <c r="B3026" s="4" t="s">
        <v>6107</v>
      </c>
      <c r="C3026" s="4" t="s">
        <v>51</v>
      </c>
      <c r="D3026" s="2">
        <f>734173248/(10^6)</f>
        <v>734.173248</v>
      </c>
      <c r="E3026" s="5" t="s">
        <v>86</v>
      </c>
      <c r="F3026" s="5">
        <v>4.7492823600769</v>
      </c>
      <c r="G3026" s="5">
        <v>1.70083343982696</v>
      </c>
      <c r="H3026" s="5">
        <v>121.483253479004</v>
      </c>
      <c r="I3026" t="s">
        <v>57</v>
      </c>
    </row>
    <row r="3027" spans="1:9">
      <c r="A3027" s="4" t="s">
        <v>6108</v>
      </c>
      <c r="B3027" s="4" t="s">
        <v>6109</v>
      </c>
      <c r="C3027" s="4" t="s">
        <v>51</v>
      </c>
      <c r="D3027" s="2">
        <f>732588992/(10^6)</f>
        <v>732.588992</v>
      </c>
      <c r="E3027" s="5" t="s">
        <v>86</v>
      </c>
      <c r="F3027" s="5">
        <v>2.20348334312439</v>
      </c>
      <c r="G3027" s="5">
        <v>1.89192831516266</v>
      </c>
      <c r="H3027" s="5" t="s">
        <v>86</v>
      </c>
      <c r="I3027" t="s">
        <v>57</v>
      </c>
    </row>
    <row r="3028" spans="1:9">
      <c r="A3028" s="4" t="s">
        <v>6110</v>
      </c>
      <c r="B3028" s="4" t="s">
        <v>6111</v>
      </c>
      <c r="C3028" s="4" t="s">
        <v>51</v>
      </c>
      <c r="D3028" s="2">
        <f>731972288/(10^6)</f>
        <v>731.972288</v>
      </c>
      <c r="E3028" s="5">
        <v>14.7148103713989</v>
      </c>
      <c r="F3028" s="5" t="s">
        <v>86</v>
      </c>
      <c r="G3028" s="5">
        <v>0.221403807401657</v>
      </c>
      <c r="H3028" s="5">
        <v>2.11891865730286</v>
      </c>
      <c r="I3028" t="s">
        <v>57</v>
      </c>
    </row>
    <row r="3029" spans="1:9">
      <c r="A3029" s="4" t="s">
        <v>6112</v>
      </c>
      <c r="B3029" s="4" t="s">
        <v>6113</v>
      </c>
      <c r="C3029" s="4" t="s">
        <v>41</v>
      </c>
      <c r="D3029" s="2">
        <f>731655744/(10^6)</f>
        <v>731.655744</v>
      </c>
      <c r="E3029" s="5" t="s">
        <v>86</v>
      </c>
      <c r="F3029" s="5">
        <v>5.87990856170654</v>
      </c>
      <c r="G3029" s="5" t="s">
        <v>86</v>
      </c>
      <c r="H3029" s="5" t="s">
        <v>86</v>
      </c>
      <c r="I3029" t="s">
        <v>57</v>
      </c>
    </row>
    <row r="3030" spans="1:9">
      <c r="A3030" s="4" t="s">
        <v>6114</v>
      </c>
      <c r="B3030" s="4" t="s">
        <v>6115</v>
      </c>
      <c r="C3030" s="4" t="s">
        <v>41</v>
      </c>
      <c r="D3030" s="2">
        <f>731130816/(10^6)</f>
        <v>731.130816</v>
      </c>
      <c r="E3030" s="5" t="s">
        <v>86</v>
      </c>
      <c r="F3030" s="5">
        <v>4.63655805587769</v>
      </c>
      <c r="G3030" s="5" t="s">
        <v>86</v>
      </c>
      <c r="H3030" s="5" t="s">
        <v>86</v>
      </c>
      <c r="I3030" t="s">
        <v>57</v>
      </c>
    </row>
    <row r="3031" spans="1:9">
      <c r="A3031" s="4" t="s">
        <v>6116</v>
      </c>
      <c r="B3031" s="4" t="s">
        <v>6117</v>
      </c>
      <c r="C3031" s="4" t="s">
        <v>37</v>
      </c>
      <c r="D3031" s="2">
        <f>730772096/(10^6)</f>
        <v>730.772096</v>
      </c>
      <c r="E3031" s="5">
        <v>6.62996912002563</v>
      </c>
      <c r="F3031" s="5">
        <v>1.11187028884888</v>
      </c>
      <c r="G3031" s="5">
        <v>0.203897953033447</v>
      </c>
      <c r="H3031" s="5">
        <v>7.94320249557495</v>
      </c>
      <c r="I3031" t="s">
        <v>57</v>
      </c>
    </row>
    <row r="3032" spans="1:9">
      <c r="A3032" s="4" t="s">
        <v>6118</v>
      </c>
      <c r="B3032" s="4" t="s">
        <v>6119</v>
      </c>
      <c r="C3032" s="4" t="s">
        <v>43</v>
      </c>
      <c r="D3032" s="2">
        <f>727682304/(10^6)</f>
        <v>727.682304</v>
      </c>
      <c r="E3032" s="5">
        <v>9.15294075012207</v>
      </c>
      <c r="F3032" s="5">
        <v>0.952530324459076</v>
      </c>
      <c r="G3032" s="5">
        <v>2.23664236068726</v>
      </c>
      <c r="H3032" s="5" t="s">
        <v>86</v>
      </c>
      <c r="I3032" t="s">
        <v>57</v>
      </c>
    </row>
    <row r="3033" spans="1:9">
      <c r="A3033" s="4" t="s">
        <v>6120</v>
      </c>
      <c r="B3033" s="4" t="s">
        <v>6121</v>
      </c>
      <c r="C3033" s="4" t="s">
        <v>47</v>
      </c>
      <c r="D3033" s="2">
        <f>727480192/(10^6)</f>
        <v>727.480192</v>
      </c>
      <c r="E3033" s="5">
        <v>6.2548828125</v>
      </c>
      <c r="F3033" s="5">
        <v>1.26693212985992</v>
      </c>
      <c r="G3033" s="5">
        <v>0.286358237266541</v>
      </c>
      <c r="H3033" s="5">
        <v>7.49562740325928</v>
      </c>
      <c r="I3033" t="s">
        <v>57</v>
      </c>
    </row>
    <row r="3034" spans="1:9">
      <c r="A3034" s="4" t="s">
        <v>6122</v>
      </c>
      <c r="B3034" s="4" t="s">
        <v>6123</v>
      </c>
      <c r="C3034" s="4" t="s">
        <v>31</v>
      </c>
      <c r="D3034" s="2">
        <f>726579712/(10^6)</f>
        <v>726.579712</v>
      </c>
      <c r="E3034" s="5">
        <v>10.7639617919922</v>
      </c>
      <c r="F3034" s="5">
        <v>1.11227464675903</v>
      </c>
      <c r="G3034" s="5">
        <v>0.711518049240112</v>
      </c>
      <c r="H3034" s="5">
        <v>6.23596811294556</v>
      </c>
      <c r="I3034" t="s">
        <v>57</v>
      </c>
    </row>
    <row r="3035" spans="1:9">
      <c r="A3035" s="4" t="s">
        <v>6124</v>
      </c>
      <c r="B3035" s="4" t="s">
        <v>6125</v>
      </c>
      <c r="C3035" s="4" t="s">
        <v>47</v>
      </c>
      <c r="D3035" s="2">
        <f>725652416/(10^6)</f>
        <v>725.652416</v>
      </c>
      <c r="E3035" s="5">
        <v>15.7818174362183</v>
      </c>
      <c r="F3035" s="5">
        <v>1.83847808837891</v>
      </c>
      <c r="G3035" s="5">
        <v>0.327295571565628</v>
      </c>
      <c r="H3035" s="5">
        <v>1.98746478557587</v>
      </c>
      <c r="I3035" t="s">
        <v>57</v>
      </c>
    </row>
    <row r="3036" spans="1:9">
      <c r="A3036" s="4" t="s">
        <v>6126</v>
      </c>
      <c r="B3036" s="4" t="s">
        <v>6127</v>
      </c>
      <c r="C3036" s="4" t="s">
        <v>43</v>
      </c>
      <c r="D3036" s="2">
        <f>725403712/(10^6)</f>
        <v>725.403712</v>
      </c>
      <c r="E3036" s="5">
        <v>19.4481334686279</v>
      </c>
      <c r="F3036" s="5" t="s">
        <v>86</v>
      </c>
      <c r="G3036" s="5">
        <v>0.485670238733292</v>
      </c>
      <c r="H3036" s="5">
        <v>23.8174114227295</v>
      </c>
      <c r="I3036" t="s">
        <v>57</v>
      </c>
    </row>
    <row r="3037" spans="1:9">
      <c r="A3037" s="4" t="s">
        <v>6128</v>
      </c>
      <c r="B3037" s="4" t="s">
        <v>6129</v>
      </c>
      <c r="C3037" s="4" t="s">
        <v>43</v>
      </c>
      <c r="D3037" s="2">
        <f>722524288/(10^6)</f>
        <v>722.524288</v>
      </c>
      <c r="E3037" s="5">
        <v>6.69097089767456</v>
      </c>
      <c r="F3037" s="5">
        <v>0.832543969154358</v>
      </c>
      <c r="G3037" s="5">
        <v>2.00143909454346</v>
      </c>
      <c r="H3037" s="5" t="s">
        <v>86</v>
      </c>
      <c r="I3037" t="s">
        <v>57</v>
      </c>
    </row>
    <row r="3038" spans="1:9">
      <c r="A3038" s="4" t="s">
        <v>6130</v>
      </c>
      <c r="B3038" s="4" t="s">
        <v>6131</v>
      </c>
      <c r="C3038" s="4" t="s">
        <v>37</v>
      </c>
      <c r="D3038" s="2">
        <f>718880384/(10^6)</f>
        <v>718.880384</v>
      </c>
      <c r="E3038" s="5">
        <v>10.6857376098633</v>
      </c>
      <c r="F3038" s="5">
        <v>1.17710816860199</v>
      </c>
      <c r="G3038" s="5">
        <v>0.605173230171204</v>
      </c>
      <c r="H3038" s="5">
        <v>5.42024564743042</v>
      </c>
      <c r="I3038" t="s">
        <v>57</v>
      </c>
    </row>
    <row r="3039" spans="1:9">
      <c r="A3039" s="4" t="s">
        <v>6132</v>
      </c>
      <c r="B3039" s="4" t="s">
        <v>6133</v>
      </c>
      <c r="C3039" s="4" t="s">
        <v>43</v>
      </c>
      <c r="D3039" s="2">
        <f>717058368/(10^6)</f>
        <v>717.058368</v>
      </c>
      <c r="E3039" s="5">
        <v>6.31907320022583</v>
      </c>
      <c r="F3039" s="5">
        <v>0.608925700187683</v>
      </c>
      <c r="G3039" s="5">
        <v>1.8461309671402</v>
      </c>
      <c r="H3039" s="5" t="s">
        <v>86</v>
      </c>
      <c r="I3039" t="s">
        <v>57</v>
      </c>
    </row>
    <row r="3040" spans="1:9">
      <c r="A3040" s="4" t="s">
        <v>6134</v>
      </c>
      <c r="B3040" s="4" t="s">
        <v>6135</v>
      </c>
      <c r="C3040" s="4" t="s">
        <v>47</v>
      </c>
      <c r="D3040" s="2">
        <f>716913280/(10^6)</f>
        <v>716.91328</v>
      </c>
      <c r="E3040" s="5">
        <v>22.1518993377686</v>
      </c>
      <c r="F3040" s="5">
        <v>1.10057508945465</v>
      </c>
      <c r="G3040" s="5">
        <v>0.670120000839233</v>
      </c>
      <c r="H3040" s="5">
        <v>5.06360864639282</v>
      </c>
      <c r="I3040" t="s">
        <v>57</v>
      </c>
    </row>
    <row r="3041" spans="1:9">
      <c r="A3041" s="4" t="s">
        <v>6136</v>
      </c>
      <c r="B3041" s="4" t="s">
        <v>6137</v>
      </c>
      <c r="C3041" s="4" t="s">
        <v>27</v>
      </c>
      <c r="D3041" s="2">
        <f>716715008/(10^6)</f>
        <v>716.715008</v>
      </c>
      <c r="E3041" s="5" t="s">
        <v>86</v>
      </c>
      <c r="F3041" s="5">
        <v>0.060351502150297</v>
      </c>
      <c r="G3041" s="5">
        <v>0.231881558895111</v>
      </c>
      <c r="H3041" s="5">
        <v>18.1084671020508</v>
      </c>
      <c r="I3041" t="s">
        <v>57</v>
      </c>
    </row>
    <row r="3042" spans="1:9">
      <c r="A3042" s="4" t="s">
        <v>6138</v>
      </c>
      <c r="B3042" s="4" t="s">
        <v>6139</v>
      </c>
      <c r="C3042" s="4" t="s">
        <v>43</v>
      </c>
      <c r="D3042" s="2">
        <f>715833408/(10^6)</f>
        <v>715.833408</v>
      </c>
      <c r="E3042" s="5" t="s">
        <v>86</v>
      </c>
      <c r="F3042" s="5">
        <v>9.64709854125977</v>
      </c>
      <c r="G3042" s="5" t="s">
        <v>86</v>
      </c>
      <c r="H3042" s="5" t="s">
        <v>86</v>
      </c>
      <c r="I3042" t="s">
        <v>57</v>
      </c>
    </row>
    <row r="3043" spans="1:9">
      <c r="A3043" s="4" t="s">
        <v>6140</v>
      </c>
      <c r="B3043" s="4" t="s">
        <v>6141</v>
      </c>
      <c r="C3043" s="4" t="s">
        <v>41</v>
      </c>
      <c r="D3043" s="2">
        <f>714877632/(10^6)</f>
        <v>714.877632</v>
      </c>
      <c r="E3043" s="5" t="s">
        <v>86</v>
      </c>
      <c r="F3043" s="5">
        <v>3.17741966247559</v>
      </c>
      <c r="G3043" s="5" t="s">
        <v>86</v>
      </c>
      <c r="H3043" s="5" t="s">
        <v>86</v>
      </c>
      <c r="I3043" t="s">
        <v>57</v>
      </c>
    </row>
    <row r="3044" spans="1:9">
      <c r="A3044" s="4" t="s">
        <v>6142</v>
      </c>
      <c r="B3044" s="4" t="s">
        <v>6143</v>
      </c>
      <c r="C3044" s="4" t="s">
        <v>41</v>
      </c>
      <c r="D3044" s="2">
        <f>713975104/(10^6)</f>
        <v>713.975104</v>
      </c>
      <c r="E3044" s="5" t="s">
        <v>86</v>
      </c>
      <c r="F3044" s="5" t="s">
        <v>86</v>
      </c>
      <c r="G3044" s="5" t="s">
        <v>86</v>
      </c>
      <c r="H3044" s="5" t="s">
        <v>86</v>
      </c>
      <c r="I3044" t="s">
        <v>57</v>
      </c>
    </row>
    <row r="3045" spans="1:9">
      <c r="A3045" s="4" t="s">
        <v>6144</v>
      </c>
      <c r="B3045" s="4" t="s">
        <v>6145</v>
      </c>
      <c r="C3045" s="4" t="s">
        <v>51</v>
      </c>
      <c r="D3045" s="2">
        <f>713753152/(10^6)</f>
        <v>713.753152</v>
      </c>
      <c r="E3045" s="5" t="s">
        <v>86</v>
      </c>
      <c r="F3045" s="5">
        <v>5.72967290878296</v>
      </c>
      <c r="G3045" s="5" t="s">
        <v>86</v>
      </c>
      <c r="H3045" s="5" t="s">
        <v>86</v>
      </c>
      <c r="I3045" t="s">
        <v>57</v>
      </c>
    </row>
    <row r="3046" spans="1:9">
      <c r="A3046" s="4" t="s">
        <v>6146</v>
      </c>
      <c r="B3046" s="4" t="s">
        <v>6147</v>
      </c>
      <c r="C3046" s="4" t="s">
        <v>43</v>
      </c>
      <c r="D3046" s="2">
        <f>713088896/(10^6)</f>
        <v>713.088896</v>
      </c>
      <c r="E3046" s="5">
        <v>17.2566623687744</v>
      </c>
      <c r="F3046" s="5">
        <v>0.655792474746704</v>
      </c>
      <c r="G3046" s="5">
        <v>2.87907290458679</v>
      </c>
      <c r="H3046" s="5" t="s">
        <v>86</v>
      </c>
      <c r="I3046" t="s">
        <v>57</v>
      </c>
    </row>
    <row r="3047" spans="1:9">
      <c r="A3047" s="4" t="s">
        <v>6148</v>
      </c>
      <c r="B3047" s="4" t="s">
        <v>6149</v>
      </c>
      <c r="C3047" s="4" t="s">
        <v>27</v>
      </c>
      <c r="D3047" s="2">
        <f>712318208/(10^6)</f>
        <v>712.318208</v>
      </c>
      <c r="E3047" s="5" t="s">
        <v>86</v>
      </c>
      <c r="F3047" s="5">
        <v>0.629308640956879</v>
      </c>
      <c r="G3047" s="5">
        <v>0.26591369509697</v>
      </c>
      <c r="H3047" s="5">
        <v>1.84665644168854</v>
      </c>
      <c r="I3047" t="s">
        <v>57</v>
      </c>
    </row>
    <row r="3048" spans="1:9">
      <c r="A3048" s="4" t="s">
        <v>6150</v>
      </c>
      <c r="B3048" s="4" t="s">
        <v>6151</v>
      </c>
      <c r="C3048" s="4" t="s">
        <v>31</v>
      </c>
      <c r="D3048" s="2">
        <f>711057664/(10^6)</f>
        <v>711.057664</v>
      </c>
      <c r="E3048" s="5">
        <v>30.1296939849854</v>
      </c>
      <c r="F3048" s="5">
        <v>1.18121802806854</v>
      </c>
      <c r="G3048" s="5">
        <v>0.606926262378693</v>
      </c>
      <c r="H3048" s="5">
        <v>11.0379018783569</v>
      </c>
      <c r="I3048" t="s">
        <v>57</v>
      </c>
    </row>
    <row r="3049" spans="1:9">
      <c r="A3049" s="4" t="s">
        <v>6152</v>
      </c>
      <c r="B3049" s="4" t="s">
        <v>6153</v>
      </c>
      <c r="C3049" s="4" t="s">
        <v>31</v>
      </c>
      <c r="D3049" s="2">
        <f>709259136/(10^6)</f>
        <v>709.259136</v>
      </c>
      <c r="E3049" s="5">
        <v>7.69430065155029</v>
      </c>
      <c r="F3049" s="5">
        <v>1.41810536384582</v>
      </c>
      <c r="G3049" s="5">
        <v>0.293040841817856</v>
      </c>
      <c r="H3049" s="5">
        <v>5.23378896713257</v>
      </c>
      <c r="I3049" t="s">
        <v>57</v>
      </c>
    </row>
    <row r="3050" spans="1:9">
      <c r="A3050" s="4" t="s">
        <v>6154</v>
      </c>
      <c r="B3050" s="4" t="s">
        <v>6155</v>
      </c>
      <c r="C3050" s="4" t="s">
        <v>43</v>
      </c>
      <c r="D3050" s="2">
        <f>702790528/(10^6)</f>
        <v>702.790528</v>
      </c>
      <c r="E3050" s="5">
        <v>11.487738609314</v>
      </c>
      <c r="F3050" s="5">
        <v>1.22475779056549</v>
      </c>
      <c r="G3050" s="5">
        <v>3.06741619110107</v>
      </c>
      <c r="H3050" s="5" t="s">
        <v>86</v>
      </c>
      <c r="I3050" t="s">
        <v>57</v>
      </c>
    </row>
    <row r="3051" spans="1:9">
      <c r="A3051" s="4" t="s">
        <v>6156</v>
      </c>
      <c r="B3051" s="4" t="s">
        <v>6157</v>
      </c>
      <c r="C3051" s="4" t="s">
        <v>41</v>
      </c>
      <c r="D3051" s="2">
        <f>702177536/(10^6)</f>
        <v>702.177536</v>
      </c>
      <c r="E3051" s="5" t="s">
        <v>86</v>
      </c>
      <c r="F3051" s="5">
        <v>10.9510736465454</v>
      </c>
      <c r="G3051" s="5">
        <v>6.46114349365234</v>
      </c>
      <c r="H3051" s="5" t="s">
        <v>86</v>
      </c>
      <c r="I3051" t="s">
        <v>57</v>
      </c>
    </row>
    <row r="3052" spans="1:9">
      <c r="A3052" s="4" t="s">
        <v>6158</v>
      </c>
      <c r="B3052" s="4" t="s">
        <v>6159</v>
      </c>
      <c r="C3052" s="4" t="s">
        <v>31</v>
      </c>
      <c r="D3052" s="2">
        <f>701703680/(10^6)</f>
        <v>701.70368</v>
      </c>
      <c r="E3052" s="5">
        <v>16.204122543335</v>
      </c>
      <c r="F3052" s="5">
        <v>1.63102853298187</v>
      </c>
      <c r="G3052" s="5">
        <v>0.797135949134827</v>
      </c>
      <c r="H3052" s="5">
        <v>10.7493391036987</v>
      </c>
      <c r="I3052" t="s">
        <v>57</v>
      </c>
    </row>
    <row r="3053" spans="1:9">
      <c r="A3053" s="4" t="s">
        <v>6160</v>
      </c>
      <c r="B3053" s="4" t="s">
        <v>6161</v>
      </c>
      <c r="C3053" s="4" t="s">
        <v>41</v>
      </c>
      <c r="D3053" s="2">
        <f>698542656/(10^6)</f>
        <v>698.542656</v>
      </c>
      <c r="E3053" s="5" t="s">
        <v>86</v>
      </c>
      <c r="F3053" s="5" t="s">
        <v>86</v>
      </c>
      <c r="G3053" s="5">
        <v>24.895227432251</v>
      </c>
      <c r="H3053" s="5" t="s">
        <v>86</v>
      </c>
      <c r="I3053" t="s">
        <v>57</v>
      </c>
    </row>
    <row r="3054" spans="1:9">
      <c r="A3054" s="4" t="s">
        <v>6162</v>
      </c>
      <c r="B3054" s="4" t="s">
        <v>6163</v>
      </c>
      <c r="C3054" s="4" t="s">
        <v>41</v>
      </c>
      <c r="D3054" s="2">
        <f>697675072/(10^6)</f>
        <v>697.675072</v>
      </c>
      <c r="E3054" s="5" t="s">
        <v>86</v>
      </c>
      <c r="F3054" s="5">
        <v>3.06098628044128</v>
      </c>
      <c r="G3054" s="5" t="s">
        <v>86</v>
      </c>
      <c r="H3054" s="5" t="s">
        <v>86</v>
      </c>
      <c r="I3054" t="s">
        <v>57</v>
      </c>
    </row>
    <row r="3055" spans="1:9">
      <c r="A3055" s="4" t="s">
        <v>6164</v>
      </c>
      <c r="B3055" s="4" t="s">
        <v>6165</v>
      </c>
      <c r="C3055" s="4" t="s">
        <v>43</v>
      </c>
      <c r="D3055" s="2">
        <f>696976000/(10^6)</f>
        <v>696.976</v>
      </c>
      <c r="E3055" s="5">
        <v>10.5085506439209</v>
      </c>
      <c r="F3055" s="5">
        <v>0.87054830789566</v>
      </c>
      <c r="G3055" s="5">
        <v>2.82537317276001</v>
      </c>
      <c r="H3055" s="5" t="s">
        <v>86</v>
      </c>
      <c r="I3055" t="s">
        <v>57</v>
      </c>
    </row>
    <row r="3056" spans="1:9">
      <c r="A3056" s="4" t="s">
        <v>6166</v>
      </c>
      <c r="B3056" s="4" t="s">
        <v>6167</v>
      </c>
      <c r="C3056" s="4" t="s">
        <v>49</v>
      </c>
      <c r="D3056" s="2">
        <f>696899968/(10^6)</f>
        <v>696.899968</v>
      </c>
      <c r="E3056" s="5">
        <v>92.3327331542969</v>
      </c>
      <c r="F3056" s="5">
        <v>1.27558124065399</v>
      </c>
      <c r="G3056" s="5" t="s">
        <v>86</v>
      </c>
      <c r="H3056" s="5" t="s">
        <v>86</v>
      </c>
      <c r="I3056" t="s">
        <v>57</v>
      </c>
    </row>
    <row r="3057" spans="1:9">
      <c r="A3057" s="4" t="s">
        <v>6168</v>
      </c>
      <c r="B3057" s="4" t="s">
        <v>6169</v>
      </c>
      <c r="C3057" s="4" t="s">
        <v>51</v>
      </c>
      <c r="D3057" s="2">
        <f>694527104/(10^6)</f>
        <v>694.527104</v>
      </c>
      <c r="E3057" s="5">
        <v>9.52160167694092</v>
      </c>
      <c r="F3057" s="5">
        <v>26.905891418457</v>
      </c>
      <c r="G3057" s="5">
        <v>0.445228010416031</v>
      </c>
      <c r="H3057" s="5">
        <v>6.13609838485718</v>
      </c>
      <c r="I3057" t="s">
        <v>57</v>
      </c>
    </row>
    <row r="3058" spans="1:9">
      <c r="A3058" s="4" t="s">
        <v>6170</v>
      </c>
      <c r="B3058" s="4" t="s">
        <v>6171</v>
      </c>
      <c r="C3058" s="4" t="s">
        <v>43</v>
      </c>
      <c r="D3058" s="2">
        <f>691256128/(10^6)</f>
        <v>691.256128</v>
      </c>
      <c r="E3058" s="5">
        <v>5.52833986282349</v>
      </c>
      <c r="F3058" s="5">
        <v>0.397447526454926</v>
      </c>
      <c r="G3058" s="5">
        <v>1.14193665981293</v>
      </c>
      <c r="H3058" s="5" t="s">
        <v>86</v>
      </c>
      <c r="I3058" t="s">
        <v>57</v>
      </c>
    </row>
    <row r="3059" spans="1:9">
      <c r="A3059" s="4" t="s">
        <v>6172</v>
      </c>
      <c r="B3059" s="4" t="s">
        <v>6173</v>
      </c>
      <c r="C3059" s="4" t="s">
        <v>41</v>
      </c>
      <c r="D3059" s="2">
        <f>691206784/(10^6)</f>
        <v>691.206784</v>
      </c>
      <c r="E3059" s="5">
        <v>31.79638671875</v>
      </c>
      <c r="F3059" s="5">
        <v>2.45387148857117</v>
      </c>
      <c r="G3059" s="5">
        <v>0.811570286750793</v>
      </c>
      <c r="H3059" s="5">
        <v>15.9717445373535</v>
      </c>
      <c r="I3059" t="s">
        <v>57</v>
      </c>
    </row>
    <row r="3060" spans="1:9">
      <c r="A3060" s="4" t="s">
        <v>6174</v>
      </c>
      <c r="B3060" s="4" t="s">
        <v>6175</v>
      </c>
      <c r="C3060" s="4" t="s">
        <v>27</v>
      </c>
      <c r="D3060" s="2">
        <f>691124224/(10^6)</f>
        <v>691.124224</v>
      </c>
      <c r="E3060" s="5">
        <v>0.749966561794281</v>
      </c>
      <c r="F3060" s="5">
        <v>0.069593958556652</v>
      </c>
      <c r="G3060" s="5">
        <v>0.10393738001585</v>
      </c>
      <c r="H3060" s="5">
        <v>3.18749952316284</v>
      </c>
      <c r="I3060" t="s">
        <v>57</v>
      </c>
    </row>
    <row r="3061" spans="1:9">
      <c r="A3061" s="4" t="s">
        <v>6176</v>
      </c>
      <c r="B3061" s="4" t="s">
        <v>6177</v>
      </c>
      <c r="C3061" s="4" t="s">
        <v>33</v>
      </c>
      <c r="D3061" s="2">
        <f>689397888/(10^6)</f>
        <v>689.397888</v>
      </c>
      <c r="E3061" s="5" t="s">
        <v>86</v>
      </c>
      <c r="F3061" s="5">
        <v>2.69774699211121</v>
      </c>
      <c r="G3061" s="5">
        <v>242.085220336914</v>
      </c>
      <c r="H3061" s="5" t="s">
        <v>86</v>
      </c>
      <c r="I3061" t="s">
        <v>57</v>
      </c>
    </row>
    <row r="3062" spans="1:9">
      <c r="A3062" s="4" t="s">
        <v>6178</v>
      </c>
      <c r="B3062" s="4" t="s">
        <v>6179</v>
      </c>
      <c r="C3062" s="4" t="s">
        <v>31</v>
      </c>
      <c r="D3062" s="2">
        <f>687594304/(10^6)</f>
        <v>687.594304</v>
      </c>
      <c r="E3062" s="5">
        <v>7.58983659744263</v>
      </c>
      <c r="F3062" s="5">
        <v>2.71151661872864</v>
      </c>
      <c r="G3062" s="5">
        <v>0.429792940616608</v>
      </c>
      <c r="H3062" s="5">
        <v>7.97247648239136</v>
      </c>
      <c r="I3062" t="s">
        <v>57</v>
      </c>
    </row>
    <row r="3063" spans="1:9">
      <c r="A3063" s="4" t="s">
        <v>6180</v>
      </c>
      <c r="B3063" s="4" t="s">
        <v>6181</v>
      </c>
      <c r="C3063" s="4" t="s">
        <v>49</v>
      </c>
      <c r="D3063" s="2">
        <f>686550016/(10^6)</f>
        <v>686.550016</v>
      </c>
      <c r="E3063" s="5" t="s">
        <v>86</v>
      </c>
      <c r="F3063" s="5">
        <v>0.29625603556633</v>
      </c>
      <c r="G3063" s="5" t="s">
        <v>86</v>
      </c>
      <c r="H3063" s="5" t="s">
        <v>86</v>
      </c>
      <c r="I3063" t="s">
        <v>57</v>
      </c>
    </row>
    <row r="3064" spans="1:9">
      <c r="A3064" s="4" t="s">
        <v>6182</v>
      </c>
      <c r="B3064" s="4" t="s">
        <v>6183</v>
      </c>
      <c r="C3064" s="4" t="s">
        <v>31</v>
      </c>
      <c r="D3064" s="2">
        <f>682319680/(10^6)</f>
        <v>682.31968</v>
      </c>
      <c r="E3064" s="5">
        <v>9.87919998168945</v>
      </c>
      <c r="F3064" s="5">
        <v>1.09486532211304</v>
      </c>
      <c r="G3064" s="5">
        <v>0.231189027428627</v>
      </c>
      <c r="H3064" s="5">
        <v>3.82087349891663</v>
      </c>
      <c r="I3064" t="s">
        <v>57</v>
      </c>
    </row>
    <row r="3065" spans="1:9">
      <c r="A3065" s="4" t="s">
        <v>6184</v>
      </c>
      <c r="B3065" s="4" t="s">
        <v>6185</v>
      </c>
      <c r="C3065" s="4" t="s">
        <v>31</v>
      </c>
      <c r="D3065" s="2">
        <f>679875520/(10^6)</f>
        <v>679.87552</v>
      </c>
      <c r="E3065" s="5" t="s">
        <v>86</v>
      </c>
      <c r="F3065" s="5">
        <v>0.891022264957428</v>
      </c>
      <c r="G3065" s="5" t="s">
        <v>86</v>
      </c>
      <c r="H3065" s="5">
        <v>5.41959238052368</v>
      </c>
      <c r="I3065" t="s">
        <v>57</v>
      </c>
    </row>
    <row r="3066" spans="1:9">
      <c r="A3066" s="4" t="s">
        <v>6186</v>
      </c>
      <c r="B3066" s="4" t="s">
        <v>6187</v>
      </c>
      <c r="C3066" s="4" t="s">
        <v>31</v>
      </c>
      <c r="D3066" s="2">
        <f>678369280/(10^6)</f>
        <v>678.36928</v>
      </c>
      <c r="E3066" s="5">
        <v>10.372163772583</v>
      </c>
      <c r="F3066" s="5">
        <v>0.949538469314575</v>
      </c>
      <c r="G3066" s="5">
        <v>0.443429589271545</v>
      </c>
      <c r="H3066" s="5">
        <v>17.5906887054443</v>
      </c>
      <c r="I3066" t="s">
        <v>57</v>
      </c>
    </row>
    <row r="3067" spans="1:9">
      <c r="A3067" s="4" t="s">
        <v>6188</v>
      </c>
      <c r="B3067" s="4" t="s">
        <v>6189</v>
      </c>
      <c r="C3067" s="4" t="s">
        <v>33</v>
      </c>
      <c r="D3067" s="2">
        <f>677661568/(10^6)</f>
        <v>677.661568</v>
      </c>
      <c r="E3067" s="5" t="s">
        <v>86</v>
      </c>
      <c r="F3067" s="5">
        <v>12.9254455566406</v>
      </c>
      <c r="G3067" s="5">
        <v>2.62026739120483</v>
      </c>
      <c r="H3067" s="5" t="s">
        <v>86</v>
      </c>
      <c r="I3067" t="s">
        <v>57</v>
      </c>
    </row>
    <row r="3068" spans="1:9">
      <c r="A3068" s="4" t="s">
        <v>6190</v>
      </c>
      <c r="B3068" s="4" t="s">
        <v>6191</v>
      </c>
      <c r="C3068" s="4" t="s">
        <v>51</v>
      </c>
      <c r="D3068" s="2">
        <f>676625280/(10^6)</f>
        <v>676.62528</v>
      </c>
      <c r="E3068" s="5" t="s">
        <v>86</v>
      </c>
      <c r="F3068" s="5">
        <v>1.22892844676971</v>
      </c>
      <c r="G3068" s="5">
        <v>2.37999224662781</v>
      </c>
      <c r="H3068" s="5">
        <v>19.7316627502441</v>
      </c>
      <c r="I3068" t="s">
        <v>57</v>
      </c>
    </row>
    <row r="3069" spans="1:9">
      <c r="A3069" s="4" t="s">
        <v>6192</v>
      </c>
      <c r="B3069" s="4" t="s">
        <v>6193</v>
      </c>
      <c r="C3069" s="4" t="s">
        <v>45</v>
      </c>
      <c r="D3069" s="2">
        <f>674891584/(10^6)</f>
        <v>674.891584</v>
      </c>
      <c r="E3069" s="5">
        <v>16.4878673553467</v>
      </c>
      <c r="F3069" s="5">
        <v>0.793589055538177</v>
      </c>
      <c r="G3069" s="5">
        <v>1.3975772857666</v>
      </c>
      <c r="H3069" s="5">
        <v>9.02205181121826</v>
      </c>
      <c r="I3069" t="s">
        <v>57</v>
      </c>
    </row>
    <row r="3070" spans="1:9">
      <c r="A3070" s="4" t="s">
        <v>6194</v>
      </c>
      <c r="B3070" s="4" t="s">
        <v>6195</v>
      </c>
      <c r="C3070" s="4" t="s">
        <v>41</v>
      </c>
      <c r="D3070" s="2">
        <f>672451392/(10^6)</f>
        <v>672.451392</v>
      </c>
      <c r="E3070" s="5" t="s">
        <v>86</v>
      </c>
      <c r="F3070" s="5" t="s">
        <v>86</v>
      </c>
      <c r="G3070" s="5">
        <v>17.2843341827393</v>
      </c>
      <c r="H3070" s="5" t="s">
        <v>86</v>
      </c>
      <c r="I3070" t="s">
        <v>57</v>
      </c>
    </row>
    <row r="3071" spans="1:9">
      <c r="A3071" s="4" t="s">
        <v>6196</v>
      </c>
      <c r="B3071" s="4" t="s">
        <v>6197</v>
      </c>
      <c r="C3071" s="4" t="s">
        <v>41</v>
      </c>
      <c r="D3071" s="2">
        <f>672257792/(10^6)</f>
        <v>672.257792</v>
      </c>
      <c r="E3071" s="5" t="s">
        <v>86</v>
      </c>
      <c r="F3071" s="5">
        <v>2.11011266708374</v>
      </c>
      <c r="G3071" s="5">
        <v>0.443079620599747</v>
      </c>
      <c r="H3071" s="5">
        <v>13.6233186721802</v>
      </c>
      <c r="I3071" t="s">
        <v>57</v>
      </c>
    </row>
    <row r="3072" spans="1:9">
      <c r="A3072" s="4" t="s">
        <v>6198</v>
      </c>
      <c r="B3072" s="4" t="s">
        <v>6199</v>
      </c>
      <c r="C3072" s="4" t="s">
        <v>51</v>
      </c>
      <c r="D3072" s="2">
        <f>670046272/(10^6)</f>
        <v>670.046272</v>
      </c>
      <c r="E3072" s="5">
        <v>19.2751560211182</v>
      </c>
      <c r="F3072" s="5">
        <v>0.663879454135895</v>
      </c>
      <c r="G3072" s="5">
        <v>0.308462232351303</v>
      </c>
      <c r="H3072" s="5">
        <v>5.85716247558594</v>
      </c>
      <c r="I3072" t="s">
        <v>57</v>
      </c>
    </row>
    <row r="3073" spans="1:9">
      <c r="A3073" s="4" t="s">
        <v>6200</v>
      </c>
      <c r="B3073" s="4" t="s">
        <v>6201</v>
      </c>
      <c r="C3073" s="4" t="s">
        <v>41</v>
      </c>
      <c r="D3073" s="2">
        <f>669974528/(10^6)</f>
        <v>669.974528</v>
      </c>
      <c r="E3073" s="5" t="s">
        <v>86</v>
      </c>
      <c r="F3073" s="5">
        <v>6.53441047668457</v>
      </c>
      <c r="G3073" s="5" t="s">
        <v>86</v>
      </c>
      <c r="H3073" s="5" t="s">
        <v>86</v>
      </c>
      <c r="I3073" t="s">
        <v>57</v>
      </c>
    </row>
    <row r="3074" spans="1:9">
      <c r="A3074" s="4" t="s">
        <v>6202</v>
      </c>
      <c r="B3074" s="4" t="s">
        <v>6203</v>
      </c>
      <c r="C3074" s="4" t="s">
        <v>41</v>
      </c>
      <c r="D3074" s="2">
        <f>668744832/(10^6)</f>
        <v>668.744832</v>
      </c>
      <c r="E3074" s="5" t="s">
        <v>86</v>
      </c>
      <c r="F3074" s="5">
        <v>17.2999858856201</v>
      </c>
      <c r="G3074" s="5" t="s">
        <v>86</v>
      </c>
      <c r="H3074" s="5" t="s">
        <v>86</v>
      </c>
      <c r="I3074" t="s">
        <v>57</v>
      </c>
    </row>
    <row r="3075" spans="1:9">
      <c r="A3075" s="4" t="s">
        <v>6204</v>
      </c>
      <c r="B3075" s="4" t="s">
        <v>6205</v>
      </c>
      <c r="C3075" s="4" t="s">
        <v>41</v>
      </c>
      <c r="D3075" s="2">
        <f>668280512/(10^6)</f>
        <v>668.280512</v>
      </c>
      <c r="E3075" s="5" t="s">
        <v>86</v>
      </c>
      <c r="F3075" s="5">
        <v>3.29272961616516</v>
      </c>
      <c r="G3075" s="5" t="s">
        <v>86</v>
      </c>
      <c r="H3075" s="5" t="s">
        <v>86</v>
      </c>
      <c r="I3075" t="s">
        <v>57</v>
      </c>
    </row>
    <row r="3076" spans="1:9">
      <c r="A3076" s="4" t="s">
        <v>6206</v>
      </c>
      <c r="B3076" s="4" t="s">
        <v>6207</v>
      </c>
      <c r="C3076" s="4" t="s">
        <v>47</v>
      </c>
      <c r="D3076" s="2">
        <f>668060352/(10^6)</f>
        <v>668.060352</v>
      </c>
      <c r="E3076" s="5">
        <v>9.03031253814697</v>
      </c>
      <c r="F3076" s="5" t="s">
        <v>86</v>
      </c>
      <c r="G3076" s="5">
        <v>0.766117036342621</v>
      </c>
      <c r="H3076" s="5">
        <v>8.64093685150146</v>
      </c>
      <c r="I3076" t="s">
        <v>57</v>
      </c>
    </row>
    <row r="3077" spans="1:9">
      <c r="A3077" s="4" t="s">
        <v>6208</v>
      </c>
      <c r="B3077" s="4" t="s">
        <v>6209</v>
      </c>
      <c r="C3077" s="4" t="s">
        <v>43</v>
      </c>
      <c r="D3077" s="2">
        <f>665874304/(10^6)</f>
        <v>665.874304</v>
      </c>
      <c r="E3077" s="5">
        <v>11.9589977264404</v>
      </c>
      <c r="F3077" s="5">
        <v>1.28367280960083</v>
      </c>
      <c r="G3077" s="5" t="s">
        <v>86</v>
      </c>
      <c r="H3077" s="5" t="s">
        <v>86</v>
      </c>
      <c r="I3077" t="s">
        <v>57</v>
      </c>
    </row>
    <row r="3078" spans="1:9">
      <c r="A3078" s="4" t="s">
        <v>6210</v>
      </c>
      <c r="B3078" s="4" t="s">
        <v>6211</v>
      </c>
      <c r="C3078" s="4" t="s">
        <v>43</v>
      </c>
      <c r="D3078" s="2">
        <f>665710528/(10^6)</f>
        <v>665.710528</v>
      </c>
      <c r="E3078" s="5">
        <v>7.98329973220825</v>
      </c>
      <c r="F3078" s="5">
        <v>1.08157646656036</v>
      </c>
      <c r="G3078" s="5">
        <v>0.578695476055145</v>
      </c>
      <c r="H3078" s="5">
        <v>5.58261823654175</v>
      </c>
      <c r="I3078" t="s">
        <v>57</v>
      </c>
    </row>
    <row r="3079" spans="1:9">
      <c r="A3079" s="4" t="s">
        <v>6212</v>
      </c>
      <c r="B3079" s="4" t="s">
        <v>6213</v>
      </c>
      <c r="C3079" s="4" t="s">
        <v>37</v>
      </c>
      <c r="D3079" s="2">
        <f>665159040/(10^6)</f>
        <v>665.15904</v>
      </c>
      <c r="E3079" s="5">
        <v>11.1757335662842</v>
      </c>
      <c r="F3079" s="5">
        <v>1.63662719726562</v>
      </c>
      <c r="G3079" s="5">
        <v>0.708770990371704</v>
      </c>
      <c r="H3079" s="5">
        <v>7.24737358093262</v>
      </c>
      <c r="I3079" t="s">
        <v>57</v>
      </c>
    </row>
    <row r="3080" spans="1:9">
      <c r="A3080" s="4" t="s">
        <v>6214</v>
      </c>
      <c r="B3080" s="4" t="s">
        <v>6215</v>
      </c>
      <c r="C3080" s="4" t="s">
        <v>31</v>
      </c>
      <c r="D3080" s="2">
        <f>665086912/(10^6)</f>
        <v>665.086912</v>
      </c>
      <c r="E3080" s="5">
        <v>2.68261218070984</v>
      </c>
      <c r="F3080" s="5">
        <v>0.414945632219315</v>
      </c>
      <c r="G3080" s="5">
        <v>0.133231431245804</v>
      </c>
      <c r="H3080" s="5">
        <v>5.26937913894653</v>
      </c>
      <c r="I3080" t="s">
        <v>57</v>
      </c>
    </row>
    <row r="3081" spans="1:9">
      <c r="A3081" s="4" t="s">
        <v>6216</v>
      </c>
      <c r="B3081" s="4" t="s">
        <v>6217</v>
      </c>
      <c r="C3081" s="4" t="s">
        <v>27</v>
      </c>
      <c r="D3081" s="2">
        <f>664993152/(10^6)</f>
        <v>664.993152</v>
      </c>
      <c r="E3081" s="5" t="s">
        <v>86</v>
      </c>
      <c r="F3081" s="5">
        <v>0.650325119495392</v>
      </c>
      <c r="G3081" s="5">
        <v>1.81248438358307</v>
      </c>
      <c r="H3081" s="5">
        <v>8.61694240570068</v>
      </c>
      <c r="I3081" t="s">
        <v>57</v>
      </c>
    </row>
    <row r="3082" spans="1:9">
      <c r="A3082" s="4" t="s">
        <v>6218</v>
      </c>
      <c r="B3082" s="4" t="s">
        <v>6219</v>
      </c>
      <c r="C3082" s="4" t="s">
        <v>41</v>
      </c>
      <c r="D3082" s="2">
        <f>662857984/(10^6)</f>
        <v>662.857984</v>
      </c>
      <c r="E3082" s="5" t="s">
        <v>86</v>
      </c>
      <c r="F3082" s="5">
        <v>4.03332185745239</v>
      </c>
      <c r="G3082" s="5">
        <v>3.61977124214172</v>
      </c>
      <c r="H3082" s="5" t="s">
        <v>86</v>
      </c>
      <c r="I3082" t="s">
        <v>57</v>
      </c>
    </row>
    <row r="3083" spans="1:9">
      <c r="A3083" s="4" t="s">
        <v>6220</v>
      </c>
      <c r="B3083" s="4" t="s">
        <v>6221</v>
      </c>
      <c r="C3083" s="4" t="s">
        <v>31</v>
      </c>
      <c r="D3083" s="2">
        <f>660711744/(10^6)</f>
        <v>660.711744</v>
      </c>
      <c r="E3083" s="5">
        <v>17.6305561065674</v>
      </c>
      <c r="F3083" s="5">
        <v>1.21350347995758</v>
      </c>
      <c r="G3083" s="5">
        <v>0.200410291552544</v>
      </c>
      <c r="H3083" s="5">
        <v>9.00643539428711</v>
      </c>
      <c r="I3083" t="s">
        <v>57</v>
      </c>
    </row>
    <row r="3084" spans="1:9">
      <c r="A3084" s="4" t="s">
        <v>6222</v>
      </c>
      <c r="B3084" s="4" t="s">
        <v>6223</v>
      </c>
      <c r="C3084" s="4" t="s">
        <v>51</v>
      </c>
      <c r="D3084" s="2">
        <f>659239744/(10^6)</f>
        <v>659.239744</v>
      </c>
      <c r="E3084" s="5">
        <v>71.4270172119141</v>
      </c>
      <c r="F3084" s="5">
        <v>2.4929404258728</v>
      </c>
      <c r="G3084" s="5">
        <v>2.57576465606689</v>
      </c>
      <c r="H3084" s="5">
        <v>17.7454242706299</v>
      </c>
      <c r="I3084" t="s">
        <v>57</v>
      </c>
    </row>
    <row r="3085" spans="1:9">
      <c r="A3085" s="4" t="s">
        <v>6224</v>
      </c>
      <c r="B3085" s="4" t="s">
        <v>6225</v>
      </c>
      <c r="C3085" s="4" t="s">
        <v>31</v>
      </c>
      <c r="D3085" s="2">
        <f>658102272/(10^6)</f>
        <v>658.102272</v>
      </c>
      <c r="E3085" s="5">
        <v>17.1203651428223</v>
      </c>
      <c r="F3085" s="5">
        <v>0.703508734703064</v>
      </c>
      <c r="G3085" s="5">
        <v>0.134057715535164</v>
      </c>
      <c r="H3085" s="5">
        <v>6.65644264221191</v>
      </c>
      <c r="I3085" t="s">
        <v>57</v>
      </c>
    </row>
    <row r="3086" spans="1:9">
      <c r="A3086" s="4" t="s">
        <v>6226</v>
      </c>
      <c r="B3086" s="4" t="s">
        <v>6227</v>
      </c>
      <c r="C3086" s="4" t="s">
        <v>35</v>
      </c>
      <c r="D3086" s="2">
        <f>657429760/(10^6)</f>
        <v>657.42976</v>
      </c>
      <c r="E3086" s="5">
        <v>9.55614757537842</v>
      </c>
      <c r="F3086" s="5">
        <v>0.967790186405182</v>
      </c>
      <c r="G3086" s="5">
        <v>0.140458047389984</v>
      </c>
      <c r="H3086" s="5">
        <v>5.73274326324463</v>
      </c>
      <c r="I3086" t="s">
        <v>57</v>
      </c>
    </row>
    <row r="3087" spans="1:9">
      <c r="A3087" s="4" t="s">
        <v>6228</v>
      </c>
      <c r="B3087" s="4" t="s">
        <v>6229</v>
      </c>
      <c r="C3087" s="4" t="s">
        <v>41</v>
      </c>
      <c r="D3087" s="2">
        <f>657395328/(10^6)</f>
        <v>657.395328</v>
      </c>
      <c r="E3087" s="5" t="s">
        <v>86</v>
      </c>
      <c r="F3087" s="5">
        <v>1.73286128044128</v>
      </c>
      <c r="G3087" s="5" t="s">
        <v>86</v>
      </c>
      <c r="H3087" s="5" t="s">
        <v>86</v>
      </c>
      <c r="I3087" t="s">
        <v>57</v>
      </c>
    </row>
    <row r="3088" spans="1:9">
      <c r="A3088" s="4" t="s">
        <v>6230</v>
      </c>
      <c r="B3088" s="4" t="s">
        <v>6231</v>
      </c>
      <c r="C3088" s="4" t="s">
        <v>51</v>
      </c>
      <c r="D3088" s="2">
        <f>657058176/(10^6)</f>
        <v>657.058176</v>
      </c>
      <c r="E3088" s="5">
        <v>18.6851863861084</v>
      </c>
      <c r="F3088" s="5">
        <v>0.853991210460663</v>
      </c>
      <c r="G3088" s="5">
        <v>1.13824439048767</v>
      </c>
      <c r="H3088" s="5">
        <v>4.24024248123169</v>
      </c>
      <c r="I3088" t="s">
        <v>57</v>
      </c>
    </row>
    <row r="3089" spans="1:9">
      <c r="A3089" s="4" t="s">
        <v>6232</v>
      </c>
      <c r="B3089" s="4" t="s">
        <v>6233</v>
      </c>
      <c r="C3089" s="4" t="s">
        <v>31</v>
      </c>
      <c r="D3089" s="2">
        <f>655547136/(10^6)</f>
        <v>655.547136</v>
      </c>
      <c r="E3089" s="5">
        <v>7.4540638923645</v>
      </c>
      <c r="F3089" s="5">
        <v>0.926562666893005</v>
      </c>
      <c r="G3089" s="5">
        <v>0.197067007422447</v>
      </c>
      <c r="H3089" s="5">
        <v>5.63204717636108</v>
      </c>
      <c r="I3089" t="s">
        <v>57</v>
      </c>
    </row>
    <row r="3090" spans="1:9">
      <c r="A3090" s="4" t="s">
        <v>6234</v>
      </c>
      <c r="B3090" s="4" t="s">
        <v>6235</v>
      </c>
      <c r="C3090" s="4" t="s">
        <v>41</v>
      </c>
      <c r="D3090" s="2">
        <f>654872192/(10^6)</f>
        <v>654.872192</v>
      </c>
      <c r="E3090" s="5">
        <v>226.066833496094</v>
      </c>
      <c r="F3090" s="5">
        <v>1.71717500686646</v>
      </c>
      <c r="G3090" s="5">
        <v>2.04909348487854</v>
      </c>
      <c r="H3090" s="5">
        <v>30.7841186523438</v>
      </c>
      <c r="I3090" t="s">
        <v>57</v>
      </c>
    </row>
    <row r="3091" spans="1:9">
      <c r="A3091" s="4" t="s">
        <v>6236</v>
      </c>
      <c r="B3091" s="4" t="s">
        <v>6237</v>
      </c>
      <c r="C3091" s="4" t="s">
        <v>41</v>
      </c>
      <c r="D3091" s="2">
        <f>651756480/(10^6)</f>
        <v>651.75648</v>
      </c>
      <c r="E3091" s="5">
        <v>24.2427806854248</v>
      </c>
      <c r="F3091" s="5">
        <v>1.63037919998169</v>
      </c>
      <c r="G3091" s="5">
        <v>1.20013225078583</v>
      </c>
      <c r="H3091" s="5">
        <v>9.89978313446045</v>
      </c>
      <c r="I3091" t="s">
        <v>57</v>
      </c>
    </row>
    <row r="3092" spans="1:9">
      <c r="A3092" s="4" t="s">
        <v>6238</v>
      </c>
      <c r="B3092" s="4" t="s">
        <v>6239</v>
      </c>
      <c r="C3092" s="4" t="s">
        <v>41</v>
      </c>
      <c r="D3092" s="2">
        <f>648918400/(10^6)</f>
        <v>648.9184</v>
      </c>
      <c r="E3092" s="5" t="s">
        <v>86</v>
      </c>
      <c r="F3092" s="5">
        <v>4.22596979141235</v>
      </c>
      <c r="G3092" s="5">
        <v>46.4097900390625</v>
      </c>
      <c r="H3092" s="5" t="s">
        <v>86</v>
      </c>
      <c r="I3092" t="s">
        <v>57</v>
      </c>
    </row>
    <row r="3093" spans="1:9">
      <c r="A3093" s="4" t="s">
        <v>6240</v>
      </c>
      <c r="B3093" s="4" t="s">
        <v>6241</v>
      </c>
      <c r="C3093" s="4" t="s">
        <v>43</v>
      </c>
      <c r="D3093" s="2">
        <f>648275456/(10^6)</f>
        <v>648.275456</v>
      </c>
      <c r="E3093" s="5" t="s">
        <v>86</v>
      </c>
      <c r="F3093" s="5">
        <v>0.724830090999603</v>
      </c>
      <c r="G3093" s="5">
        <v>14.5981273651123</v>
      </c>
      <c r="H3093" s="5">
        <v>6.45405578613281</v>
      </c>
      <c r="I3093" t="s">
        <v>57</v>
      </c>
    </row>
    <row r="3094" spans="1:9">
      <c r="A3094" s="4" t="s">
        <v>6242</v>
      </c>
      <c r="B3094" s="4" t="s">
        <v>6243</v>
      </c>
      <c r="C3094" s="4" t="s">
        <v>41</v>
      </c>
      <c r="D3094" s="2">
        <f>644987456/(10^6)</f>
        <v>644.987456</v>
      </c>
      <c r="E3094" s="5" t="s">
        <v>86</v>
      </c>
      <c r="F3094" s="5" t="s">
        <v>86</v>
      </c>
      <c r="G3094" s="5">
        <v>6.67955636978149</v>
      </c>
      <c r="H3094" s="5" t="s">
        <v>86</v>
      </c>
      <c r="I3094" t="s">
        <v>57</v>
      </c>
    </row>
    <row r="3095" spans="1:9">
      <c r="A3095" s="4" t="s">
        <v>6244</v>
      </c>
      <c r="B3095" s="4" t="s">
        <v>6245</v>
      </c>
      <c r="C3095" s="4" t="s">
        <v>41</v>
      </c>
      <c r="D3095" s="2">
        <f>644548096/(10^6)</f>
        <v>644.548096</v>
      </c>
      <c r="E3095" s="5" t="s">
        <v>86</v>
      </c>
      <c r="F3095" s="5">
        <v>6.24800062179565</v>
      </c>
      <c r="G3095" s="5">
        <v>23.9544525146484</v>
      </c>
      <c r="H3095" s="5" t="s">
        <v>86</v>
      </c>
      <c r="I3095" t="s">
        <v>57</v>
      </c>
    </row>
    <row r="3096" spans="1:9">
      <c r="A3096" s="4" t="s">
        <v>6246</v>
      </c>
      <c r="B3096" s="4" t="s">
        <v>6247</v>
      </c>
      <c r="C3096" s="4" t="s">
        <v>51</v>
      </c>
      <c r="D3096" s="2">
        <f>638038336/(10^6)</f>
        <v>638.038336</v>
      </c>
      <c r="E3096" s="5">
        <v>5.2971887588501</v>
      </c>
      <c r="F3096" s="5">
        <v>0.596711277961731</v>
      </c>
      <c r="G3096" s="5">
        <v>2.10083293914795</v>
      </c>
      <c r="H3096" s="5">
        <v>16.0731143951416</v>
      </c>
      <c r="I3096" t="s">
        <v>57</v>
      </c>
    </row>
    <row r="3097" spans="1:9">
      <c r="A3097" s="4" t="s">
        <v>6248</v>
      </c>
      <c r="B3097" s="4" t="s">
        <v>6249</v>
      </c>
      <c r="C3097" s="4" t="s">
        <v>41</v>
      </c>
      <c r="D3097" s="2">
        <f>637454784/(10^6)</f>
        <v>637.454784</v>
      </c>
      <c r="E3097" s="5" t="s">
        <v>86</v>
      </c>
      <c r="F3097" s="5">
        <v>4.80598974227905</v>
      </c>
      <c r="G3097" s="5">
        <v>110.876449584961</v>
      </c>
      <c r="H3097" s="5" t="s">
        <v>86</v>
      </c>
      <c r="I3097" t="s">
        <v>57</v>
      </c>
    </row>
    <row r="3098" spans="1:9">
      <c r="A3098" s="4" t="s">
        <v>6250</v>
      </c>
      <c r="B3098" s="4" t="s">
        <v>6251</v>
      </c>
      <c r="C3098" s="4" t="s">
        <v>31</v>
      </c>
      <c r="D3098" s="2">
        <f>636921344/(10^6)</f>
        <v>636.921344</v>
      </c>
      <c r="E3098" s="5">
        <v>237.254425048828</v>
      </c>
      <c r="F3098" s="5">
        <v>0.203041538596153</v>
      </c>
      <c r="G3098" s="5" t="s">
        <v>86</v>
      </c>
      <c r="H3098" s="5" t="s">
        <v>86</v>
      </c>
      <c r="I3098" t="s">
        <v>57</v>
      </c>
    </row>
    <row r="3099" spans="1:9">
      <c r="A3099" s="4" t="s">
        <v>6252</v>
      </c>
      <c r="B3099" s="4" t="s">
        <v>6253</v>
      </c>
      <c r="C3099" s="4" t="s">
        <v>33</v>
      </c>
      <c r="D3099" s="2">
        <f>636355904/(10^6)</f>
        <v>636.355904</v>
      </c>
      <c r="E3099" s="5" t="s">
        <v>86</v>
      </c>
      <c r="F3099" s="5">
        <v>1.48362064361572</v>
      </c>
      <c r="G3099" s="5">
        <v>1.84878635406494</v>
      </c>
      <c r="H3099" s="5" t="s">
        <v>86</v>
      </c>
      <c r="I3099" t="s">
        <v>57</v>
      </c>
    </row>
    <row r="3100" spans="1:9">
      <c r="A3100" s="4" t="s">
        <v>6254</v>
      </c>
      <c r="B3100" s="4" t="s">
        <v>6255</v>
      </c>
      <c r="C3100" s="4" t="s">
        <v>49</v>
      </c>
      <c r="D3100" s="2">
        <f>634499968/(10^6)</f>
        <v>634.499968</v>
      </c>
      <c r="E3100" s="5" t="s">
        <v>86</v>
      </c>
      <c r="F3100" s="5">
        <v>0.37723770737648</v>
      </c>
      <c r="G3100" s="5" t="s">
        <v>86</v>
      </c>
      <c r="H3100" s="5" t="s">
        <v>86</v>
      </c>
      <c r="I3100" t="s">
        <v>57</v>
      </c>
    </row>
    <row r="3101" spans="1:9">
      <c r="A3101" s="4" t="s">
        <v>6256</v>
      </c>
      <c r="B3101" s="4" t="s">
        <v>6257</v>
      </c>
      <c r="C3101" s="4" t="s">
        <v>41</v>
      </c>
      <c r="D3101" s="2">
        <f>633294016/(10^6)</f>
        <v>633.294016</v>
      </c>
      <c r="E3101" s="5" t="s">
        <v>86</v>
      </c>
      <c r="F3101" s="5">
        <v>2.44513893127441</v>
      </c>
      <c r="G3101" s="5">
        <v>358.028167724609</v>
      </c>
      <c r="H3101" s="5" t="s">
        <v>86</v>
      </c>
      <c r="I3101" t="s">
        <v>57</v>
      </c>
    </row>
    <row r="3102" spans="1:9">
      <c r="A3102" s="4" t="s">
        <v>6258</v>
      </c>
      <c r="B3102" s="4" t="s">
        <v>6259</v>
      </c>
      <c r="C3102" s="4" t="s">
        <v>47</v>
      </c>
      <c r="D3102" s="2">
        <f>632506432/(10^6)</f>
        <v>632.506432</v>
      </c>
      <c r="E3102" s="5" t="s">
        <v>86</v>
      </c>
      <c r="F3102" s="5">
        <v>1.85209441184998</v>
      </c>
      <c r="G3102" s="5" t="s">
        <v>86</v>
      </c>
      <c r="H3102" s="5" t="s">
        <v>86</v>
      </c>
      <c r="I3102" t="s">
        <v>57</v>
      </c>
    </row>
    <row r="3103" spans="1:9">
      <c r="A3103" s="4" t="s">
        <v>6260</v>
      </c>
      <c r="B3103" s="4" t="s">
        <v>6261</v>
      </c>
      <c r="C3103" s="4" t="s">
        <v>43</v>
      </c>
      <c r="D3103" s="2">
        <f>632211264/(10^6)</f>
        <v>632.211264</v>
      </c>
      <c r="E3103" s="5">
        <v>7.442702293396</v>
      </c>
      <c r="F3103" s="5">
        <v>0.827033519744873</v>
      </c>
      <c r="G3103" s="5">
        <v>1.78183901309967</v>
      </c>
      <c r="H3103" s="5" t="s">
        <v>86</v>
      </c>
      <c r="I3103" t="s">
        <v>57</v>
      </c>
    </row>
    <row r="3104" spans="1:9">
      <c r="A3104" s="4" t="s">
        <v>6262</v>
      </c>
      <c r="B3104" s="4" t="s">
        <v>6263</v>
      </c>
      <c r="C3104" s="4" t="s">
        <v>33</v>
      </c>
      <c r="D3104" s="2">
        <f>632081152/(10^6)</f>
        <v>632.081152</v>
      </c>
      <c r="E3104" s="5" t="s">
        <v>86</v>
      </c>
      <c r="F3104" s="5" t="s">
        <v>86</v>
      </c>
      <c r="G3104" s="5" t="s">
        <v>86</v>
      </c>
      <c r="H3104" s="5" t="s">
        <v>86</v>
      </c>
      <c r="I3104" t="s">
        <v>57</v>
      </c>
    </row>
    <row r="3105" spans="1:9">
      <c r="A3105" s="4" t="s">
        <v>6264</v>
      </c>
      <c r="B3105" s="4" t="s">
        <v>6265</v>
      </c>
      <c r="C3105" s="4" t="s">
        <v>31</v>
      </c>
      <c r="D3105" s="2">
        <f>631461504/(10^6)</f>
        <v>631.461504</v>
      </c>
      <c r="E3105" s="5">
        <v>7.119544506073</v>
      </c>
      <c r="F3105" s="5">
        <v>0.679429233074188</v>
      </c>
      <c r="G3105" s="5">
        <v>0.280388832092285</v>
      </c>
      <c r="H3105" s="5">
        <v>6.23683071136475</v>
      </c>
      <c r="I3105" t="s">
        <v>57</v>
      </c>
    </row>
    <row r="3106" spans="1:9">
      <c r="A3106" s="4" t="s">
        <v>6266</v>
      </c>
      <c r="B3106" s="4" t="s">
        <v>6267</v>
      </c>
      <c r="C3106" s="4" t="s">
        <v>27</v>
      </c>
      <c r="D3106" s="2">
        <f>629764480/(10^6)</f>
        <v>629.76448</v>
      </c>
      <c r="E3106" s="5">
        <v>4.40943050384521</v>
      </c>
      <c r="F3106" s="5">
        <v>0.165948554873466</v>
      </c>
      <c r="G3106" s="5">
        <v>0.309156864881516</v>
      </c>
      <c r="H3106" s="5">
        <v>2.2637345790863</v>
      </c>
      <c r="I3106" t="s">
        <v>57</v>
      </c>
    </row>
    <row r="3107" spans="1:9">
      <c r="A3107" s="4" t="s">
        <v>6268</v>
      </c>
      <c r="B3107" s="4" t="s">
        <v>6269</v>
      </c>
      <c r="C3107" s="4" t="s">
        <v>31</v>
      </c>
      <c r="D3107" s="2">
        <f>629138048/(10^6)</f>
        <v>629.138048</v>
      </c>
      <c r="E3107" s="5" t="s">
        <v>86</v>
      </c>
      <c r="F3107" s="5">
        <v>0.515388131141663</v>
      </c>
      <c r="G3107" s="5">
        <v>0.185856953263283</v>
      </c>
      <c r="H3107" s="5">
        <v>99.9946517944336</v>
      </c>
      <c r="I3107" t="s">
        <v>57</v>
      </c>
    </row>
    <row r="3108" spans="1:9">
      <c r="A3108" s="4" t="s">
        <v>6270</v>
      </c>
      <c r="B3108" s="4" t="s">
        <v>6271</v>
      </c>
      <c r="C3108" s="4" t="s">
        <v>47</v>
      </c>
      <c r="D3108" s="2">
        <f>627959872/(10^6)</f>
        <v>627.959872</v>
      </c>
      <c r="E3108" s="5">
        <v>8.41409683227539</v>
      </c>
      <c r="F3108" s="5" t="s">
        <v>86</v>
      </c>
      <c r="G3108" s="5">
        <v>0.391857087612152</v>
      </c>
      <c r="H3108" s="5">
        <v>4.67339706420898</v>
      </c>
      <c r="I3108" t="s">
        <v>57</v>
      </c>
    </row>
    <row r="3109" spans="1:9">
      <c r="A3109" s="4" t="s">
        <v>6272</v>
      </c>
      <c r="B3109" s="4" t="s">
        <v>6273</v>
      </c>
      <c r="C3109" s="4" t="s">
        <v>47</v>
      </c>
      <c r="D3109" s="2">
        <f>626671296/(10^6)</f>
        <v>626.671296</v>
      </c>
      <c r="E3109" s="5" t="s">
        <v>86</v>
      </c>
      <c r="F3109" s="5">
        <v>2.18087601661682</v>
      </c>
      <c r="G3109" s="5">
        <v>1.45772647857666</v>
      </c>
      <c r="H3109" s="5">
        <v>87.7726058959961</v>
      </c>
      <c r="I3109" t="s">
        <v>57</v>
      </c>
    </row>
    <row r="3110" spans="1:9">
      <c r="A3110" s="4" t="s">
        <v>6274</v>
      </c>
      <c r="B3110" s="4" t="s">
        <v>6275</v>
      </c>
      <c r="C3110" s="4" t="s">
        <v>43</v>
      </c>
      <c r="D3110" s="2">
        <f>624304640/(10^6)</f>
        <v>624.30464</v>
      </c>
      <c r="E3110" s="5">
        <v>21.2691192626953</v>
      </c>
      <c r="F3110" s="5">
        <v>0.293342739343643</v>
      </c>
      <c r="G3110" s="5">
        <v>0.762097537517548</v>
      </c>
      <c r="H3110" s="5" t="s">
        <v>86</v>
      </c>
      <c r="I3110" t="s">
        <v>57</v>
      </c>
    </row>
    <row r="3111" spans="1:9">
      <c r="A3111" s="4" t="s">
        <v>6276</v>
      </c>
      <c r="B3111" s="4" t="s">
        <v>6277</v>
      </c>
      <c r="C3111" s="4" t="s">
        <v>51</v>
      </c>
      <c r="D3111" s="2">
        <f>622719680/(10^6)</f>
        <v>622.71968</v>
      </c>
      <c r="E3111" s="5" t="s">
        <v>86</v>
      </c>
      <c r="F3111" s="5">
        <v>3.73149466514587</v>
      </c>
      <c r="G3111" s="5">
        <v>3.0361123085022</v>
      </c>
      <c r="H3111" s="5">
        <v>81.3395462036133</v>
      </c>
      <c r="I3111" t="s">
        <v>57</v>
      </c>
    </row>
    <row r="3112" spans="1:9">
      <c r="A3112" s="4" t="s">
        <v>6278</v>
      </c>
      <c r="B3112" s="4" t="s">
        <v>6279</v>
      </c>
      <c r="C3112" s="4" t="s">
        <v>47</v>
      </c>
      <c r="D3112" s="2">
        <f>621833664/(10^6)</f>
        <v>621.833664</v>
      </c>
      <c r="E3112" s="5">
        <v>7.53541088104248</v>
      </c>
      <c r="F3112" s="5">
        <v>0.587294816970825</v>
      </c>
      <c r="G3112" s="5">
        <v>0.175550103187561</v>
      </c>
      <c r="H3112" s="5">
        <v>3.00939631462097</v>
      </c>
      <c r="I3112" t="s">
        <v>57</v>
      </c>
    </row>
    <row r="3113" spans="1:9">
      <c r="A3113" s="4" t="s">
        <v>6280</v>
      </c>
      <c r="B3113" s="4" t="s">
        <v>6281</v>
      </c>
      <c r="C3113" s="4" t="s">
        <v>51</v>
      </c>
      <c r="D3113" s="2">
        <f>621579712/(10^6)</f>
        <v>621.579712</v>
      </c>
      <c r="E3113" s="5" t="s">
        <v>86</v>
      </c>
      <c r="F3113" s="5">
        <v>2.92286014556885</v>
      </c>
      <c r="G3113" s="5">
        <v>2.55893635749817</v>
      </c>
      <c r="H3113" s="5">
        <v>76.7160873413086</v>
      </c>
      <c r="I3113" t="s">
        <v>57</v>
      </c>
    </row>
    <row r="3114" spans="1:9">
      <c r="A3114" s="4" t="s">
        <v>6282</v>
      </c>
      <c r="B3114" s="4" t="s">
        <v>6283</v>
      </c>
      <c r="C3114" s="4" t="s">
        <v>43</v>
      </c>
      <c r="D3114" s="2">
        <f>620649856/(10^6)</f>
        <v>620.649856</v>
      </c>
      <c r="E3114" s="5">
        <v>23.5925884246826</v>
      </c>
      <c r="F3114" s="5">
        <v>0.831551671028137</v>
      </c>
      <c r="G3114" s="5">
        <v>0.319003880023956</v>
      </c>
      <c r="H3114" s="5" t="s">
        <v>86</v>
      </c>
      <c r="I3114" t="s">
        <v>57</v>
      </c>
    </row>
    <row r="3115" spans="1:9">
      <c r="A3115" s="4" t="s">
        <v>6284</v>
      </c>
      <c r="B3115" s="4" t="s">
        <v>6285</v>
      </c>
      <c r="C3115" s="4" t="s">
        <v>51</v>
      </c>
      <c r="D3115" s="2">
        <f>619712128/(10^6)</f>
        <v>619.712128</v>
      </c>
      <c r="E3115" s="5">
        <v>24.2513103485107</v>
      </c>
      <c r="F3115" s="5">
        <v>1.034383893013</v>
      </c>
      <c r="G3115" s="5">
        <v>0.65143358707428</v>
      </c>
      <c r="H3115" s="5">
        <v>8.04582118988037</v>
      </c>
      <c r="I3115" t="s">
        <v>57</v>
      </c>
    </row>
    <row r="3116" spans="1:9">
      <c r="A3116" s="4" t="s">
        <v>6286</v>
      </c>
      <c r="B3116" s="4" t="s">
        <v>6287</v>
      </c>
      <c r="C3116" s="4" t="s">
        <v>41</v>
      </c>
      <c r="D3116" s="2">
        <f>618587072/(10^6)</f>
        <v>618.587072</v>
      </c>
      <c r="E3116" s="5" t="s">
        <v>86</v>
      </c>
      <c r="F3116" s="5">
        <v>2.19811534881592</v>
      </c>
      <c r="G3116" s="5" t="s">
        <v>86</v>
      </c>
      <c r="H3116" s="5" t="s">
        <v>86</v>
      </c>
      <c r="I3116" t="s">
        <v>57</v>
      </c>
    </row>
    <row r="3117" spans="1:9">
      <c r="A3117" s="4" t="s">
        <v>6288</v>
      </c>
      <c r="B3117" s="4" t="s">
        <v>6289</v>
      </c>
      <c r="C3117" s="4" t="s">
        <v>43</v>
      </c>
      <c r="D3117" s="2">
        <f>617329280/(10^6)</f>
        <v>617.32928</v>
      </c>
      <c r="E3117" s="5">
        <v>9.43598651885986</v>
      </c>
      <c r="F3117" s="5">
        <v>1.51714408397675</v>
      </c>
      <c r="G3117" s="5">
        <v>3.11903309822083</v>
      </c>
      <c r="H3117" s="5" t="s">
        <v>86</v>
      </c>
      <c r="I3117" t="s">
        <v>57</v>
      </c>
    </row>
    <row r="3118" spans="1:9">
      <c r="A3118" s="4" t="s">
        <v>6290</v>
      </c>
      <c r="B3118" s="4" t="s">
        <v>6291</v>
      </c>
      <c r="C3118" s="4" t="s">
        <v>43</v>
      </c>
      <c r="D3118" s="2">
        <f>615957056/(10^6)</f>
        <v>615.957056</v>
      </c>
      <c r="E3118" s="5">
        <v>0.909389734268188</v>
      </c>
      <c r="F3118" s="5">
        <v>0.275912195444107</v>
      </c>
      <c r="G3118" s="5">
        <v>0.235631436109543</v>
      </c>
      <c r="H3118" s="5">
        <v>14.6688623428345</v>
      </c>
      <c r="I3118" t="s">
        <v>57</v>
      </c>
    </row>
    <row r="3119" spans="1:9">
      <c r="A3119" s="4" t="s">
        <v>6292</v>
      </c>
      <c r="B3119" s="4" t="s">
        <v>6293</v>
      </c>
      <c r="C3119" s="4" t="s">
        <v>43</v>
      </c>
      <c r="D3119" s="2">
        <f>615690112/(10^6)</f>
        <v>615.690112</v>
      </c>
      <c r="E3119" s="5">
        <v>6.79888582229614</v>
      </c>
      <c r="F3119" s="5">
        <v>0.732043564319611</v>
      </c>
      <c r="G3119" s="5">
        <v>2.00614547729492</v>
      </c>
      <c r="H3119" s="5" t="s">
        <v>86</v>
      </c>
      <c r="I3119" t="s">
        <v>57</v>
      </c>
    </row>
    <row r="3120" spans="1:9">
      <c r="A3120" s="4" t="s">
        <v>6294</v>
      </c>
      <c r="B3120" s="4" t="s">
        <v>6295</v>
      </c>
      <c r="C3120" s="4" t="s">
        <v>33</v>
      </c>
      <c r="D3120" s="2">
        <f>614900224/(10^6)</f>
        <v>614.900224</v>
      </c>
      <c r="E3120" s="5">
        <v>4.0460844039917</v>
      </c>
      <c r="F3120" s="5" t="s">
        <v>86</v>
      </c>
      <c r="G3120" s="5">
        <v>1.01323807239532</v>
      </c>
      <c r="H3120" s="5">
        <v>5.37749242782593</v>
      </c>
      <c r="I3120" t="s">
        <v>57</v>
      </c>
    </row>
    <row r="3121" spans="1:9">
      <c r="A3121" s="4" t="s">
        <v>6296</v>
      </c>
      <c r="B3121" s="4" t="s">
        <v>6297</v>
      </c>
      <c r="C3121" s="4" t="s">
        <v>31</v>
      </c>
      <c r="D3121" s="2">
        <f>614819840/(10^6)</f>
        <v>614.81984</v>
      </c>
      <c r="E3121" s="5" t="s">
        <v>86</v>
      </c>
      <c r="F3121" s="5" t="s">
        <v>86</v>
      </c>
      <c r="G3121" s="5">
        <v>0.67998480796814</v>
      </c>
      <c r="H3121" s="5" t="s">
        <v>86</v>
      </c>
      <c r="I3121" t="s">
        <v>57</v>
      </c>
    </row>
    <row r="3122" spans="1:9">
      <c r="A3122" s="4" t="s">
        <v>6298</v>
      </c>
      <c r="B3122" s="4" t="s">
        <v>6299</v>
      </c>
      <c r="C3122" s="4" t="s">
        <v>41</v>
      </c>
      <c r="D3122" s="2">
        <f>614652032/(10^6)</f>
        <v>614.652032</v>
      </c>
      <c r="E3122" s="5" t="s">
        <v>86</v>
      </c>
      <c r="F3122" s="5">
        <v>3.26275873184204</v>
      </c>
      <c r="G3122" s="5">
        <v>5.49958992004395</v>
      </c>
      <c r="H3122" s="5" t="s">
        <v>86</v>
      </c>
      <c r="I3122" t="s">
        <v>57</v>
      </c>
    </row>
    <row r="3123" spans="1:9">
      <c r="A3123" s="4" t="s">
        <v>6300</v>
      </c>
      <c r="B3123" s="4" t="s">
        <v>6301</v>
      </c>
      <c r="C3123" s="4" t="s">
        <v>43</v>
      </c>
      <c r="D3123" s="2">
        <f>613961024/(10^6)</f>
        <v>613.961024</v>
      </c>
      <c r="E3123" s="5">
        <v>7.11331796646118</v>
      </c>
      <c r="F3123" s="5">
        <v>0.804427027702332</v>
      </c>
      <c r="G3123" s="5">
        <v>1.45966446399689</v>
      </c>
      <c r="H3123" s="5" t="s">
        <v>86</v>
      </c>
      <c r="I3123" t="s">
        <v>57</v>
      </c>
    </row>
    <row r="3124" spans="1:9">
      <c r="A3124" s="4" t="s">
        <v>6302</v>
      </c>
      <c r="B3124" s="4" t="s">
        <v>6303</v>
      </c>
      <c r="C3124" s="4" t="s">
        <v>47</v>
      </c>
      <c r="D3124" s="2">
        <f>613610496/(10^6)</f>
        <v>613.610496</v>
      </c>
      <c r="E3124" s="5">
        <v>8.51781272888184</v>
      </c>
      <c r="F3124" s="5">
        <v>1.16082608699799</v>
      </c>
      <c r="G3124" s="5">
        <v>0.537396132946014</v>
      </c>
      <c r="H3124" s="5">
        <v>4.96386337280273</v>
      </c>
      <c r="I3124" t="s">
        <v>57</v>
      </c>
    </row>
    <row r="3125" spans="1:9">
      <c r="A3125" s="4" t="s">
        <v>6304</v>
      </c>
      <c r="B3125" s="4" t="s">
        <v>6305</v>
      </c>
      <c r="C3125" s="4" t="s">
        <v>43</v>
      </c>
      <c r="D3125" s="2">
        <f>613299008/(10^6)</f>
        <v>613.299008</v>
      </c>
      <c r="E3125" s="5">
        <v>13.40101146698</v>
      </c>
      <c r="F3125" s="5">
        <v>1.42343664169312</v>
      </c>
      <c r="G3125" s="5">
        <v>3.87024998664856</v>
      </c>
      <c r="H3125" s="5" t="s">
        <v>86</v>
      </c>
      <c r="I3125" t="s">
        <v>57</v>
      </c>
    </row>
    <row r="3126" spans="1:9">
      <c r="A3126" s="4" t="s">
        <v>6306</v>
      </c>
      <c r="B3126" s="4" t="s">
        <v>6307</v>
      </c>
      <c r="C3126" s="4" t="s">
        <v>43</v>
      </c>
      <c r="D3126" s="2">
        <f>613197696/(10^6)</f>
        <v>613.197696</v>
      </c>
      <c r="E3126" s="5">
        <v>8.52910327911377</v>
      </c>
      <c r="F3126" s="5">
        <v>0.823209583759308</v>
      </c>
      <c r="G3126" s="5">
        <v>2.44189786911011</v>
      </c>
      <c r="H3126" s="5" t="s">
        <v>86</v>
      </c>
      <c r="I3126" t="s">
        <v>57</v>
      </c>
    </row>
    <row r="3127" spans="1:9">
      <c r="A3127" s="4" t="s">
        <v>6308</v>
      </c>
      <c r="B3127" s="4" t="s">
        <v>6309</v>
      </c>
      <c r="C3127" s="4" t="s">
        <v>43</v>
      </c>
      <c r="D3127" s="2">
        <f>612582720/(10^6)</f>
        <v>612.58272</v>
      </c>
      <c r="E3127" s="5">
        <v>8.90909004211426</v>
      </c>
      <c r="F3127" s="5">
        <v>1.21666812896728</v>
      </c>
      <c r="G3127" s="5">
        <v>2.30950808525085</v>
      </c>
      <c r="H3127" s="5" t="s">
        <v>86</v>
      </c>
      <c r="I3127" t="s">
        <v>57</v>
      </c>
    </row>
    <row r="3128" spans="1:9">
      <c r="A3128" s="4" t="s">
        <v>6310</v>
      </c>
      <c r="B3128" s="4" t="s">
        <v>6311</v>
      </c>
      <c r="C3128" s="4" t="s">
        <v>41</v>
      </c>
      <c r="D3128" s="2">
        <f>612118912/(10^6)</f>
        <v>612.118912</v>
      </c>
      <c r="E3128" s="5" t="s">
        <v>86</v>
      </c>
      <c r="F3128" s="5">
        <v>3.64550447463989</v>
      </c>
      <c r="G3128" s="5">
        <v>5.91018342971802</v>
      </c>
      <c r="H3128" s="5" t="s">
        <v>86</v>
      </c>
      <c r="I3128" t="s">
        <v>57</v>
      </c>
    </row>
    <row r="3129" spans="1:9">
      <c r="A3129" s="4" t="s">
        <v>6312</v>
      </c>
      <c r="B3129" s="4" t="s">
        <v>6313</v>
      </c>
      <c r="C3129" s="4" t="s">
        <v>41</v>
      </c>
      <c r="D3129" s="2">
        <f>611943232/(10^6)</f>
        <v>611.943232</v>
      </c>
      <c r="E3129" s="5" t="s">
        <v>86</v>
      </c>
      <c r="F3129" s="5">
        <v>4.25828266143799</v>
      </c>
      <c r="G3129" s="5">
        <v>7.31240558624268</v>
      </c>
      <c r="H3129" s="5" t="s">
        <v>86</v>
      </c>
      <c r="I3129" t="s">
        <v>57</v>
      </c>
    </row>
    <row r="3130" spans="1:9">
      <c r="A3130" s="4" t="s">
        <v>6314</v>
      </c>
      <c r="B3130" s="4" t="s">
        <v>6315</v>
      </c>
      <c r="C3130" s="4" t="s">
        <v>41</v>
      </c>
      <c r="D3130" s="2">
        <f>611942016/(10^6)</f>
        <v>611.942016</v>
      </c>
      <c r="E3130" s="5" t="s">
        <v>86</v>
      </c>
      <c r="F3130" s="5" t="s">
        <v>86</v>
      </c>
      <c r="G3130" s="5" t="s">
        <v>86</v>
      </c>
      <c r="H3130" s="5" t="s">
        <v>86</v>
      </c>
      <c r="I3130" t="s">
        <v>57</v>
      </c>
    </row>
    <row r="3131" spans="1:9">
      <c r="A3131" s="4" t="s">
        <v>6316</v>
      </c>
      <c r="B3131" s="4" t="s">
        <v>6317</v>
      </c>
      <c r="C3131" s="4" t="s">
        <v>31</v>
      </c>
      <c r="D3131" s="2">
        <f>610839872/(10^6)</f>
        <v>610.839872</v>
      </c>
      <c r="E3131" s="5">
        <v>11.5996389389038</v>
      </c>
      <c r="F3131" s="5">
        <v>3.47372508049011</v>
      </c>
      <c r="G3131" s="5">
        <v>0.64075493812561</v>
      </c>
      <c r="H3131" s="5">
        <v>7.250807762146</v>
      </c>
      <c r="I3131" t="s">
        <v>57</v>
      </c>
    </row>
    <row r="3132" spans="1:9">
      <c r="A3132" s="4" t="s">
        <v>6318</v>
      </c>
      <c r="B3132" s="4" t="s">
        <v>6319</v>
      </c>
      <c r="C3132" s="4" t="s">
        <v>51</v>
      </c>
      <c r="D3132" s="2">
        <f>608303616/(10^6)</f>
        <v>608.303616</v>
      </c>
      <c r="E3132" s="5">
        <v>37.888858795166</v>
      </c>
      <c r="F3132" s="5">
        <v>1.39334785938263</v>
      </c>
      <c r="G3132" s="5">
        <v>0.564513325691223</v>
      </c>
      <c r="H3132" s="5">
        <v>9.34985542297363</v>
      </c>
      <c r="I3132" t="s">
        <v>57</v>
      </c>
    </row>
    <row r="3133" spans="1:9">
      <c r="A3133" s="4" t="s">
        <v>6320</v>
      </c>
      <c r="B3133" s="4" t="s">
        <v>6321</v>
      </c>
      <c r="C3133" s="4" t="s">
        <v>41</v>
      </c>
      <c r="D3133" s="2">
        <f>608225152/(10^6)</f>
        <v>608.225152</v>
      </c>
      <c r="E3133" s="5" t="s">
        <v>86</v>
      </c>
      <c r="F3133" s="5" t="s">
        <v>86</v>
      </c>
      <c r="G3133" s="5">
        <v>3.49759364128113</v>
      </c>
      <c r="H3133" s="5" t="s">
        <v>86</v>
      </c>
      <c r="I3133" t="s">
        <v>57</v>
      </c>
    </row>
    <row r="3134" spans="1:9">
      <c r="A3134" s="4" t="s">
        <v>6322</v>
      </c>
      <c r="B3134" s="4" t="s">
        <v>6323</v>
      </c>
      <c r="C3134" s="4" t="s">
        <v>35</v>
      </c>
      <c r="D3134" s="2">
        <f>608180288/(10^6)</f>
        <v>608.180288</v>
      </c>
      <c r="E3134" s="5" t="s">
        <v>86</v>
      </c>
      <c r="F3134" s="5" t="s">
        <v>86</v>
      </c>
      <c r="G3134" s="5">
        <v>0.251432001590729</v>
      </c>
      <c r="H3134" s="5">
        <v>14.3500947952271</v>
      </c>
      <c r="I3134" t="s">
        <v>57</v>
      </c>
    </row>
    <row r="3135" spans="1:9">
      <c r="A3135" s="4" t="s">
        <v>6324</v>
      </c>
      <c r="B3135" s="4" t="s">
        <v>6325</v>
      </c>
      <c r="C3135" s="4" t="s">
        <v>41</v>
      </c>
      <c r="D3135" s="2">
        <f>608161216/(10^6)</f>
        <v>608.161216</v>
      </c>
      <c r="E3135" s="5">
        <v>81.906494140625</v>
      </c>
      <c r="F3135" s="5">
        <v>2.14459085464477</v>
      </c>
      <c r="G3135" s="5">
        <v>0.684063315391541</v>
      </c>
      <c r="H3135" s="5">
        <v>50.1113204956055</v>
      </c>
      <c r="I3135" t="s">
        <v>57</v>
      </c>
    </row>
    <row r="3136" spans="1:9">
      <c r="A3136" s="4" t="s">
        <v>6326</v>
      </c>
      <c r="B3136" s="4" t="s">
        <v>6327</v>
      </c>
      <c r="C3136" s="4" t="s">
        <v>43</v>
      </c>
      <c r="D3136" s="2">
        <f>607589248/(10^6)</f>
        <v>607.589248</v>
      </c>
      <c r="E3136" s="5">
        <v>11.1548671722412</v>
      </c>
      <c r="F3136" s="5">
        <v>0.988653063774109</v>
      </c>
      <c r="G3136" s="5">
        <v>1.90575206279755</v>
      </c>
      <c r="H3136" s="5" t="s">
        <v>86</v>
      </c>
      <c r="I3136" t="s">
        <v>57</v>
      </c>
    </row>
    <row r="3137" spans="1:9">
      <c r="A3137" s="4" t="s">
        <v>6328</v>
      </c>
      <c r="B3137" s="4" t="s">
        <v>6329</v>
      </c>
      <c r="C3137" s="4" t="s">
        <v>41</v>
      </c>
      <c r="D3137" s="2">
        <f>607263360/(10^6)</f>
        <v>607.26336</v>
      </c>
      <c r="E3137" s="5" t="s">
        <v>86</v>
      </c>
      <c r="F3137" s="5">
        <v>5.75283479690552</v>
      </c>
      <c r="G3137" s="5">
        <v>8.55021286010742</v>
      </c>
      <c r="H3137" s="5" t="s">
        <v>86</v>
      </c>
      <c r="I3137" t="s">
        <v>57</v>
      </c>
    </row>
    <row r="3138" spans="1:9">
      <c r="A3138" s="4" t="s">
        <v>6330</v>
      </c>
      <c r="B3138" s="4" t="s">
        <v>6331</v>
      </c>
      <c r="C3138" s="4" t="s">
        <v>41</v>
      </c>
      <c r="D3138" s="2">
        <f>606542336/(10^6)</f>
        <v>606.542336</v>
      </c>
      <c r="E3138" s="5">
        <v>145.696228027344</v>
      </c>
      <c r="F3138" s="5">
        <v>2.03897738456726</v>
      </c>
      <c r="G3138" s="5">
        <v>2.08546233177185</v>
      </c>
      <c r="H3138" s="5">
        <v>19.494441986084</v>
      </c>
      <c r="I3138" t="s">
        <v>57</v>
      </c>
    </row>
    <row r="3139" spans="1:9">
      <c r="A3139" s="4" t="s">
        <v>6332</v>
      </c>
      <c r="B3139" s="4" t="s">
        <v>6333</v>
      </c>
      <c r="C3139" s="4" t="s">
        <v>41</v>
      </c>
      <c r="D3139" s="2">
        <f>605891328/(10^6)</f>
        <v>605.891328</v>
      </c>
      <c r="E3139" s="5" t="s">
        <v>86</v>
      </c>
      <c r="F3139" s="5">
        <v>3.63200879096985</v>
      </c>
      <c r="G3139" s="5">
        <v>8.48833560943604</v>
      </c>
      <c r="H3139" s="5" t="s">
        <v>86</v>
      </c>
      <c r="I3139" t="s">
        <v>57</v>
      </c>
    </row>
    <row r="3140" spans="1:9">
      <c r="A3140" s="4" t="s">
        <v>6334</v>
      </c>
      <c r="B3140" s="4" t="s">
        <v>6335</v>
      </c>
      <c r="C3140" s="4" t="s">
        <v>31</v>
      </c>
      <c r="D3140" s="2">
        <f>603918464/(10^6)</f>
        <v>603.918464</v>
      </c>
      <c r="E3140" s="5">
        <v>24.7747650146484</v>
      </c>
      <c r="F3140" s="5">
        <v>0.524126827716827</v>
      </c>
      <c r="G3140" s="5">
        <v>0.204259589314461</v>
      </c>
      <c r="H3140" s="5" t="s">
        <v>86</v>
      </c>
      <c r="I3140" t="s">
        <v>57</v>
      </c>
    </row>
    <row r="3141" spans="1:9">
      <c r="A3141" s="4" t="s">
        <v>6336</v>
      </c>
      <c r="B3141" s="4" t="s">
        <v>6337</v>
      </c>
      <c r="C3141" s="4" t="s">
        <v>41</v>
      </c>
      <c r="D3141" s="2">
        <f>602532160/(10^6)</f>
        <v>602.53216</v>
      </c>
      <c r="E3141" s="5" t="s">
        <v>86</v>
      </c>
      <c r="F3141" s="5">
        <v>0.902211546897888</v>
      </c>
      <c r="G3141" s="5">
        <v>0.149851933121681</v>
      </c>
      <c r="H3141" s="5">
        <v>11.1862268447876</v>
      </c>
      <c r="I3141" t="s">
        <v>57</v>
      </c>
    </row>
    <row r="3142" spans="1:9">
      <c r="A3142" s="4" t="s">
        <v>6338</v>
      </c>
      <c r="B3142" s="4" t="s">
        <v>6339</v>
      </c>
      <c r="C3142" s="4" t="s">
        <v>41</v>
      </c>
      <c r="D3142" s="2">
        <f>602051584/(10^6)</f>
        <v>602.051584</v>
      </c>
      <c r="E3142" s="5" t="s">
        <v>86</v>
      </c>
      <c r="F3142" s="5">
        <v>2.21712779998779</v>
      </c>
      <c r="G3142" s="5">
        <v>13.0477714538574</v>
      </c>
      <c r="H3142" s="5" t="s">
        <v>86</v>
      </c>
      <c r="I3142" t="s">
        <v>57</v>
      </c>
    </row>
    <row r="3143" spans="1:9">
      <c r="A3143" s="4" t="s">
        <v>6340</v>
      </c>
      <c r="B3143" s="4" t="s">
        <v>6341</v>
      </c>
      <c r="C3143" s="4" t="s">
        <v>41</v>
      </c>
      <c r="D3143" s="2">
        <f>601677440/(10^6)</f>
        <v>601.67744</v>
      </c>
      <c r="E3143" s="5" t="s">
        <v>86</v>
      </c>
      <c r="F3143" s="5" t="s">
        <v>86</v>
      </c>
      <c r="G3143" s="5">
        <v>4.92412424087524</v>
      </c>
      <c r="H3143" s="5" t="s">
        <v>86</v>
      </c>
      <c r="I3143" t="s">
        <v>57</v>
      </c>
    </row>
    <row r="3144" spans="1:9">
      <c r="A3144" s="4" t="s">
        <v>6342</v>
      </c>
      <c r="B3144" s="4" t="s">
        <v>6343</v>
      </c>
      <c r="C3144" s="4" t="s">
        <v>47</v>
      </c>
      <c r="D3144" s="2">
        <f>600883776/(10^6)</f>
        <v>600.883776</v>
      </c>
      <c r="E3144" s="5">
        <v>6.91442918777466</v>
      </c>
      <c r="F3144" s="5" t="s">
        <v>86</v>
      </c>
      <c r="G3144" s="5">
        <v>0.051624570041895</v>
      </c>
      <c r="H3144" s="5">
        <v>17.3151397705078</v>
      </c>
      <c r="I3144" t="s">
        <v>57</v>
      </c>
    </row>
    <row r="3145" spans="1:9">
      <c r="A3145" s="4" t="s">
        <v>6344</v>
      </c>
      <c r="B3145" s="4" t="s">
        <v>6345</v>
      </c>
      <c r="C3145" s="4" t="s">
        <v>31</v>
      </c>
      <c r="D3145" s="2">
        <f>600320064/(10^6)</f>
        <v>600.320064</v>
      </c>
      <c r="E3145" s="5">
        <v>8.82249164581299</v>
      </c>
      <c r="F3145" s="5">
        <v>1.23936557769775</v>
      </c>
      <c r="G3145" s="5">
        <v>0.712366878986359</v>
      </c>
      <c r="H3145" s="5">
        <v>5.6725378036499</v>
      </c>
      <c r="I3145" t="s">
        <v>57</v>
      </c>
    </row>
    <row r="3146" spans="1:9">
      <c r="A3146" s="4" t="s">
        <v>6346</v>
      </c>
      <c r="B3146" s="4" t="s">
        <v>6347</v>
      </c>
      <c r="C3146" s="4" t="s">
        <v>47</v>
      </c>
      <c r="D3146" s="2">
        <f>597062912/(10^6)</f>
        <v>597.062912</v>
      </c>
      <c r="E3146" s="5">
        <v>12.5521306991577</v>
      </c>
      <c r="F3146" s="5">
        <v>1.80797207355499</v>
      </c>
      <c r="G3146" s="5">
        <v>1.01476132869721</v>
      </c>
      <c r="H3146" s="5">
        <v>6.21454763412476</v>
      </c>
      <c r="I3146" t="s">
        <v>57</v>
      </c>
    </row>
    <row r="3147" spans="1:9">
      <c r="A3147" s="4" t="s">
        <v>6348</v>
      </c>
      <c r="B3147" s="4" t="s">
        <v>6349</v>
      </c>
      <c r="C3147" s="4" t="s">
        <v>35</v>
      </c>
      <c r="D3147" s="2">
        <f>594867904/(10^6)</f>
        <v>594.867904</v>
      </c>
      <c r="E3147" s="5">
        <v>15.2405366897583</v>
      </c>
      <c r="F3147" s="5">
        <v>0.607537686824799</v>
      </c>
      <c r="G3147" s="5">
        <v>0.071014918386936</v>
      </c>
      <c r="H3147" s="5">
        <v>8.70795440673828</v>
      </c>
      <c r="I3147" t="s">
        <v>57</v>
      </c>
    </row>
    <row r="3148" spans="1:9">
      <c r="A3148" s="4" t="s">
        <v>6350</v>
      </c>
      <c r="B3148" s="4" t="s">
        <v>6351</v>
      </c>
      <c r="C3148" s="4" t="s">
        <v>47</v>
      </c>
      <c r="D3148" s="2">
        <f>594054976/(10^6)</f>
        <v>594.054976</v>
      </c>
      <c r="E3148" s="5">
        <v>5.20010280609131</v>
      </c>
      <c r="F3148" s="5">
        <v>0.635078370571136</v>
      </c>
      <c r="G3148" s="5">
        <v>0.057240050286055</v>
      </c>
      <c r="H3148" s="5">
        <v>6.96056604385376</v>
      </c>
      <c r="I3148" t="s">
        <v>57</v>
      </c>
    </row>
    <row r="3149" spans="1:9">
      <c r="A3149" s="4" t="s">
        <v>6352</v>
      </c>
      <c r="B3149" s="4" t="s">
        <v>6353</v>
      </c>
      <c r="C3149" s="4" t="s">
        <v>41</v>
      </c>
      <c r="D3149" s="2">
        <f>593700544/(10^6)</f>
        <v>593.700544</v>
      </c>
      <c r="E3149" s="5" t="s">
        <v>86</v>
      </c>
      <c r="F3149" s="5">
        <v>2.68239235877991</v>
      </c>
      <c r="G3149" s="5">
        <v>3.32646059989929</v>
      </c>
      <c r="H3149" s="5" t="s">
        <v>86</v>
      </c>
      <c r="I3149" t="s">
        <v>57</v>
      </c>
    </row>
    <row r="3150" spans="1:9">
      <c r="A3150" s="4" t="s">
        <v>6354</v>
      </c>
      <c r="B3150" s="4" t="s">
        <v>6355</v>
      </c>
      <c r="C3150" s="4" t="s">
        <v>47</v>
      </c>
      <c r="D3150" s="2">
        <f>591419264/(10^6)</f>
        <v>591.419264</v>
      </c>
      <c r="E3150" s="5" t="s">
        <v>86</v>
      </c>
      <c r="F3150" s="5">
        <v>7.21636390686035</v>
      </c>
      <c r="G3150" s="5">
        <v>1.40735995769501</v>
      </c>
      <c r="H3150" s="5" t="s">
        <v>86</v>
      </c>
      <c r="I3150" t="s">
        <v>57</v>
      </c>
    </row>
    <row r="3151" spans="1:9">
      <c r="A3151" s="4" t="s">
        <v>6356</v>
      </c>
      <c r="B3151" s="4" t="s">
        <v>6357</v>
      </c>
      <c r="C3151" s="4" t="s">
        <v>43</v>
      </c>
      <c r="D3151" s="2">
        <f>590506304/(10^6)</f>
        <v>590.506304</v>
      </c>
      <c r="E3151" s="5">
        <v>8.67441844940186</v>
      </c>
      <c r="F3151" s="5">
        <v>0.82205468416214</v>
      </c>
      <c r="G3151" s="5">
        <v>2.04362535476685</v>
      </c>
      <c r="H3151" s="5" t="s">
        <v>86</v>
      </c>
      <c r="I3151" t="s">
        <v>57</v>
      </c>
    </row>
    <row r="3152" spans="1:9">
      <c r="A3152" s="4" t="s">
        <v>6358</v>
      </c>
      <c r="B3152" s="4" t="s">
        <v>6359</v>
      </c>
      <c r="C3152" s="4" t="s">
        <v>47</v>
      </c>
      <c r="D3152" s="2">
        <f>590367040/(10^6)</f>
        <v>590.36704</v>
      </c>
      <c r="E3152" s="5">
        <v>21.7771072387695</v>
      </c>
      <c r="F3152" s="5">
        <v>0.319428116083145</v>
      </c>
      <c r="G3152" s="5">
        <v>0.051843974739313</v>
      </c>
      <c r="H3152" s="5" t="s">
        <v>86</v>
      </c>
      <c r="I3152" t="s">
        <v>57</v>
      </c>
    </row>
    <row r="3153" spans="1:9">
      <c r="A3153" s="4" t="s">
        <v>6360</v>
      </c>
      <c r="B3153" s="4" t="s">
        <v>6361</v>
      </c>
      <c r="C3153" s="4" t="s">
        <v>41</v>
      </c>
      <c r="D3153" s="2">
        <f>588737856/(10^6)</f>
        <v>588.737856</v>
      </c>
      <c r="E3153" s="5" t="s">
        <v>86</v>
      </c>
      <c r="F3153" s="5">
        <v>3.15283274650574</v>
      </c>
      <c r="G3153" s="5">
        <v>26.9145088195801</v>
      </c>
      <c r="H3153" s="5" t="s">
        <v>86</v>
      </c>
      <c r="I3153" t="s">
        <v>57</v>
      </c>
    </row>
    <row r="3154" spans="1:9">
      <c r="A3154" s="4" t="s">
        <v>6362</v>
      </c>
      <c r="B3154" s="4" t="s">
        <v>6363</v>
      </c>
      <c r="C3154" s="4" t="s">
        <v>31</v>
      </c>
      <c r="D3154" s="2">
        <f>587059200/(10^6)</f>
        <v>587.0592</v>
      </c>
      <c r="E3154" s="5">
        <v>8.09931087493896</v>
      </c>
      <c r="F3154" s="5">
        <v>0.457989007234573</v>
      </c>
      <c r="G3154" s="5">
        <v>0.183628842234612</v>
      </c>
      <c r="H3154" s="5">
        <v>5.11674165725708</v>
      </c>
      <c r="I3154" t="s">
        <v>57</v>
      </c>
    </row>
    <row r="3155" spans="1:9">
      <c r="A3155" s="4" t="s">
        <v>6364</v>
      </c>
      <c r="B3155" s="4" t="s">
        <v>6365</v>
      </c>
      <c r="C3155" s="4" t="s">
        <v>51</v>
      </c>
      <c r="D3155" s="2">
        <f>587002240/(10^6)</f>
        <v>587.00224</v>
      </c>
      <c r="E3155" s="5">
        <v>34.7843132019043</v>
      </c>
      <c r="F3155" s="5">
        <v>1.37820863723755</v>
      </c>
      <c r="G3155" s="5">
        <v>1.68428885936737</v>
      </c>
      <c r="H3155" s="5">
        <v>13.5945291519165</v>
      </c>
      <c r="I3155" t="s">
        <v>57</v>
      </c>
    </row>
    <row r="3156" spans="1:9">
      <c r="A3156" s="4" t="s">
        <v>6366</v>
      </c>
      <c r="B3156" s="4" t="s">
        <v>6367</v>
      </c>
      <c r="C3156" s="4" t="s">
        <v>43</v>
      </c>
      <c r="D3156" s="2">
        <f>586180864/(10^6)</f>
        <v>586.180864</v>
      </c>
      <c r="E3156" s="5">
        <v>7.23968505859375</v>
      </c>
      <c r="F3156" s="5">
        <v>0.71572345495224</v>
      </c>
      <c r="G3156" s="5">
        <v>1.43258607387543</v>
      </c>
      <c r="H3156" s="5" t="s">
        <v>86</v>
      </c>
      <c r="I3156" t="s">
        <v>57</v>
      </c>
    </row>
    <row r="3157" spans="1:9">
      <c r="A3157" s="4" t="s">
        <v>6368</v>
      </c>
      <c r="B3157" s="4" t="s">
        <v>6369</v>
      </c>
      <c r="C3157" s="4" t="s">
        <v>37</v>
      </c>
      <c r="D3157" s="2">
        <f>584930624/(10^6)</f>
        <v>584.930624</v>
      </c>
      <c r="E3157" s="5" t="s">
        <v>86</v>
      </c>
      <c r="F3157" s="5" t="s">
        <v>86</v>
      </c>
      <c r="G3157" s="5" t="s">
        <v>86</v>
      </c>
      <c r="H3157" s="5" t="s">
        <v>86</v>
      </c>
      <c r="I3157" t="s">
        <v>57</v>
      </c>
    </row>
    <row r="3158" spans="1:9">
      <c r="A3158" s="4" t="s">
        <v>6370</v>
      </c>
      <c r="B3158" s="4" t="s">
        <v>6371</v>
      </c>
      <c r="C3158" s="4" t="s">
        <v>31</v>
      </c>
      <c r="D3158" s="2">
        <f>584786432/(10^6)</f>
        <v>584.786432</v>
      </c>
      <c r="E3158" s="5" t="s">
        <v>86</v>
      </c>
      <c r="F3158" s="5">
        <v>3.04291868209839</v>
      </c>
      <c r="G3158" s="5">
        <v>1.6757493019104</v>
      </c>
      <c r="H3158" s="5" t="s">
        <v>86</v>
      </c>
      <c r="I3158" t="s">
        <v>57</v>
      </c>
    </row>
    <row r="3159" spans="1:9">
      <c r="A3159" s="4" t="s">
        <v>6372</v>
      </c>
      <c r="B3159" s="4" t="s">
        <v>6373</v>
      </c>
      <c r="C3159" s="4" t="s">
        <v>41</v>
      </c>
      <c r="D3159" s="2">
        <f>583465216/(10^6)</f>
        <v>583.465216</v>
      </c>
      <c r="E3159" s="5">
        <v>65.6721496582031</v>
      </c>
      <c r="F3159" s="5">
        <v>14.8726739883423</v>
      </c>
      <c r="G3159" s="5">
        <v>16.1861476898193</v>
      </c>
      <c r="H3159" s="5">
        <v>40.393383026123</v>
      </c>
      <c r="I3159" t="s">
        <v>57</v>
      </c>
    </row>
    <row r="3160" spans="1:9">
      <c r="A3160" s="4" t="s">
        <v>6374</v>
      </c>
      <c r="B3160" s="4" t="s">
        <v>6375</v>
      </c>
      <c r="C3160" s="4" t="s">
        <v>51</v>
      </c>
      <c r="D3160" s="2">
        <f>583457472/(10^6)</f>
        <v>583.457472</v>
      </c>
      <c r="E3160" s="5" t="s">
        <v>86</v>
      </c>
      <c r="F3160" s="5" t="s">
        <v>86</v>
      </c>
      <c r="G3160" s="5">
        <v>2.16731381416321</v>
      </c>
      <c r="H3160" s="5">
        <v>234.306121826172</v>
      </c>
      <c r="I3160" t="s">
        <v>57</v>
      </c>
    </row>
    <row r="3161" spans="1:9">
      <c r="A3161" s="4" t="s">
        <v>6376</v>
      </c>
      <c r="B3161" s="4" t="s">
        <v>6377</v>
      </c>
      <c r="C3161" s="4" t="s">
        <v>41</v>
      </c>
      <c r="D3161" s="2">
        <f>582492992/(10^6)</f>
        <v>582.492992</v>
      </c>
      <c r="E3161" s="5" t="s">
        <v>86</v>
      </c>
      <c r="F3161" s="5">
        <v>3.55140805244446</v>
      </c>
      <c r="G3161" s="5">
        <v>37.1213531494141</v>
      </c>
      <c r="H3161" s="5" t="s">
        <v>86</v>
      </c>
      <c r="I3161" t="s">
        <v>57</v>
      </c>
    </row>
    <row r="3162" spans="1:9">
      <c r="A3162" s="4" t="s">
        <v>6378</v>
      </c>
      <c r="B3162" s="4" t="s">
        <v>6379</v>
      </c>
      <c r="C3162" s="4" t="s">
        <v>47</v>
      </c>
      <c r="D3162" s="2">
        <f>579620672/(10^6)</f>
        <v>579.620672</v>
      </c>
      <c r="E3162" s="5">
        <v>4.47238874435425</v>
      </c>
      <c r="F3162" s="5">
        <v>3.3993935585022</v>
      </c>
      <c r="G3162" s="5">
        <v>0.14300999045372</v>
      </c>
      <c r="H3162" s="5">
        <v>5.36508846282959</v>
      </c>
      <c r="I3162" t="s">
        <v>57</v>
      </c>
    </row>
    <row r="3163" spans="1:9">
      <c r="A3163" s="4" t="s">
        <v>6380</v>
      </c>
      <c r="B3163" s="4" t="s">
        <v>6381</v>
      </c>
      <c r="C3163" s="4" t="s">
        <v>43</v>
      </c>
      <c r="D3163" s="2">
        <f>579274432/(10^6)</f>
        <v>579.274432</v>
      </c>
      <c r="E3163" s="5">
        <v>7.13771057128906</v>
      </c>
      <c r="F3163" s="5">
        <v>0.910820245742798</v>
      </c>
      <c r="G3163" s="5">
        <v>0.854552626609802</v>
      </c>
      <c r="H3163" s="5">
        <v>3.39130401611328</v>
      </c>
      <c r="I3163" t="s">
        <v>57</v>
      </c>
    </row>
    <row r="3164" spans="1:9">
      <c r="A3164" s="4" t="s">
        <v>6382</v>
      </c>
      <c r="B3164" s="4" t="s">
        <v>6383</v>
      </c>
      <c r="C3164" s="4" t="s">
        <v>47</v>
      </c>
      <c r="D3164" s="2">
        <f>579045760/(10^6)</f>
        <v>579.04576</v>
      </c>
      <c r="E3164" s="5">
        <v>8.03869247436523</v>
      </c>
      <c r="F3164" s="5">
        <v>2.56894898414612</v>
      </c>
      <c r="G3164" s="5">
        <v>0.783802568912506</v>
      </c>
      <c r="H3164" s="5">
        <v>5.32673501968384</v>
      </c>
      <c r="I3164" t="s">
        <v>57</v>
      </c>
    </row>
    <row r="3165" spans="1:9">
      <c r="A3165" s="4" t="s">
        <v>6384</v>
      </c>
      <c r="B3165" s="4" t="s">
        <v>6385</v>
      </c>
      <c r="C3165" s="4" t="s">
        <v>31</v>
      </c>
      <c r="D3165" s="2">
        <f>576755328/(10^6)</f>
        <v>576.755328</v>
      </c>
      <c r="E3165" s="5">
        <v>10.5028104782104</v>
      </c>
      <c r="F3165" s="5">
        <v>3.47720217704773</v>
      </c>
      <c r="G3165" s="5">
        <v>0.435323446989059</v>
      </c>
      <c r="H3165" s="5">
        <v>7.3227710723877</v>
      </c>
      <c r="I3165" t="s">
        <v>57</v>
      </c>
    </row>
    <row r="3166" spans="1:9">
      <c r="A3166" s="4" t="s">
        <v>6386</v>
      </c>
      <c r="B3166" s="4" t="s">
        <v>6387</v>
      </c>
      <c r="C3166" s="4" t="s">
        <v>47</v>
      </c>
      <c r="D3166" s="2">
        <f>575591040/(10^6)</f>
        <v>575.59104</v>
      </c>
      <c r="E3166" s="5" t="s">
        <v>86</v>
      </c>
      <c r="F3166" s="5">
        <v>4.3846583366394</v>
      </c>
      <c r="G3166" s="5" t="s">
        <v>86</v>
      </c>
      <c r="H3166" s="5">
        <v>9.88695526123047</v>
      </c>
      <c r="I3166" t="s">
        <v>57</v>
      </c>
    </row>
    <row r="3167" spans="1:9">
      <c r="A3167" s="4" t="s">
        <v>6388</v>
      </c>
      <c r="B3167" s="4" t="s">
        <v>6389</v>
      </c>
      <c r="C3167" s="4" t="s">
        <v>43</v>
      </c>
      <c r="D3167" s="2">
        <f>575560320/(10^6)</f>
        <v>575.56032</v>
      </c>
      <c r="E3167" s="5">
        <v>6.35893583297729</v>
      </c>
      <c r="F3167" s="5">
        <v>1.02737665176392</v>
      </c>
      <c r="G3167" s="5">
        <v>0.869166910648346</v>
      </c>
      <c r="H3167" s="5" t="s">
        <v>86</v>
      </c>
      <c r="I3167" t="s">
        <v>57</v>
      </c>
    </row>
    <row r="3168" spans="1:9">
      <c r="A3168" s="4" t="s">
        <v>6390</v>
      </c>
      <c r="B3168" s="4" t="s">
        <v>6391</v>
      </c>
      <c r="C3168" s="4" t="s">
        <v>43</v>
      </c>
      <c r="D3168" s="2">
        <f>575560320/(10^6)</f>
        <v>575.56032</v>
      </c>
      <c r="E3168" s="5">
        <v>6.35893583297729</v>
      </c>
      <c r="F3168" s="5">
        <v>1.02737665176392</v>
      </c>
      <c r="G3168" s="5">
        <v>0.869166910648346</v>
      </c>
      <c r="H3168" s="5" t="s">
        <v>86</v>
      </c>
      <c r="I3168" t="s">
        <v>57</v>
      </c>
    </row>
    <row r="3169" spans="1:9">
      <c r="A3169" s="4" t="s">
        <v>6392</v>
      </c>
      <c r="B3169" s="4" t="s">
        <v>6393</v>
      </c>
      <c r="C3169" s="4" t="s">
        <v>31</v>
      </c>
      <c r="D3169" s="2">
        <f>575455808/(10^6)</f>
        <v>575.455808</v>
      </c>
      <c r="E3169" s="5">
        <v>8.01759624481201</v>
      </c>
      <c r="F3169" s="5">
        <v>0.320033520460129</v>
      </c>
      <c r="G3169" s="5">
        <v>0.209040209650993</v>
      </c>
      <c r="H3169" s="5">
        <v>726.364074707031</v>
      </c>
      <c r="I3169" t="s">
        <v>57</v>
      </c>
    </row>
    <row r="3170" spans="1:9">
      <c r="A3170" s="4" t="s">
        <v>6394</v>
      </c>
      <c r="B3170" s="4" t="s">
        <v>6395</v>
      </c>
      <c r="C3170" s="4" t="s">
        <v>41</v>
      </c>
      <c r="D3170" s="2">
        <f>573852608/(10^6)</f>
        <v>573.852608</v>
      </c>
      <c r="E3170" s="5" t="s">
        <v>86</v>
      </c>
      <c r="F3170" s="5" t="s">
        <v>86</v>
      </c>
      <c r="G3170" s="5" t="s">
        <v>86</v>
      </c>
      <c r="H3170" s="5" t="s">
        <v>86</v>
      </c>
      <c r="I3170" t="s">
        <v>57</v>
      </c>
    </row>
    <row r="3171" spans="1:9">
      <c r="A3171" s="4" t="s">
        <v>6396</v>
      </c>
      <c r="B3171" s="4" t="s">
        <v>6397</v>
      </c>
      <c r="C3171" s="4" t="s">
        <v>43</v>
      </c>
      <c r="D3171" s="2">
        <f>572796416/(10^6)</f>
        <v>572.796416</v>
      </c>
      <c r="E3171" s="5">
        <v>9.76299285888672</v>
      </c>
      <c r="F3171" s="5">
        <v>0.538729727268219</v>
      </c>
      <c r="G3171" s="5">
        <v>1.75559842586517</v>
      </c>
      <c r="H3171" s="5" t="s">
        <v>86</v>
      </c>
      <c r="I3171" t="s">
        <v>57</v>
      </c>
    </row>
    <row r="3172" spans="1:9">
      <c r="A3172" s="4" t="s">
        <v>6398</v>
      </c>
      <c r="B3172" s="4" t="s">
        <v>6399</v>
      </c>
      <c r="C3172" s="4" t="s">
        <v>49</v>
      </c>
      <c r="D3172" s="2">
        <f>571590080/(10^6)</f>
        <v>571.59008</v>
      </c>
      <c r="E3172" s="5">
        <v>49.9448318481445</v>
      </c>
      <c r="F3172" s="5">
        <v>0.32534447312355</v>
      </c>
      <c r="G3172" s="5" t="s">
        <v>86</v>
      </c>
      <c r="H3172" s="5" t="s">
        <v>86</v>
      </c>
      <c r="I3172" t="s">
        <v>57</v>
      </c>
    </row>
    <row r="3173" spans="1:9">
      <c r="A3173" s="4" t="s">
        <v>6400</v>
      </c>
      <c r="B3173" s="4" t="s">
        <v>6401</v>
      </c>
      <c r="C3173" s="4" t="s">
        <v>41</v>
      </c>
      <c r="D3173" s="2">
        <f>570319744/(10^6)</f>
        <v>570.319744</v>
      </c>
      <c r="E3173" s="5" t="s">
        <v>86</v>
      </c>
      <c r="F3173" s="5">
        <v>4.47966241836548</v>
      </c>
      <c r="G3173" s="5">
        <v>14.9410486221313</v>
      </c>
      <c r="H3173" s="5" t="s">
        <v>86</v>
      </c>
      <c r="I3173" t="s">
        <v>57</v>
      </c>
    </row>
    <row r="3174" spans="1:9">
      <c r="A3174" s="4" t="s">
        <v>6402</v>
      </c>
      <c r="B3174" s="4" t="s">
        <v>6403</v>
      </c>
      <c r="C3174" s="4" t="s">
        <v>31</v>
      </c>
      <c r="D3174" s="2">
        <f>569001984/(10^6)</f>
        <v>569.001984</v>
      </c>
      <c r="E3174" s="5">
        <v>10.1502876281738</v>
      </c>
      <c r="F3174" s="5">
        <v>1.15019631385803</v>
      </c>
      <c r="G3174" s="5">
        <v>0.221522346138954</v>
      </c>
      <c r="H3174" s="5">
        <v>9.0193338394165</v>
      </c>
      <c r="I3174" t="s">
        <v>57</v>
      </c>
    </row>
    <row r="3175" spans="1:9">
      <c r="A3175" s="4" t="s">
        <v>6404</v>
      </c>
      <c r="B3175" s="4" t="s">
        <v>6405</v>
      </c>
      <c r="C3175" s="4" t="s">
        <v>43</v>
      </c>
      <c r="D3175" s="2">
        <f>568677440/(10^6)</f>
        <v>568.67744</v>
      </c>
      <c r="E3175" s="5">
        <v>31.6701641082764</v>
      </c>
      <c r="F3175" s="5">
        <v>1.06777667999268</v>
      </c>
      <c r="G3175" s="5">
        <v>1.91715013980866</v>
      </c>
      <c r="H3175" s="5" t="s">
        <v>86</v>
      </c>
      <c r="I3175" t="s">
        <v>57</v>
      </c>
    </row>
    <row r="3176" spans="1:9">
      <c r="A3176" s="4" t="s">
        <v>6406</v>
      </c>
      <c r="B3176" s="4" t="s">
        <v>6407</v>
      </c>
      <c r="C3176" s="4" t="s">
        <v>43</v>
      </c>
      <c r="D3176" s="2">
        <f>567631872/(10^6)</f>
        <v>567.631872</v>
      </c>
      <c r="E3176" s="5" t="s">
        <v>86</v>
      </c>
      <c r="F3176" s="5">
        <v>0.723169982433319</v>
      </c>
      <c r="G3176" s="5">
        <v>2.15085077285767</v>
      </c>
      <c r="H3176" s="5" t="s">
        <v>86</v>
      </c>
      <c r="I3176" t="s">
        <v>57</v>
      </c>
    </row>
    <row r="3177" spans="1:9">
      <c r="A3177" s="4" t="s">
        <v>6408</v>
      </c>
      <c r="B3177" s="4" t="s">
        <v>6409</v>
      </c>
      <c r="C3177" s="4" t="s">
        <v>43</v>
      </c>
      <c r="D3177" s="2">
        <f>567114944/(10^6)</f>
        <v>567.114944</v>
      </c>
      <c r="E3177" s="5">
        <v>6.71013355255127</v>
      </c>
      <c r="F3177" s="5">
        <v>0.556868553161621</v>
      </c>
      <c r="G3177" s="5">
        <v>2.86288261413574</v>
      </c>
      <c r="H3177" s="5" t="s">
        <v>86</v>
      </c>
      <c r="I3177" t="s">
        <v>57</v>
      </c>
    </row>
    <row r="3178" spans="1:9">
      <c r="A3178" s="4" t="s">
        <v>6410</v>
      </c>
      <c r="B3178" s="4" t="s">
        <v>6411</v>
      </c>
      <c r="C3178" s="4" t="s">
        <v>45</v>
      </c>
      <c r="D3178" s="2">
        <f>566699264/(10^6)</f>
        <v>566.699264</v>
      </c>
      <c r="E3178" s="5">
        <v>11.6310815811157</v>
      </c>
      <c r="F3178" s="5">
        <v>0.686492145061493</v>
      </c>
      <c r="G3178" s="5">
        <v>0.818293988704681</v>
      </c>
      <c r="H3178" s="5">
        <v>10.2379360198975</v>
      </c>
      <c r="I3178" t="s">
        <v>57</v>
      </c>
    </row>
    <row r="3179" spans="1:9">
      <c r="A3179" s="4" t="s">
        <v>6412</v>
      </c>
      <c r="B3179" s="4" t="s">
        <v>6413</v>
      </c>
      <c r="C3179" s="4" t="s">
        <v>33</v>
      </c>
      <c r="D3179" s="2">
        <f>566228224/(10^6)</f>
        <v>566.228224</v>
      </c>
      <c r="E3179" s="5" t="s">
        <v>86</v>
      </c>
      <c r="F3179" s="5">
        <v>1.22242367267609</v>
      </c>
      <c r="G3179" s="5">
        <v>3.74498844146729</v>
      </c>
      <c r="H3179" s="5">
        <v>31.3013153076172</v>
      </c>
      <c r="I3179" t="s">
        <v>57</v>
      </c>
    </row>
    <row r="3180" spans="1:9">
      <c r="A3180" s="4" t="s">
        <v>6414</v>
      </c>
      <c r="B3180" s="4" t="s">
        <v>6415</v>
      </c>
      <c r="C3180" s="4" t="s">
        <v>43</v>
      </c>
      <c r="D3180" s="2">
        <f>565165632/(10^6)</f>
        <v>565.165632</v>
      </c>
      <c r="E3180" s="5" t="s">
        <v>86</v>
      </c>
      <c r="F3180" s="5">
        <v>0.382455617189407</v>
      </c>
      <c r="G3180" s="5">
        <v>1.12957346439362</v>
      </c>
      <c r="H3180" s="5" t="s">
        <v>86</v>
      </c>
      <c r="I3180" t="s">
        <v>57</v>
      </c>
    </row>
    <row r="3181" spans="1:9">
      <c r="A3181" s="4" t="s">
        <v>6416</v>
      </c>
      <c r="B3181" s="4" t="s">
        <v>6417</v>
      </c>
      <c r="C3181" s="4" t="s">
        <v>41</v>
      </c>
      <c r="D3181" s="2">
        <f>561220736/(10^6)</f>
        <v>561.220736</v>
      </c>
      <c r="E3181" s="5" t="s">
        <v>86</v>
      </c>
      <c r="F3181" s="5">
        <v>6.30958318710327</v>
      </c>
      <c r="G3181" s="5">
        <v>1.8468052148819</v>
      </c>
      <c r="H3181" s="5" t="s">
        <v>86</v>
      </c>
      <c r="I3181" t="s">
        <v>57</v>
      </c>
    </row>
    <row r="3182" spans="1:9">
      <c r="A3182" s="4" t="s">
        <v>6418</v>
      </c>
      <c r="B3182" s="4" t="s">
        <v>6419</v>
      </c>
      <c r="C3182" s="4" t="s">
        <v>27</v>
      </c>
      <c r="D3182" s="2">
        <f>561031680/(10^6)</f>
        <v>561.03168</v>
      </c>
      <c r="E3182" s="5">
        <v>3.83938217163086</v>
      </c>
      <c r="F3182" s="5">
        <v>0.513460338115692</v>
      </c>
      <c r="G3182" s="5">
        <v>0.520665407180786</v>
      </c>
      <c r="H3182" s="5">
        <v>6.9094123840332</v>
      </c>
      <c r="I3182" t="s">
        <v>57</v>
      </c>
    </row>
    <row r="3183" spans="1:9">
      <c r="A3183" s="4" t="s">
        <v>6420</v>
      </c>
      <c r="B3183" s="4" t="s">
        <v>6421</v>
      </c>
      <c r="C3183" s="4" t="s">
        <v>51</v>
      </c>
      <c r="D3183" s="2">
        <f>560009088/(10^6)</f>
        <v>560.009088</v>
      </c>
      <c r="E3183" s="5" t="s">
        <v>86</v>
      </c>
      <c r="F3183" s="5">
        <v>2.10530662536621</v>
      </c>
      <c r="G3183" s="5">
        <v>1.30066621303558</v>
      </c>
      <c r="H3183" s="5">
        <v>15.1507253646851</v>
      </c>
      <c r="I3183" t="s">
        <v>57</v>
      </c>
    </row>
    <row r="3184" spans="1:9">
      <c r="A3184" s="4" t="s">
        <v>6422</v>
      </c>
      <c r="B3184" s="4" t="s">
        <v>6423</v>
      </c>
      <c r="C3184" s="4" t="s">
        <v>31</v>
      </c>
      <c r="D3184" s="2">
        <f>559582528/(10^6)</f>
        <v>559.582528</v>
      </c>
      <c r="E3184" s="5">
        <v>7.78194332122803</v>
      </c>
      <c r="F3184" s="5">
        <v>1.08845698833466</v>
      </c>
      <c r="G3184" s="5">
        <v>0.402611821889877</v>
      </c>
      <c r="H3184" s="5">
        <v>7.54218578338623</v>
      </c>
      <c r="I3184" t="s">
        <v>57</v>
      </c>
    </row>
    <row r="3185" spans="1:9">
      <c r="A3185" s="4" t="s">
        <v>6424</v>
      </c>
      <c r="B3185" s="4" t="s">
        <v>6425</v>
      </c>
      <c r="C3185" s="4" t="s">
        <v>43</v>
      </c>
      <c r="D3185" s="2">
        <f>558965952/(10^6)</f>
        <v>558.965952</v>
      </c>
      <c r="E3185" s="5">
        <v>5.87376832962036</v>
      </c>
      <c r="F3185" s="5">
        <v>0.687034666538239</v>
      </c>
      <c r="G3185" s="5">
        <v>1.58270001411438</v>
      </c>
      <c r="H3185" s="5" t="s">
        <v>86</v>
      </c>
      <c r="I3185" t="s">
        <v>57</v>
      </c>
    </row>
    <row r="3186" spans="1:9">
      <c r="A3186" s="4" t="s">
        <v>6426</v>
      </c>
      <c r="B3186" s="4" t="s">
        <v>6427</v>
      </c>
      <c r="C3186" s="4" t="s">
        <v>43</v>
      </c>
      <c r="D3186" s="2">
        <f>558261440/(10^6)</f>
        <v>558.26144</v>
      </c>
      <c r="E3186" s="5">
        <v>16.7655773162842</v>
      </c>
      <c r="F3186" s="5">
        <v>1.12891006469727</v>
      </c>
      <c r="G3186" s="5">
        <v>0.616038203239441</v>
      </c>
      <c r="H3186" s="5" t="s">
        <v>86</v>
      </c>
      <c r="I3186" t="s">
        <v>57</v>
      </c>
    </row>
    <row r="3187" spans="1:9">
      <c r="A3187" s="4" t="s">
        <v>6428</v>
      </c>
      <c r="B3187" s="4" t="s">
        <v>6429</v>
      </c>
      <c r="C3187" s="4" t="s">
        <v>33</v>
      </c>
      <c r="D3187" s="2">
        <f>556326656/(10^6)</f>
        <v>556.326656</v>
      </c>
      <c r="E3187" s="5">
        <v>3.62933373451233</v>
      </c>
      <c r="F3187" s="5">
        <v>0.598007798194885</v>
      </c>
      <c r="G3187" s="5">
        <v>0.18217371404171</v>
      </c>
      <c r="H3187" s="5">
        <v>7.3245735168457</v>
      </c>
      <c r="I3187" t="s">
        <v>57</v>
      </c>
    </row>
    <row r="3188" spans="1:9">
      <c r="A3188" s="4" t="s">
        <v>6430</v>
      </c>
      <c r="B3188" s="4" t="s">
        <v>6431</v>
      </c>
      <c r="C3188" s="4" t="s">
        <v>33</v>
      </c>
      <c r="D3188" s="2">
        <f>556326656/(10^6)</f>
        <v>556.326656</v>
      </c>
      <c r="E3188" s="5">
        <v>3.62933373451233</v>
      </c>
      <c r="F3188" s="5">
        <v>0.598007798194885</v>
      </c>
      <c r="G3188" s="5">
        <v>0.18217371404171</v>
      </c>
      <c r="H3188" s="5">
        <v>7.3245735168457</v>
      </c>
      <c r="I3188" t="s">
        <v>57</v>
      </c>
    </row>
    <row r="3189" spans="1:9">
      <c r="A3189" s="4" t="s">
        <v>6432</v>
      </c>
      <c r="B3189" s="4" t="s">
        <v>6433</v>
      </c>
      <c r="C3189" s="4" t="s">
        <v>43</v>
      </c>
      <c r="D3189" s="2">
        <f>555561984/(10^6)</f>
        <v>555.561984</v>
      </c>
      <c r="E3189" s="5">
        <v>10.8422679901123</v>
      </c>
      <c r="F3189" s="5">
        <v>1.08858907222748</v>
      </c>
      <c r="G3189" s="5">
        <v>2.7579607963562</v>
      </c>
      <c r="H3189" s="5" t="s">
        <v>86</v>
      </c>
      <c r="I3189" t="s">
        <v>57</v>
      </c>
    </row>
    <row r="3190" spans="1:9">
      <c r="A3190" s="4" t="s">
        <v>6434</v>
      </c>
      <c r="B3190" s="4" t="s">
        <v>6435</v>
      </c>
      <c r="C3190" s="4" t="s">
        <v>39</v>
      </c>
      <c r="D3190" s="2">
        <f>554902976/(10^6)</f>
        <v>554.902976</v>
      </c>
      <c r="E3190" s="5">
        <v>38.3781967163086</v>
      </c>
      <c r="F3190" s="5">
        <v>4.1347770690918</v>
      </c>
      <c r="G3190" s="5">
        <v>10.7154493331909</v>
      </c>
      <c r="H3190" s="5">
        <v>20.8405666351318</v>
      </c>
      <c r="I3190" t="s">
        <v>57</v>
      </c>
    </row>
    <row r="3191" spans="1:9">
      <c r="A3191" s="4" t="s">
        <v>6436</v>
      </c>
      <c r="B3191" s="4" t="s">
        <v>6437</v>
      </c>
      <c r="C3191" s="4" t="s">
        <v>31</v>
      </c>
      <c r="D3191" s="2">
        <f>554403584/(10^6)</f>
        <v>554.403584</v>
      </c>
      <c r="E3191" s="5">
        <v>6.11401605606079</v>
      </c>
      <c r="F3191" s="5">
        <v>0.858680665493011</v>
      </c>
      <c r="G3191" s="5">
        <v>0.275830656290054</v>
      </c>
      <c r="H3191" s="5">
        <v>3.73921608924866</v>
      </c>
      <c r="I3191" t="s">
        <v>57</v>
      </c>
    </row>
    <row r="3192" spans="1:9">
      <c r="A3192" s="4" t="s">
        <v>6438</v>
      </c>
      <c r="B3192" s="4" t="s">
        <v>6043</v>
      </c>
      <c r="C3192" s="4" t="s">
        <v>43</v>
      </c>
      <c r="D3192" s="2">
        <f>553902080/(10^6)</f>
        <v>553.90208</v>
      </c>
      <c r="E3192" s="5">
        <v>9.80611324310303</v>
      </c>
      <c r="F3192" s="5">
        <v>1.49889802932739</v>
      </c>
      <c r="G3192" s="5">
        <v>3.21442079544067</v>
      </c>
      <c r="H3192" s="5" t="s">
        <v>86</v>
      </c>
      <c r="I3192" t="s">
        <v>57</v>
      </c>
    </row>
    <row r="3193" spans="1:9">
      <c r="A3193" s="4" t="s">
        <v>6439</v>
      </c>
      <c r="B3193" s="4" t="s">
        <v>6440</v>
      </c>
      <c r="C3193" s="4" t="s">
        <v>31</v>
      </c>
      <c r="D3193" s="2">
        <f>553520704/(10^6)</f>
        <v>553.520704</v>
      </c>
      <c r="E3193" s="5">
        <v>11.239595413208</v>
      </c>
      <c r="F3193" s="5">
        <v>1.12413370609283</v>
      </c>
      <c r="G3193" s="5">
        <v>0.698856949806213</v>
      </c>
      <c r="H3193" s="5">
        <v>6.18801403045654</v>
      </c>
      <c r="I3193" t="s">
        <v>57</v>
      </c>
    </row>
    <row r="3194" spans="1:9">
      <c r="A3194" s="4" t="s">
        <v>6441</v>
      </c>
      <c r="B3194" s="4" t="s">
        <v>6442</v>
      </c>
      <c r="C3194" s="4" t="s">
        <v>43</v>
      </c>
      <c r="D3194" s="2">
        <f>553482752/(10^6)</f>
        <v>553.482752</v>
      </c>
      <c r="E3194" s="5">
        <v>4.8140172958374</v>
      </c>
      <c r="F3194" s="5">
        <v>0.858569264411926</v>
      </c>
      <c r="G3194" s="5">
        <v>0.777866125106812</v>
      </c>
      <c r="H3194" s="5">
        <v>14.2963304519653</v>
      </c>
      <c r="I3194" t="s">
        <v>57</v>
      </c>
    </row>
    <row r="3195" spans="1:9">
      <c r="A3195" s="4" t="s">
        <v>6443</v>
      </c>
      <c r="B3195" s="4" t="s">
        <v>6444</v>
      </c>
      <c r="C3195" s="4" t="s">
        <v>27</v>
      </c>
      <c r="D3195" s="2">
        <f>552732224/(10^6)</f>
        <v>552.732224</v>
      </c>
      <c r="E3195" s="5">
        <v>7.03029870986938</v>
      </c>
      <c r="F3195" s="5">
        <v>0.228982672095299</v>
      </c>
      <c r="G3195" s="5">
        <v>0.192903086543083</v>
      </c>
      <c r="H3195" s="5" t="s">
        <v>86</v>
      </c>
      <c r="I3195" t="s">
        <v>57</v>
      </c>
    </row>
    <row r="3196" spans="1:9">
      <c r="A3196" s="4" t="s">
        <v>6445</v>
      </c>
      <c r="B3196" s="4" t="s">
        <v>6446</v>
      </c>
      <c r="C3196" s="4" t="s">
        <v>31</v>
      </c>
      <c r="D3196" s="2">
        <f>552480896/(10^6)</f>
        <v>552.480896</v>
      </c>
      <c r="E3196" s="5" t="s">
        <v>86</v>
      </c>
      <c r="F3196" s="5">
        <v>1.57428348064423</v>
      </c>
      <c r="G3196" s="5">
        <v>2.13174223899841</v>
      </c>
      <c r="H3196" s="5" t="s">
        <v>86</v>
      </c>
      <c r="I3196" t="s">
        <v>57</v>
      </c>
    </row>
    <row r="3197" spans="1:9">
      <c r="A3197" s="4" t="s">
        <v>6447</v>
      </c>
      <c r="B3197" s="4" t="s">
        <v>6448</v>
      </c>
      <c r="C3197" s="4" t="s">
        <v>43</v>
      </c>
      <c r="D3197" s="2">
        <f>551730816/(10^6)</f>
        <v>551.730816</v>
      </c>
      <c r="E3197" s="5">
        <v>11.9066209793091</v>
      </c>
      <c r="F3197" s="5">
        <v>0.748479425907135</v>
      </c>
      <c r="G3197" s="5">
        <v>1.65876114368439</v>
      </c>
      <c r="H3197" s="5" t="s">
        <v>86</v>
      </c>
      <c r="I3197" t="s">
        <v>57</v>
      </c>
    </row>
    <row r="3198" spans="1:9">
      <c r="A3198" s="4" t="s">
        <v>6449</v>
      </c>
      <c r="B3198" s="4" t="s">
        <v>6450</v>
      </c>
      <c r="C3198" s="4" t="s">
        <v>43</v>
      </c>
      <c r="D3198" s="2">
        <f>551730816/(10^6)</f>
        <v>551.730816</v>
      </c>
      <c r="E3198" s="5">
        <v>11.9066209793091</v>
      </c>
      <c r="F3198" s="5">
        <v>0.748479425907135</v>
      </c>
      <c r="G3198" s="5">
        <v>1.65876114368439</v>
      </c>
      <c r="H3198" s="5" t="s">
        <v>86</v>
      </c>
      <c r="I3198" t="s">
        <v>57</v>
      </c>
    </row>
    <row r="3199" spans="1:9">
      <c r="A3199" s="4" t="s">
        <v>6451</v>
      </c>
      <c r="B3199" s="4" t="s">
        <v>6452</v>
      </c>
      <c r="C3199" s="4" t="s">
        <v>41</v>
      </c>
      <c r="D3199" s="2">
        <f>548952320/(10^6)</f>
        <v>548.95232</v>
      </c>
      <c r="E3199" s="5">
        <v>38.1030349731445</v>
      </c>
      <c r="F3199" s="5">
        <v>3.05277729034424</v>
      </c>
      <c r="G3199" s="5">
        <v>2.81890773773193</v>
      </c>
      <c r="H3199" s="5">
        <v>17.2713203430176</v>
      </c>
      <c r="I3199" t="s">
        <v>57</v>
      </c>
    </row>
    <row r="3200" spans="1:9">
      <c r="A3200" s="4" t="s">
        <v>6453</v>
      </c>
      <c r="B3200" s="4" t="s">
        <v>6454</v>
      </c>
      <c r="C3200" s="4" t="s">
        <v>47</v>
      </c>
      <c r="D3200" s="2">
        <f>545463424/(10^6)</f>
        <v>545.463424</v>
      </c>
      <c r="E3200" s="5">
        <v>15.5299692153931</v>
      </c>
      <c r="F3200" s="5">
        <v>1.9777626991272</v>
      </c>
      <c r="G3200" s="5">
        <v>0.716858685016632</v>
      </c>
      <c r="H3200" s="5">
        <v>10.3691024780273</v>
      </c>
      <c r="I3200" t="s">
        <v>57</v>
      </c>
    </row>
    <row r="3201" spans="1:9">
      <c r="A3201" s="4" t="s">
        <v>6455</v>
      </c>
      <c r="B3201" s="4" t="s">
        <v>6456</v>
      </c>
      <c r="C3201" s="4" t="s">
        <v>43</v>
      </c>
      <c r="D3201" s="2">
        <f>544399104/(10^6)</f>
        <v>544.399104</v>
      </c>
      <c r="E3201" s="5">
        <v>8.45323467254639</v>
      </c>
      <c r="F3201" s="5">
        <v>0.884035706520081</v>
      </c>
      <c r="G3201" s="5">
        <v>2.29843425750732</v>
      </c>
      <c r="H3201" s="5" t="s">
        <v>86</v>
      </c>
      <c r="I3201" t="s">
        <v>57</v>
      </c>
    </row>
    <row r="3202" spans="1:9">
      <c r="A3202" s="4" t="s">
        <v>6457</v>
      </c>
      <c r="B3202" s="4" t="s">
        <v>6458</v>
      </c>
      <c r="C3202" s="4" t="s">
        <v>51</v>
      </c>
      <c r="D3202" s="2">
        <f>544218304/(10^6)</f>
        <v>544.218304</v>
      </c>
      <c r="E3202" s="5">
        <v>41.8148880004883</v>
      </c>
      <c r="F3202" s="5">
        <v>6.54272985458374</v>
      </c>
      <c r="G3202" s="5">
        <v>0.666941821575165</v>
      </c>
      <c r="H3202" s="5">
        <v>30.1033668518066</v>
      </c>
      <c r="I3202" t="s">
        <v>57</v>
      </c>
    </row>
    <row r="3203" spans="1:9">
      <c r="A3203" s="4" t="s">
        <v>6459</v>
      </c>
      <c r="B3203" s="4" t="s">
        <v>6460</v>
      </c>
      <c r="C3203" s="4" t="s">
        <v>51</v>
      </c>
      <c r="D3203" s="2">
        <f>541372992/(10^6)</f>
        <v>541.372992</v>
      </c>
      <c r="E3203" s="5" t="s">
        <v>86</v>
      </c>
      <c r="F3203" s="5">
        <v>1.11912655830383</v>
      </c>
      <c r="G3203" s="5">
        <v>0.921401858329773</v>
      </c>
      <c r="H3203" s="5">
        <v>36.5359115600586</v>
      </c>
      <c r="I3203" t="s">
        <v>57</v>
      </c>
    </row>
    <row r="3204" spans="1:9">
      <c r="A3204" s="4" t="s">
        <v>6461</v>
      </c>
      <c r="B3204" s="4" t="s">
        <v>6462</v>
      </c>
      <c r="C3204" s="4" t="s">
        <v>43</v>
      </c>
      <c r="D3204" s="2">
        <f>538553792/(10^6)</f>
        <v>538.553792</v>
      </c>
      <c r="E3204" s="5">
        <v>6.65676212310791</v>
      </c>
      <c r="F3204" s="5">
        <v>0.795848548412323</v>
      </c>
      <c r="G3204" s="5">
        <v>3.64912343025208</v>
      </c>
      <c r="H3204" s="5" t="s">
        <v>86</v>
      </c>
      <c r="I3204" t="s">
        <v>57</v>
      </c>
    </row>
    <row r="3205" spans="1:9">
      <c r="A3205" s="4" t="s">
        <v>6463</v>
      </c>
      <c r="B3205" s="4" t="s">
        <v>6464</v>
      </c>
      <c r="C3205" s="4" t="s">
        <v>47</v>
      </c>
      <c r="D3205" s="2">
        <f>537653184/(10^6)</f>
        <v>537.653184</v>
      </c>
      <c r="E3205" s="5">
        <v>5.14563226699829</v>
      </c>
      <c r="F3205" s="5" t="s">
        <v>86</v>
      </c>
      <c r="G3205" s="5">
        <v>0.60666960477829</v>
      </c>
      <c r="H3205" s="5">
        <v>9.43849182128906</v>
      </c>
      <c r="I3205" t="s">
        <v>57</v>
      </c>
    </row>
    <row r="3206" spans="1:9">
      <c r="A3206" s="4" t="s">
        <v>6465</v>
      </c>
      <c r="B3206" s="4" t="s">
        <v>6466</v>
      </c>
      <c r="C3206" s="4" t="s">
        <v>27</v>
      </c>
      <c r="D3206" s="2">
        <f>537169280/(10^6)</f>
        <v>537.16928</v>
      </c>
      <c r="E3206" s="5">
        <v>42.8536491394043</v>
      </c>
      <c r="F3206" s="5">
        <v>0.66166365146637</v>
      </c>
      <c r="G3206" s="5">
        <v>0.629022777080536</v>
      </c>
      <c r="H3206" s="5">
        <v>7.40146017074585</v>
      </c>
      <c r="I3206" t="s">
        <v>57</v>
      </c>
    </row>
    <row r="3207" spans="1:9">
      <c r="A3207" s="4" t="s">
        <v>6467</v>
      </c>
      <c r="B3207" s="4" t="s">
        <v>6468</v>
      </c>
      <c r="C3207" s="4" t="s">
        <v>41</v>
      </c>
      <c r="D3207" s="2">
        <f>536412096/(10^6)</f>
        <v>536.412096</v>
      </c>
      <c r="E3207" s="5" t="s">
        <v>86</v>
      </c>
      <c r="F3207" s="5">
        <v>4.1235876083374</v>
      </c>
      <c r="G3207" s="5">
        <v>4.2216625213623</v>
      </c>
      <c r="H3207" s="5" t="s">
        <v>86</v>
      </c>
      <c r="I3207" t="s">
        <v>57</v>
      </c>
    </row>
    <row r="3208" spans="1:9">
      <c r="A3208" s="4" t="s">
        <v>6469</v>
      </c>
      <c r="B3208" s="4" t="s">
        <v>6470</v>
      </c>
      <c r="C3208" s="4" t="s">
        <v>47</v>
      </c>
      <c r="D3208" s="2">
        <f>536224096/(10^6)</f>
        <v>536.224096</v>
      </c>
      <c r="E3208" s="5">
        <v>21.2719993591309</v>
      </c>
      <c r="F3208" s="5">
        <v>4.19907808303833</v>
      </c>
      <c r="G3208" s="5">
        <v>1.95438838005066</v>
      </c>
      <c r="H3208" s="5">
        <v>13.6501922607422</v>
      </c>
      <c r="I3208" t="s">
        <v>57</v>
      </c>
    </row>
    <row r="3209" spans="1:9">
      <c r="A3209" s="4" t="s">
        <v>6471</v>
      </c>
      <c r="B3209" s="4" t="s">
        <v>6472</v>
      </c>
      <c r="C3209" s="4" t="s">
        <v>43</v>
      </c>
      <c r="D3209" s="2">
        <f>535946624/(10^6)</f>
        <v>535.946624</v>
      </c>
      <c r="E3209" s="5">
        <v>6.79902219772339</v>
      </c>
      <c r="F3209" s="5">
        <v>0.874111235141754</v>
      </c>
      <c r="G3209" s="5">
        <v>1.94571447372437</v>
      </c>
      <c r="H3209" s="5" t="s">
        <v>86</v>
      </c>
      <c r="I3209" t="s">
        <v>57</v>
      </c>
    </row>
    <row r="3210" spans="1:9">
      <c r="A3210" s="4" t="s">
        <v>6473</v>
      </c>
      <c r="B3210" s="4" t="s">
        <v>6474</v>
      </c>
      <c r="C3210" s="4" t="s">
        <v>41</v>
      </c>
      <c r="D3210" s="2">
        <f>535773472/(10^6)</f>
        <v>535.773472</v>
      </c>
      <c r="E3210" s="5" t="s">
        <v>86</v>
      </c>
      <c r="F3210" s="5">
        <v>2.52954649925232</v>
      </c>
      <c r="G3210" s="5" t="s">
        <v>86</v>
      </c>
      <c r="H3210" s="5" t="s">
        <v>86</v>
      </c>
      <c r="I3210" t="s">
        <v>57</v>
      </c>
    </row>
    <row r="3211" spans="1:9">
      <c r="A3211" s="4" t="s">
        <v>6475</v>
      </c>
      <c r="B3211" s="4" t="s">
        <v>6476</v>
      </c>
      <c r="C3211" s="4" t="s">
        <v>45</v>
      </c>
      <c r="D3211" s="2">
        <f>534801824/(10^6)</f>
        <v>534.801824</v>
      </c>
      <c r="E3211" s="5" t="s">
        <v>86</v>
      </c>
      <c r="F3211" s="5">
        <v>10.2368793487549</v>
      </c>
      <c r="G3211" s="5">
        <v>0.521999001502991</v>
      </c>
      <c r="H3211" s="5" t="s">
        <v>86</v>
      </c>
      <c r="I3211" t="s">
        <v>57</v>
      </c>
    </row>
    <row r="3212" spans="1:9">
      <c r="A3212" s="4" t="s">
        <v>6477</v>
      </c>
      <c r="B3212" s="4" t="s">
        <v>6478</v>
      </c>
      <c r="C3212" s="4" t="s">
        <v>41</v>
      </c>
      <c r="D3212" s="2">
        <f>534112768/(10^6)</f>
        <v>534.112768</v>
      </c>
      <c r="E3212" s="5">
        <v>19.5791664123535</v>
      </c>
      <c r="F3212" s="5">
        <v>56.2453193664551</v>
      </c>
      <c r="G3212" s="5">
        <v>0.484462141990662</v>
      </c>
      <c r="H3212" s="5">
        <v>7.45001029968262</v>
      </c>
      <c r="I3212" t="s">
        <v>57</v>
      </c>
    </row>
    <row r="3213" spans="1:9">
      <c r="A3213" s="4" t="s">
        <v>6479</v>
      </c>
      <c r="B3213" s="4" t="s">
        <v>6480</v>
      </c>
      <c r="C3213" s="4" t="s">
        <v>41</v>
      </c>
      <c r="D3213" s="2">
        <f>532761280/(10^6)</f>
        <v>532.76128</v>
      </c>
      <c r="E3213" s="5" t="s">
        <v>86</v>
      </c>
      <c r="F3213" s="5">
        <v>7.1492977142334</v>
      </c>
      <c r="G3213" s="5">
        <v>4.86668539047241</v>
      </c>
      <c r="H3213" s="5" t="s">
        <v>86</v>
      </c>
      <c r="I3213" t="s">
        <v>57</v>
      </c>
    </row>
    <row r="3214" spans="1:9">
      <c r="A3214" s="4" t="s">
        <v>6481</v>
      </c>
      <c r="B3214" s="4" t="s">
        <v>6482</v>
      </c>
      <c r="C3214" s="4" t="s">
        <v>51</v>
      </c>
      <c r="D3214" s="2">
        <f>532714720/(10^6)</f>
        <v>532.71472</v>
      </c>
      <c r="E3214" s="5">
        <v>5.05512475967407</v>
      </c>
      <c r="F3214" s="5">
        <v>0.968891739845276</v>
      </c>
      <c r="G3214" s="5">
        <v>0.918590128421783</v>
      </c>
      <c r="H3214" s="5">
        <v>5.90946674346924</v>
      </c>
      <c r="I3214" t="s">
        <v>57</v>
      </c>
    </row>
    <row r="3215" spans="1:9">
      <c r="A3215" s="4" t="s">
        <v>6483</v>
      </c>
      <c r="B3215" s="4" t="s">
        <v>6484</v>
      </c>
      <c r="C3215" s="4" t="s">
        <v>43</v>
      </c>
      <c r="D3215" s="2">
        <f>532709792/(10^6)</f>
        <v>532.709792</v>
      </c>
      <c r="E3215" s="5">
        <v>12.7411766052246</v>
      </c>
      <c r="F3215" s="5">
        <v>0.765347003936768</v>
      </c>
      <c r="G3215" s="5">
        <v>2.81525087356567</v>
      </c>
      <c r="H3215" s="5" t="s">
        <v>86</v>
      </c>
      <c r="I3215" t="s">
        <v>57</v>
      </c>
    </row>
    <row r="3216" spans="1:9">
      <c r="A3216" s="4" t="s">
        <v>6485</v>
      </c>
      <c r="B3216" s="4" t="s">
        <v>6486</v>
      </c>
      <c r="C3216" s="4" t="s">
        <v>51</v>
      </c>
      <c r="D3216" s="2">
        <f>532261760/(10^6)</f>
        <v>532.26176</v>
      </c>
      <c r="E3216" s="5">
        <v>8.83620834350586</v>
      </c>
      <c r="F3216" s="5">
        <v>0.573817670345306</v>
      </c>
      <c r="G3216" s="5">
        <v>0.139232724905014</v>
      </c>
      <c r="H3216" s="5">
        <v>7.90432977676392</v>
      </c>
      <c r="I3216" t="s">
        <v>57</v>
      </c>
    </row>
    <row r="3217" spans="1:9">
      <c r="A3217" s="4" t="s">
        <v>6487</v>
      </c>
      <c r="B3217" s="4" t="s">
        <v>6488</v>
      </c>
      <c r="C3217" s="4" t="s">
        <v>33</v>
      </c>
      <c r="D3217" s="2">
        <f>532260192/(10^6)</f>
        <v>532.260192</v>
      </c>
      <c r="E3217" s="5">
        <v>31.6499996185303</v>
      </c>
      <c r="F3217" s="5">
        <v>3.49410247802734</v>
      </c>
      <c r="G3217" s="5">
        <v>3.95200824737549</v>
      </c>
      <c r="H3217" s="5">
        <v>16.7457580566406</v>
      </c>
      <c r="I3217" t="s">
        <v>57</v>
      </c>
    </row>
    <row r="3218" spans="1:9">
      <c r="A3218" s="4" t="s">
        <v>6489</v>
      </c>
      <c r="B3218" s="4" t="s">
        <v>6490</v>
      </c>
      <c r="C3218" s="4" t="s">
        <v>51</v>
      </c>
      <c r="D3218" s="2">
        <f>532076640/(10^6)</f>
        <v>532.07664</v>
      </c>
      <c r="E3218" s="5">
        <v>20.8798923492432</v>
      </c>
      <c r="F3218" s="5">
        <v>1.94539356231689</v>
      </c>
      <c r="G3218" s="5">
        <v>0.47268071770668</v>
      </c>
      <c r="H3218" s="5">
        <v>8.01574325561523</v>
      </c>
      <c r="I3218" t="s">
        <v>57</v>
      </c>
    </row>
    <row r="3219" spans="1:9">
      <c r="A3219" s="4" t="s">
        <v>6491</v>
      </c>
      <c r="B3219" s="4" t="s">
        <v>6492</v>
      </c>
      <c r="C3219" s="4" t="s">
        <v>43</v>
      </c>
      <c r="D3219" s="2">
        <f>530900928/(10^6)</f>
        <v>530.900928</v>
      </c>
      <c r="E3219" s="5">
        <v>7.32356214523315</v>
      </c>
      <c r="F3219" s="5">
        <v>0.731781423091888</v>
      </c>
      <c r="G3219" s="5">
        <v>1.87274563312531</v>
      </c>
      <c r="H3219" s="5" t="s">
        <v>86</v>
      </c>
      <c r="I3219" t="s">
        <v>57</v>
      </c>
    </row>
    <row r="3220" spans="1:9">
      <c r="A3220" s="4" t="s">
        <v>6493</v>
      </c>
      <c r="B3220" s="4" t="s">
        <v>6494</v>
      </c>
      <c r="C3220" s="4" t="s">
        <v>43</v>
      </c>
      <c r="D3220" s="2">
        <f>529994080/(10^6)</f>
        <v>529.99408</v>
      </c>
      <c r="E3220" s="5">
        <v>5.85962200164795</v>
      </c>
      <c r="F3220" s="5">
        <v>0.640342593193054</v>
      </c>
      <c r="G3220" s="5">
        <v>1.6833393573761</v>
      </c>
      <c r="H3220" s="5" t="s">
        <v>86</v>
      </c>
      <c r="I3220" t="s">
        <v>57</v>
      </c>
    </row>
    <row r="3221" spans="1:9">
      <c r="A3221" s="4" t="s">
        <v>6495</v>
      </c>
      <c r="B3221" s="4" t="s">
        <v>6496</v>
      </c>
      <c r="C3221" s="4" t="s">
        <v>41</v>
      </c>
      <c r="D3221" s="2">
        <f>528239936/(10^6)</f>
        <v>528.239936</v>
      </c>
      <c r="E3221" s="5" t="s">
        <v>86</v>
      </c>
      <c r="F3221" s="5">
        <v>4.745521068573</v>
      </c>
      <c r="G3221" s="5" t="s">
        <v>86</v>
      </c>
      <c r="H3221" s="5" t="s">
        <v>86</v>
      </c>
      <c r="I3221" t="s">
        <v>57</v>
      </c>
    </row>
    <row r="3222" spans="1:9">
      <c r="A3222" s="4" t="s">
        <v>6497</v>
      </c>
      <c r="B3222" s="4" t="s">
        <v>6498</v>
      </c>
      <c r="C3222" s="4" t="s">
        <v>47</v>
      </c>
      <c r="D3222" s="2">
        <f>525337216/(10^6)</f>
        <v>525.337216</v>
      </c>
      <c r="E3222" s="5">
        <v>4.94951009750366</v>
      </c>
      <c r="F3222" s="5">
        <v>0.491167962551117</v>
      </c>
      <c r="G3222" s="5">
        <v>0.192671865224838</v>
      </c>
      <c r="H3222" s="5">
        <v>8.7667179107666</v>
      </c>
      <c r="I3222" t="s">
        <v>57</v>
      </c>
    </row>
    <row r="3223" spans="1:9">
      <c r="A3223" s="4" t="s">
        <v>6499</v>
      </c>
      <c r="B3223" s="4" t="s">
        <v>6500</v>
      </c>
      <c r="C3223" s="4" t="s">
        <v>47</v>
      </c>
      <c r="D3223" s="2">
        <f>525273472/(10^6)</f>
        <v>525.273472</v>
      </c>
      <c r="E3223" s="5">
        <v>3.99010324478149</v>
      </c>
      <c r="F3223" s="5">
        <v>0.519935250282288</v>
      </c>
      <c r="G3223" s="5">
        <v>0.20497140288353</v>
      </c>
      <c r="H3223" s="5">
        <v>6.39820575714111</v>
      </c>
      <c r="I3223" t="s">
        <v>57</v>
      </c>
    </row>
    <row r="3224" spans="1:9">
      <c r="A3224" s="4" t="s">
        <v>6501</v>
      </c>
      <c r="B3224" s="4" t="s">
        <v>6502</v>
      </c>
      <c r="C3224" s="4" t="s">
        <v>41</v>
      </c>
      <c r="D3224" s="2">
        <f>523688640/(10^6)</f>
        <v>523.68864</v>
      </c>
      <c r="E3224" s="5" t="s">
        <v>86</v>
      </c>
      <c r="F3224" s="5" t="s">
        <v>86</v>
      </c>
      <c r="G3224" s="5">
        <v>2.6882905960083</v>
      </c>
      <c r="H3224" s="5" t="s">
        <v>86</v>
      </c>
      <c r="I3224" t="s">
        <v>57</v>
      </c>
    </row>
    <row r="3225" spans="1:9">
      <c r="A3225" s="4" t="s">
        <v>6503</v>
      </c>
      <c r="B3225" s="4" t="s">
        <v>6504</v>
      </c>
      <c r="C3225" s="4" t="s">
        <v>43</v>
      </c>
      <c r="D3225" s="2">
        <f>521850720/(10^6)</f>
        <v>521.85072</v>
      </c>
      <c r="E3225" s="5">
        <v>2.18311738967896</v>
      </c>
      <c r="F3225" s="5">
        <v>8.12186336517334</v>
      </c>
      <c r="G3225" s="5">
        <v>0.676775574684143</v>
      </c>
      <c r="H3225" s="5">
        <v>4.01928663253784</v>
      </c>
      <c r="I3225" t="s">
        <v>57</v>
      </c>
    </row>
    <row r="3226" spans="1:9">
      <c r="A3226" s="4" t="s">
        <v>6505</v>
      </c>
      <c r="B3226" s="4" t="s">
        <v>6506</v>
      </c>
      <c r="C3226" s="4" t="s">
        <v>37</v>
      </c>
      <c r="D3226" s="2">
        <f>519733216/(10^6)</f>
        <v>519.733216</v>
      </c>
      <c r="E3226" s="5">
        <v>16.675952911377</v>
      </c>
      <c r="F3226" s="5">
        <v>0.933584332466125</v>
      </c>
      <c r="G3226" s="5">
        <v>0.558028519153595</v>
      </c>
      <c r="H3226" s="5">
        <v>6.56664514541626</v>
      </c>
      <c r="I3226" t="s">
        <v>57</v>
      </c>
    </row>
    <row r="3227" spans="1:9">
      <c r="A3227" s="4" t="s">
        <v>6507</v>
      </c>
      <c r="B3227" s="4" t="s">
        <v>6508</v>
      </c>
      <c r="C3227" s="4" t="s">
        <v>43</v>
      </c>
      <c r="D3227" s="2">
        <f>518197952/(10^6)</f>
        <v>518.197952</v>
      </c>
      <c r="E3227" s="5">
        <v>7.10125732421875</v>
      </c>
      <c r="F3227" s="5">
        <v>0.862190783023834</v>
      </c>
      <c r="G3227" s="5">
        <v>1.945436835289</v>
      </c>
      <c r="H3227" s="5" t="s">
        <v>86</v>
      </c>
      <c r="I3227" t="s">
        <v>57</v>
      </c>
    </row>
    <row r="3228" spans="1:9">
      <c r="A3228" s="4" t="s">
        <v>6509</v>
      </c>
      <c r="B3228" s="4" t="s">
        <v>6510</v>
      </c>
      <c r="C3228" s="4" t="s">
        <v>43</v>
      </c>
      <c r="D3228" s="2">
        <f>517060416/(10^6)</f>
        <v>517.060416</v>
      </c>
      <c r="E3228" s="5">
        <v>3.81222486495972</v>
      </c>
      <c r="F3228" s="5">
        <v>0.425255417823792</v>
      </c>
      <c r="G3228" s="5">
        <v>1.97599256038666</v>
      </c>
      <c r="H3228" s="5">
        <v>16.4242877960205</v>
      </c>
      <c r="I3228" t="s">
        <v>57</v>
      </c>
    </row>
    <row r="3229" spans="1:9">
      <c r="A3229" s="4" t="s">
        <v>6511</v>
      </c>
      <c r="B3229" s="4" t="s">
        <v>6512</v>
      </c>
      <c r="C3229" s="4" t="s">
        <v>35</v>
      </c>
      <c r="D3229" s="2">
        <f>516067424/(10^6)</f>
        <v>516.067424</v>
      </c>
      <c r="E3229" s="5">
        <v>37.804069519043</v>
      </c>
      <c r="F3229" s="5">
        <v>2.12673997879028</v>
      </c>
      <c r="G3229" s="5">
        <v>1.82053637504578</v>
      </c>
      <c r="H3229" s="5">
        <v>10.4463787078857</v>
      </c>
      <c r="I3229" t="s">
        <v>57</v>
      </c>
    </row>
    <row r="3230" spans="1:9">
      <c r="A3230" s="4" t="s">
        <v>6513</v>
      </c>
      <c r="B3230" s="4" t="s">
        <v>6514</v>
      </c>
      <c r="C3230" s="4" t="s">
        <v>51</v>
      </c>
      <c r="D3230" s="2">
        <f>514703552/(10^6)</f>
        <v>514.703552</v>
      </c>
      <c r="E3230" s="5">
        <v>28.6666660308838</v>
      </c>
      <c r="F3230" s="5">
        <v>5.2620735168457</v>
      </c>
      <c r="G3230" s="5">
        <v>4.43437433242798</v>
      </c>
      <c r="H3230" s="5">
        <v>26.6975440979004</v>
      </c>
      <c r="I3230" t="s">
        <v>57</v>
      </c>
    </row>
    <row r="3231" spans="1:9">
      <c r="A3231" s="4" t="s">
        <v>6515</v>
      </c>
      <c r="B3231" s="4" t="s">
        <v>6516</v>
      </c>
      <c r="C3231" s="4" t="s">
        <v>43</v>
      </c>
      <c r="D3231" s="2">
        <f>514016800/(10^6)</f>
        <v>514.0168</v>
      </c>
      <c r="E3231" s="5">
        <v>8.91313457489014</v>
      </c>
      <c r="F3231" s="5">
        <v>0.956152558326721</v>
      </c>
      <c r="G3231" s="5">
        <v>2.4405152797699</v>
      </c>
      <c r="H3231" s="5" t="s">
        <v>86</v>
      </c>
      <c r="I3231" t="s">
        <v>57</v>
      </c>
    </row>
    <row r="3232" spans="1:9">
      <c r="A3232" s="4" t="s">
        <v>6517</v>
      </c>
      <c r="B3232" s="4" t="s">
        <v>6518</v>
      </c>
      <c r="C3232" s="4" t="s">
        <v>31</v>
      </c>
      <c r="D3232" s="2">
        <f>513158304/(10^6)</f>
        <v>513.158304</v>
      </c>
      <c r="E3232" s="5">
        <v>10.7361888885498</v>
      </c>
      <c r="F3232" s="5">
        <v>1.18759405612946</v>
      </c>
      <c r="G3232" s="5">
        <v>0.686143040657043</v>
      </c>
      <c r="H3232" s="5">
        <v>6.47922992706299</v>
      </c>
      <c r="I3232" t="s">
        <v>57</v>
      </c>
    </row>
    <row r="3233" spans="1:9">
      <c r="A3233" s="4" t="s">
        <v>6519</v>
      </c>
      <c r="B3233" s="4" t="s">
        <v>6520</v>
      </c>
      <c r="C3233" s="4" t="s">
        <v>37</v>
      </c>
      <c r="D3233" s="2">
        <f>510591424/(10^6)</f>
        <v>510.591424</v>
      </c>
      <c r="E3233" s="5">
        <v>1.71544969081879</v>
      </c>
      <c r="F3233" s="5">
        <v>0.694237649440765</v>
      </c>
      <c r="G3233" s="5">
        <v>0.404549926519394</v>
      </c>
      <c r="H3233" s="5">
        <v>1.4071033000946</v>
      </c>
      <c r="I3233" t="s">
        <v>57</v>
      </c>
    </row>
    <row r="3234" spans="1:9">
      <c r="A3234" s="4" t="s">
        <v>6521</v>
      </c>
      <c r="B3234" s="4" t="s">
        <v>6522</v>
      </c>
      <c r="C3234" s="4" t="s">
        <v>31</v>
      </c>
      <c r="D3234" s="2">
        <f>507824128/(10^6)</f>
        <v>507.824128</v>
      </c>
      <c r="E3234" s="5">
        <v>2.39586019515991</v>
      </c>
      <c r="F3234" s="5">
        <v>0.471964180469513</v>
      </c>
      <c r="G3234" s="5">
        <v>0.185298636555672</v>
      </c>
      <c r="H3234" s="5">
        <v>2.03653120994568</v>
      </c>
      <c r="I3234" t="s">
        <v>57</v>
      </c>
    </row>
    <row r="3235" spans="1:9">
      <c r="A3235" s="4" t="s">
        <v>6523</v>
      </c>
      <c r="B3235" s="4" t="s">
        <v>6524</v>
      </c>
      <c r="C3235" s="4" t="s">
        <v>43</v>
      </c>
      <c r="D3235" s="2">
        <f>506640288/(10^6)</f>
        <v>506.640288</v>
      </c>
      <c r="E3235" s="5">
        <v>9.11245346069336</v>
      </c>
      <c r="F3235" s="5">
        <v>0.751814126968384</v>
      </c>
      <c r="G3235" s="5">
        <v>1.54659974575043</v>
      </c>
      <c r="H3235" s="5" t="s">
        <v>86</v>
      </c>
      <c r="I3235" t="s">
        <v>57</v>
      </c>
    </row>
    <row r="3236" spans="1:9">
      <c r="A3236" s="4" t="s">
        <v>6525</v>
      </c>
      <c r="B3236" s="4" t="s">
        <v>6526</v>
      </c>
      <c r="C3236" s="4" t="s">
        <v>47</v>
      </c>
      <c r="D3236" s="2">
        <f>506384672/(10^6)</f>
        <v>506.384672</v>
      </c>
      <c r="E3236" s="5">
        <v>3.64706325531006</v>
      </c>
      <c r="F3236" s="5">
        <v>0.598942935466766</v>
      </c>
      <c r="G3236" s="5">
        <v>0.095597967505455</v>
      </c>
      <c r="H3236" s="5">
        <v>2.89079117774963</v>
      </c>
      <c r="I3236" t="s">
        <v>57</v>
      </c>
    </row>
    <row r="3237" spans="1:9">
      <c r="A3237" s="4" t="s">
        <v>6527</v>
      </c>
      <c r="B3237" s="4" t="s">
        <v>6528</v>
      </c>
      <c r="C3237" s="4" t="s">
        <v>31</v>
      </c>
      <c r="D3237" s="2">
        <f>504095584/(10^6)</f>
        <v>504.095584</v>
      </c>
      <c r="E3237" s="5">
        <v>9.75131893157959</v>
      </c>
      <c r="F3237" s="5">
        <v>1.34475243091583</v>
      </c>
      <c r="G3237" s="5">
        <v>0.290786057710648</v>
      </c>
      <c r="H3237" s="5">
        <v>4.63471698760986</v>
      </c>
      <c r="I3237" t="s">
        <v>57</v>
      </c>
    </row>
    <row r="3238" spans="1:9">
      <c r="A3238" s="4" t="s">
        <v>6529</v>
      </c>
      <c r="B3238" s="4" t="s">
        <v>6530</v>
      </c>
      <c r="C3238" s="4" t="s">
        <v>41</v>
      </c>
      <c r="D3238" s="2">
        <f>504081984/(10^6)</f>
        <v>504.081984</v>
      </c>
      <c r="E3238" s="5">
        <v>62.8940582275391</v>
      </c>
      <c r="F3238" s="5">
        <v>1.63399374485016</v>
      </c>
      <c r="G3238" s="5">
        <v>3.24372339248657</v>
      </c>
      <c r="H3238" s="5">
        <v>13.1889343261719</v>
      </c>
      <c r="I3238" t="s">
        <v>57</v>
      </c>
    </row>
    <row r="3239" spans="1:9">
      <c r="A3239" s="4" t="s">
        <v>6531</v>
      </c>
      <c r="B3239" s="4" t="s">
        <v>6532</v>
      </c>
      <c r="C3239" s="4" t="s">
        <v>41</v>
      </c>
      <c r="D3239" s="2">
        <f>502284352/(10^6)</f>
        <v>502.284352</v>
      </c>
      <c r="E3239" s="5" t="s">
        <v>86</v>
      </c>
      <c r="F3239" s="5">
        <v>9.14525318145752</v>
      </c>
      <c r="G3239" s="5">
        <v>5.50820779800415</v>
      </c>
      <c r="H3239" s="5" t="s">
        <v>86</v>
      </c>
      <c r="I3239" t="s">
        <v>57</v>
      </c>
    </row>
    <row r="3240" spans="1:9">
      <c r="A3240" s="4" t="s">
        <v>6533</v>
      </c>
      <c r="B3240" s="4" t="s">
        <v>6534</v>
      </c>
      <c r="C3240" s="4" t="s">
        <v>31</v>
      </c>
      <c r="D3240" s="2">
        <f>502070560/(10^6)</f>
        <v>502.07056</v>
      </c>
      <c r="E3240" s="5">
        <v>7.83734464645386</v>
      </c>
      <c r="F3240" s="5">
        <v>1.79689359664917</v>
      </c>
      <c r="G3240" s="5">
        <v>0.697754561901093</v>
      </c>
      <c r="H3240" s="5">
        <v>4.3708348274231</v>
      </c>
      <c r="I3240" t="s">
        <v>57</v>
      </c>
    </row>
    <row r="3241" spans="1:9">
      <c r="A3241" s="4" t="s">
        <v>6535</v>
      </c>
      <c r="B3241" s="4" t="s">
        <v>6536</v>
      </c>
      <c r="C3241" s="4" t="s">
        <v>31</v>
      </c>
      <c r="D3241" s="2">
        <f>502029312/(10^6)</f>
        <v>502.029312</v>
      </c>
      <c r="E3241" s="5">
        <v>5.24686813354492</v>
      </c>
      <c r="F3241" s="5">
        <v>1.17336761951447</v>
      </c>
      <c r="G3241" s="5">
        <v>0.344801187515259</v>
      </c>
      <c r="H3241" s="5">
        <v>5.29974365234375</v>
      </c>
      <c r="I3241" t="s">
        <v>57</v>
      </c>
    </row>
    <row r="3242" spans="1:9">
      <c r="A3242" s="4" t="s">
        <v>6537</v>
      </c>
      <c r="B3242" s="4" t="s">
        <v>6538</v>
      </c>
      <c r="C3242" s="4" t="s">
        <v>43</v>
      </c>
      <c r="D3242" s="2">
        <f>500915328/(10^6)</f>
        <v>500.915328</v>
      </c>
      <c r="E3242" s="5" t="s">
        <v>86</v>
      </c>
      <c r="F3242" s="5">
        <v>0.288801372051239</v>
      </c>
      <c r="G3242" s="5" t="s">
        <v>86</v>
      </c>
      <c r="H3242" s="5" t="s">
        <v>86</v>
      </c>
      <c r="I3242" t="s">
        <v>57</v>
      </c>
    </row>
    <row r="3243" spans="1:9">
      <c r="A3243" s="4" t="s">
        <v>6539</v>
      </c>
      <c r="B3243" s="4" t="s">
        <v>6540</v>
      </c>
      <c r="C3243" s="4" t="s">
        <v>37</v>
      </c>
      <c r="D3243" s="2">
        <f>500606816/(10^6)</f>
        <v>500.606816</v>
      </c>
      <c r="E3243" s="5" t="s">
        <v>86</v>
      </c>
      <c r="F3243" s="5">
        <v>0.861430168151855</v>
      </c>
      <c r="G3243" s="5">
        <v>1.74621760845184</v>
      </c>
      <c r="H3243" s="5" t="s">
        <v>86</v>
      </c>
      <c r="I3243" t="s">
        <v>57</v>
      </c>
    </row>
    <row r="3244" spans="1:9">
      <c r="A3244" s="4" t="s">
        <v>6541</v>
      </c>
      <c r="B3244" s="4" t="s">
        <v>6542</v>
      </c>
      <c r="C3244" s="4" t="s">
        <v>31</v>
      </c>
      <c r="D3244" s="2">
        <f>498676832/(10^6)</f>
        <v>498.676832</v>
      </c>
      <c r="E3244" s="5">
        <v>8.83843612670898</v>
      </c>
      <c r="F3244" s="5">
        <v>0.67018860578537</v>
      </c>
      <c r="G3244" s="5">
        <v>0.310885906219482</v>
      </c>
      <c r="H3244" s="5">
        <v>4.75293302536011</v>
      </c>
      <c r="I3244" t="s">
        <v>57</v>
      </c>
    </row>
    <row r="3245" spans="1:9">
      <c r="A3245" s="4" t="s">
        <v>6543</v>
      </c>
      <c r="B3245" s="4" t="s">
        <v>6544</v>
      </c>
      <c r="C3245" s="4" t="s">
        <v>31</v>
      </c>
      <c r="D3245" s="2">
        <f>497779616/(10^6)</f>
        <v>497.779616</v>
      </c>
      <c r="E3245" s="5">
        <v>4.72475337982178</v>
      </c>
      <c r="F3245" s="5">
        <v>0.641972720623016</v>
      </c>
      <c r="G3245" s="5">
        <v>0.261369854211807</v>
      </c>
      <c r="H3245" s="5">
        <v>4.72819185256958</v>
      </c>
      <c r="I3245" t="s">
        <v>57</v>
      </c>
    </row>
    <row r="3246" spans="1:9">
      <c r="A3246" s="4" t="s">
        <v>6545</v>
      </c>
      <c r="B3246" s="4" t="s">
        <v>6546</v>
      </c>
      <c r="C3246" s="4" t="s">
        <v>41</v>
      </c>
      <c r="D3246" s="2">
        <f>497698176/(10^6)</f>
        <v>497.698176</v>
      </c>
      <c r="E3246" s="5">
        <v>78.4703826904297</v>
      </c>
      <c r="F3246" s="5">
        <v>1.50668585300446</v>
      </c>
      <c r="G3246" s="5">
        <v>1.06664717197418</v>
      </c>
      <c r="H3246" s="5">
        <v>56.3285255432129</v>
      </c>
      <c r="I3246" t="s">
        <v>57</v>
      </c>
    </row>
    <row r="3247" spans="1:9">
      <c r="A3247" s="4" t="s">
        <v>6547</v>
      </c>
      <c r="B3247" s="4" t="s">
        <v>6548</v>
      </c>
      <c r="C3247" s="4" t="s">
        <v>41</v>
      </c>
      <c r="D3247" s="2">
        <f>497116832/(10^6)</f>
        <v>497.116832</v>
      </c>
      <c r="E3247" s="5" t="s">
        <v>86</v>
      </c>
      <c r="F3247" s="5">
        <v>2.65994024276733</v>
      </c>
      <c r="G3247" s="5">
        <v>69.494514465332</v>
      </c>
      <c r="H3247" s="5" t="s">
        <v>86</v>
      </c>
      <c r="I3247" t="s">
        <v>57</v>
      </c>
    </row>
    <row r="3248" spans="1:9">
      <c r="A3248" s="4" t="s">
        <v>6549</v>
      </c>
      <c r="B3248" s="4" t="s">
        <v>6550</v>
      </c>
      <c r="C3248" s="4" t="s">
        <v>41</v>
      </c>
      <c r="D3248" s="2">
        <f>496404576/(10^6)</f>
        <v>496.404576</v>
      </c>
      <c r="E3248" s="5" t="s">
        <v>86</v>
      </c>
      <c r="F3248" s="5">
        <v>56.2445030212402</v>
      </c>
      <c r="G3248" s="5" t="s">
        <v>86</v>
      </c>
      <c r="H3248" s="5" t="s">
        <v>86</v>
      </c>
      <c r="I3248" t="s">
        <v>57</v>
      </c>
    </row>
    <row r="3249" spans="1:9">
      <c r="A3249" s="4" t="s">
        <v>6551</v>
      </c>
      <c r="B3249" s="4" t="s">
        <v>6552</v>
      </c>
      <c r="C3249" s="4" t="s">
        <v>31</v>
      </c>
      <c r="D3249" s="2">
        <f>495393376/(10^6)</f>
        <v>495.393376</v>
      </c>
      <c r="E3249" s="5">
        <v>9.08794593811035</v>
      </c>
      <c r="F3249" s="5">
        <v>2.41574478149414</v>
      </c>
      <c r="G3249" s="5">
        <v>0.343779653310776</v>
      </c>
      <c r="H3249" s="5">
        <v>8.159348487854</v>
      </c>
      <c r="I3249" t="s">
        <v>57</v>
      </c>
    </row>
    <row r="3250" spans="1:9">
      <c r="A3250" s="4" t="s">
        <v>6553</v>
      </c>
      <c r="B3250" s="4" t="s">
        <v>6554</v>
      </c>
      <c r="C3250" s="4" t="s">
        <v>51</v>
      </c>
      <c r="D3250" s="2">
        <f>495003712/(10^6)</f>
        <v>495.003712</v>
      </c>
      <c r="E3250" s="5">
        <v>16.5631065368652</v>
      </c>
      <c r="F3250" s="5">
        <v>2.02805256843567</v>
      </c>
      <c r="G3250" s="5">
        <v>3.0299665927887</v>
      </c>
      <c r="H3250" s="5">
        <v>5.71222305297852</v>
      </c>
      <c r="I3250" t="s">
        <v>57</v>
      </c>
    </row>
    <row r="3251" spans="1:9">
      <c r="A3251" s="4" t="s">
        <v>6555</v>
      </c>
      <c r="B3251" s="4" t="s">
        <v>6556</v>
      </c>
      <c r="C3251" s="4" t="s">
        <v>49</v>
      </c>
      <c r="D3251" s="2">
        <f>494999968/(10^6)</f>
        <v>494.999968</v>
      </c>
      <c r="E3251" s="5">
        <v>80.1132888793945</v>
      </c>
      <c r="F3251" s="5">
        <v>1.26087951660156</v>
      </c>
      <c r="G3251" s="5">
        <v>59.7014923095703</v>
      </c>
      <c r="H3251" s="5" t="s">
        <v>86</v>
      </c>
      <c r="I3251" t="s">
        <v>57</v>
      </c>
    </row>
    <row r="3252" spans="1:9">
      <c r="A3252" s="4" t="s">
        <v>6557</v>
      </c>
      <c r="B3252" s="4" t="s">
        <v>6558</v>
      </c>
      <c r="C3252" s="4" t="s">
        <v>33</v>
      </c>
      <c r="D3252" s="2">
        <f>494924032/(10^6)</f>
        <v>494.924032</v>
      </c>
      <c r="E3252" s="5">
        <v>11.0191926956177</v>
      </c>
      <c r="F3252" s="5">
        <v>1.42102158069611</v>
      </c>
      <c r="G3252" s="5" t="s">
        <v>86</v>
      </c>
      <c r="H3252" s="5" t="s">
        <v>86</v>
      </c>
      <c r="I3252" t="s">
        <v>57</v>
      </c>
    </row>
    <row r="3253" spans="1:9">
      <c r="A3253" s="4" t="s">
        <v>6559</v>
      </c>
      <c r="B3253" s="4" t="s">
        <v>6560</v>
      </c>
      <c r="C3253" s="4" t="s">
        <v>41</v>
      </c>
      <c r="D3253" s="2">
        <f>494343872/(10^6)</f>
        <v>494.343872</v>
      </c>
      <c r="E3253" s="5" t="s">
        <v>86</v>
      </c>
      <c r="F3253" s="5">
        <v>1.64881002902985</v>
      </c>
      <c r="G3253" s="5" t="s">
        <v>86</v>
      </c>
      <c r="H3253" s="5" t="s">
        <v>86</v>
      </c>
      <c r="I3253" t="s">
        <v>57</v>
      </c>
    </row>
    <row r="3254" spans="1:9">
      <c r="A3254" s="4" t="s">
        <v>6561</v>
      </c>
      <c r="B3254" s="4" t="s">
        <v>6562</v>
      </c>
      <c r="C3254" s="4" t="s">
        <v>31</v>
      </c>
      <c r="D3254" s="2">
        <f>493285888/(10^6)</f>
        <v>493.285888</v>
      </c>
      <c r="E3254" s="5">
        <v>7.48066759109497</v>
      </c>
      <c r="F3254" s="5">
        <v>0.787306547164917</v>
      </c>
      <c r="G3254" s="5">
        <v>0.208947166800499</v>
      </c>
      <c r="H3254" s="5">
        <v>4.42739534378052</v>
      </c>
      <c r="I3254" t="s">
        <v>57</v>
      </c>
    </row>
    <row r="3255" spans="1:9">
      <c r="A3255" s="4" t="s">
        <v>6563</v>
      </c>
      <c r="B3255" s="4" t="s">
        <v>6564</v>
      </c>
      <c r="C3255" s="4" t="s">
        <v>41</v>
      </c>
      <c r="D3255" s="2">
        <f>493055584/(10^6)</f>
        <v>493.055584</v>
      </c>
      <c r="E3255" s="5" t="s">
        <v>86</v>
      </c>
      <c r="F3255" s="5" t="s">
        <v>86</v>
      </c>
      <c r="G3255" s="5" t="s">
        <v>86</v>
      </c>
      <c r="H3255" s="5" t="s">
        <v>86</v>
      </c>
      <c r="I3255" t="s">
        <v>57</v>
      </c>
    </row>
    <row r="3256" spans="1:9">
      <c r="A3256" s="4" t="s">
        <v>6565</v>
      </c>
      <c r="B3256" s="4" t="s">
        <v>6566</v>
      </c>
      <c r="C3256" s="4" t="s">
        <v>41</v>
      </c>
      <c r="D3256" s="2">
        <f>491421344/(10^6)</f>
        <v>491.421344</v>
      </c>
      <c r="E3256" s="5">
        <v>4.32075452804565</v>
      </c>
      <c r="F3256" s="5">
        <v>1.19362545013428</v>
      </c>
      <c r="G3256" s="5">
        <v>2.14319229125977</v>
      </c>
      <c r="H3256" s="5">
        <v>6.92430305480957</v>
      </c>
      <c r="I3256" t="s">
        <v>57</v>
      </c>
    </row>
    <row r="3257" spans="1:9">
      <c r="A3257" s="4" t="s">
        <v>6567</v>
      </c>
      <c r="B3257" s="4" t="s">
        <v>6568</v>
      </c>
      <c r="C3257" s="4" t="s">
        <v>31</v>
      </c>
      <c r="D3257" s="2">
        <f>491005792/(10^6)</f>
        <v>491.005792</v>
      </c>
      <c r="E3257" s="5">
        <v>7.68505668640137</v>
      </c>
      <c r="F3257" s="5">
        <v>0.645276010036469</v>
      </c>
      <c r="G3257" s="5">
        <v>0.16560672223568</v>
      </c>
      <c r="H3257" s="5">
        <v>2.86866903305054</v>
      </c>
      <c r="I3257" t="s">
        <v>57</v>
      </c>
    </row>
    <row r="3258" spans="1:9">
      <c r="A3258" s="4" t="s">
        <v>6569</v>
      </c>
      <c r="B3258" s="4" t="s">
        <v>6570</v>
      </c>
      <c r="C3258" s="4" t="s">
        <v>31</v>
      </c>
      <c r="D3258" s="2">
        <f>490702720/(10^6)</f>
        <v>490.70272</v>
      </c>
      <c r="E3258" s="5">
        <v>5.11706972122192</v>
      </c>
      <c r="F3258" s="5">
        <v>1.59470427036285</v>
      </c>
      <c r="G3258" s="5">
        <v>0.363834500312805</v>
      </c>
      <c r="H3258" s="5">
        <v>3.75818014144898</v>
      </c>
      <c r="I3258" t="s">
        <v>57</v>
      </c>
    </row>
    <row r="3259" spans="1:9">
      <c r="A3259" s="4" t="s">
        <v>6571</v>
      </c>
      <c r="B3259" s="4" t="s">
        <v>6572</v>
      </c>
      <c r="C3259" s="4" t="s">
        <v>43</v>
      </c>
      <c r="D3259" s="2">
        <f>489133472/(10^6)</f>
        <v>489.133472</v>
      </c>
      <c r="E3259" s="5">
        <v>6.5385217666626</v>
      </c>
      <c r="F3259" s="5">
        <v>0.52534008026123</v>
      </c>
      <c r="G3259" s="5">
        <v>3.33170747756958</v>
      </c>
      <c r="H3259" s="5">
        <v>6.82231664657593</v>
      </c>
      <c r="I3259" t="s">
        <v>57</v>
      </c>
    </row>
    <row r="3260" spans="1:9">
      <c r="A3260" s="4" t="s">
        <v>6573</v>
      </c>
      <c r="B3260" s="4" t="s">
        <v>6574</v>
      </c>
      <c r="C3260" s="4" t="s">
        <v>37</v>
      </c>
      <c r="D3260" s="2">
        <f>488174592/(10^6)</f>
        <v>488.174592</v>
      </c>
      <c r="E3260" s="5">
        <v>5.73637056350708</v>
      </c>
      <c r="F3260" s="5">
        <v>1.04512238502502</v>
      </c>
      <c r="G3260" s="5">
        <v>2.37871694564819</v>
      </c>
      <c r="H3260" s="5">
        <v>2.21590304374695</v>
      </c>
      <c r="I3260" t="s">
        <v>57</v>
      </c>
    </row>
    <row r="3261" spans="1:9">
      <c r="A3261" s="4" t="s">
        <v>6575</v>
      </c>
      <c r="B3261" s="4" t="s">
        <v>6576</v>
      </c>
      <c r="C3261" s="4" t="s">
        <v>37</v>
      </c>
      <c r="D3261" s="2">
        <f>487796864/(10^6)</f>
        <v>487.796864</v>
      </c>
      <c r="E3261" s="5">
        <v>14.7187929153442</v>
      </c>
      <c r="F3261" s="5">
        <v>1.29475283622742</v>
      </c>
      <c r="G3261" s="5">
        <v>0.482418686151505</v>
      </c>
      <c r="H3261" s="5">
        <v>4.41521453857422</v>
      </c>
      <c r="I3261" t="s">
        <v>57</v>
      </c>
    </row>
    <row r="3262" spans="1:9">
      <c r="A3262" s="4" t="s">
        <v>6577</v>
      </c>
      <c r="B3262" s="4" t="s">
        <v>6578</v>
      </c>
      <c r="C3262" s="4" t="s">
        <v>41</v>
      </c>
      <c r="D3262" s="2">
        <f>486027776/(10^6)</f>
        <v>486.027776</v>
      </c>
      <c r="E3262" s="5" t="s">
        <v>86</v>
      </c>
      <c r="F3262" s="5">
        <v>5.68997430801392</v>
      </c>
      <c r="G3262" s="5">
        <v>4.67887163162231</v>
      </c>
      <c r="H3262" s="5">
        <v>53.6436080932617</v>
      </c>
      <c r="I3262" t="s">
        <v>57</v>
      </c>
    </row>
    <row r="3263" spans="1:9">
      <c r="A3263" s="4" t="s">
        <v>6579</v>
      </c>
      <c r="B3263" s="4" t="s">
        <v>6580</v>
      </c>
      <c r="C3263" s="4" t="s">
        <v>31</v>
      </c>
      <c r="D3263" s="2">
        <f>483128800/(10^6)</f>
        <v>483.1288</v>
      </c>
      <c r="E3263" s="5" t="s">
        <v>86</v>
      </c>
      <c r="F3263" s="5">
        <v>3.03798818588257</v>
      </c>
      <c r="G3263" s="5">
        <v>1.0319550037384</v>
      </c>
      <c r="H3263" s="5">
        <v>13.9160594940186</v>
      </c>
      <c r="I3263" t="s">
        <v>57</v>
      </c>
    </row>
    <row r="3264" spans="1:9">
      <c r="A3264" s="4" t="s">
        <v>6581</v>
      </c>
      <c r="B3264" s="4" t="s">
        <v>6582</v>
      </c>
      <c r="C3264" s="4" t="s">
        <v>43</v>
      </c>
      <c r="D3264" s="2">
        <f>482390496/(10^6)</f>
        <v>482.390496</v>
      </c>
      <c r="E3264" s="5">
        <v>9.87356376647949</v>
      </c>
      <c r="F3264" s="5">
        <v>0.782857716083527</v>
      </c>
      <c r="G3264" s="5">
        <v>1.77691614627838</v>
      </c>
      <c r="H3264" s="5" t="s">
        <v>86</v>
      </c>
      <c r="I3264" t="s">
        <v>57</v>
      </c>
    </row>
    <row r="3265" spans="1:9">
      <c r="A3265" s="4" t="s">
        <v>6583</v>
      </c>
      <c r="B3265" s="4" t="s">
        <v>6584</v>
      </c>
      <c r="C3265" s="4" t="s">
        <v>43</v>
      </c>
      <c r="D3265" s="2">
        <f>482190240/(10^6)</f>
        <v>482.19024</v>
      </c>
      <c r="E3265" s="5">
        <v>9.53085994720459</v>
      </c>
      <c r="F3265" s="5">
        <v>0.684931933879852</v>
      </c>
      <c r="G3265" s="5">
        <v>2.03368186950684</v>
      </c>
      <c r="H3265" s="5" t="s">
        <v>86</v>
      </c>
      <c r="I3265" t="s">
        <v>57</v>
      </c>
    </row>
    <row r="3266" spans="1:9">
      <c r="A3266" s="4" t="s">
        <v>6585</v>
      </c>
      <c r="B3266" s="4" t="s">
        <v>6586</v>
      </c>
      <c r="C3266" s="4" t="s">
        <v>41</v>
      </c>
      <c r="D3266" s="2">
        <f>481811904/(10^6)</f>
        <v>481.811904</v>
      </c>
      <c r="E3266" s="5" t="s">
        <v>86</v>
      </c>
      <c r="F3266" s="5">
        <v>3.72985196113586</v>
      </c>
      <c r="G3266" s="5">
        <v>7.54416084289551</v>
      </c>
      <c r="H3266" s="5" t="s">
        <v>86</v>
      </c>
      <c r="I3266" t="s">
        <v>57</v>
      </c>
    </row>
    <row r="3267" spans="1:9">
      <c r="A3267" s="4" t="s">
        <v>6587</v>
      </c>
      <c r="B3267" s="4" t="s">
        <v>6588</v>
      </c>
      <c r="C3267" s="4" t="s">
        <v>41</v>
      </c>
      <c r="D3267" s="2">
        <f>481364224/(10^6)</f>
        <v>481.364224</v>
      </c>
      <c r="E3267" s="5">
        <v>15.8582696914673</v>
      </c>
      <c r="F3267" s="5">
        <v>4.15111684799194</v>
      </c>
      <c r="G3267" s="5">
        <v>1.36039245128632</v>
      </c>
      <c r="H3267" s="5">
        <v>8.95831489562988</v>
      </c>
      <c r="I3267" t="s">
        <v>57</v>
      </c>
    </row>
    <row r="3268" spans="1:9">
      <c r="A3268" s="4" t="s">
        <v>6589</v>
      </c>
      <c r="B3268" s="4" t="s">
        <v>6590</v>
      </c>
      <c r="C3268" s="4" t="s">
        <v>43</v>
      </c>
      <c r="D3268" s="2">
        <f>480735968/(10^6)</f>
        <v>480.735968</v>
      </c>
      <c r="E3268" s="5">
        <v>6.21856880187988</v>
      </c>
      <c r="F3268" s="5">
        <v>1.02150070667267</v>
      </c>
      <c r="G3268" s="5">
        <v>2.06769490242004</v>
      </c>
      <c r="H3268" s="5" t="s">
        <v>86</v>
      </c>
      <c r="I3268" t="s">
        <v>57</v>
      </c>
    </row>
    <row r="3269" spans="1:9">
      <c r="A3269" s="4" t="s">
        <v>6591</v>
      </c>
      <c r="B3269" s="4" t="s">
        <v>6592</v>
      </c>
      <c r="C3269" s="4" t="s">
        <v>43</v>
      </c>
      <c r="D3269" s="2">
        <f>479660384/(10^6)</f>
        <v>479.660384</v>
      </c>
      <c r="E3269" s="5">
        <v>6.6563606262207</v>
      </c>
      <c r="F3269" s="5">
        <v>0.529496610164642</v>
      </c>
      <c r="G3269" s="5">
        <v>3.10036373138428</v>
      </c>
      <c r="H3269" s="5" t="s">
        <v>86</v>
      </c>
      <c r="I3269" t="s">
        <v>57</v>
      </c>
    </row>
    <row r="3270" spans="1:9">
      <c r="A3270" s="4" t="s">
        <v>6593</v>
      </c>
      <c r="B3270" s="4" t="s">
        <v>6594</v>
      </c>
      <c r="C3270" s="4" t="s">
        <v>47</v>
      </c>
      <c r="D3270" s="2">
        <f>478898816/(10^6)</f>
        <v>478.898816</v>
      </c>
      <c r="E3270" s="5">
        <v>16.7402839660645</v>
      </c>
      <c r="F3270" s="5">
        <v>41.6246719360352</v>
      </c>
      <c r="G3270" s="5">
        <v>6.87559461593628</v>
      </c>
      <c r="H3270" s="5">
        <v>10.5330324172974</v>
      </c>
      <c r="I3270" t="s">
        <v>57</v>
      </c>
    </row>
    <row r="3271" spans="1:9">
      <c r="A3271" s="4" t="s">
        <v>6595</v>
      </c>
      <c r="B3271" s="4" t="s">
        <v>6596</v>
      </c>
      <c r="C3271" s="4" t="s">
        <v>49</v>
      </c>
      <c r="D3271" s="2">
        <f>476669472/(10^6)</f>
        <v>476.669472</v>
      </c>
      <c r="E3271" s="5">
        <v>131.176162719727</v>
      </c>
      <c r="F3271" s="5">
        <v>0.278034329414368</v>
      </c>
      <c r="G3271" s="5" t="s">
        <v>86</v>
      </c>
      <c r="H3271" s="5" t="s">
        <v>86</v>
      </c>
      <c r="I3271" t="s">
        <v>57</v>
      </c>
    </row>
    <row r="3272" spans="1:9">
      <c r="A3272" s="4" t="s">
        <v>6597</v>
      </c>
      <c r="B3272" s="4" t="s">
        <v>6598</v>
      </c>
      <c r="C3272" s="4" t="s">
        <v>41</v>
      </c>
      <c r="D3272" s="2">
        <f>475886656/(10^6)</f>
        <v>475.886656</v>
      </c>
      <c r="E3272" s="5" t="s">
        <v>86</v>
      </c>
      <c r="F3272" s="5" t="s">
        <v>86</v>
      </c>
      <c r="G3272" s="5" t="s">
        <v>86</v>
      </c>
      <c r="H3272" s="5" t="s">
        <v>86</v>
      </c>
      <c r="I3272" t="s">
        <v>57</v>
      </c>
    </row>
    <row r="3273" spans="1:9">
      <c r="A3273" s="4" t="s">
        <v>6599</v>
      </c>
      <c r="B3273" s="4" t="s">
        <v>6600</v>
      </c>
      <c r="C3273" s="4" t="s">
        <v>31</v>
      </c>
      <c r="D3273" s="2">
        <f>473212640/(10^6)</f>
        <v>473.21264</v>
      </c>
      <c r="E3273" s="5">
        <v>22.6509304046631</v>
      </c>
      <c r="F3273" s="5">
        <v>1.28196573257446</v>
      </c>
      <c r="G3273" s="5">
        <v>1.14870297908783</v>
      </c>
      <c r="H3273" s="5">
        <v>8.3873872756958</v>
      </c>
      <c r="I3273" t="s">
        <v>57</v>
      </c>
    </row>
    <row r="3274" spans="1:9">
      <c r="A3274" s="4" t="s">
        <v>6601</v>
      </c>
      <c r="B3274" s="4" t="s">
        <v>6602</v>
      </c>
      <c r="C3274" s="4" t="s">
        <v>41</v>
      </c>
      <c r="D3274" s="2">
        <f>472978528/(10^6)</f>
        <v>472.978528</v>
      </c>
      <c r="E3274" s="5">
        <v>27.6395301818848</v>
      </c>
      <c r="F3274" s="5">
        <v>3.0947859287262</v>
      </c>
      <c r="G3274" s="5">
        <v>0.402136385440826</v>
      </c>
      <c r="H3274" s="5">
        <v>6.91043710708618</v>
      </c>
      <c r="I3274" t="s">
        <v>57</v>
      </c>
    </row>
    <row r="3275" spans="1:9">
      <c r="A3275" s="4" t="s">
        <v>6603</v>
      </c>
      <c r="B3275" s="4" t="s">
        <v>6604</v>
      </c>
      <c r="C3275" s="4" t="s">
        <v>43</v>
      </c>
      <c r="D3275" s="2">
        <f>472337344/(10^6)</f>
        <v>472.337344</v>
      </c>
      <c r="E3275" s="5">
        <v>4.20234203338623</v>
      </c>
      <c r="F3275" s="5">
        <v>1.27393925189972</v>
      </c>
      <c r="G3275" s="5">
        <v>0.391283363103867</v>
      </c>
      <c r="H3275" s="5">
        <v>5.82453012466431</v>
      </c>
      <c r="I3275" t="s">
        <v>57</v>
      </c>
    </row>
    <row r="3276" spans="1:9">
      <c r="A3276" s="4" t="s">
        <v>6605</v>
      </c>
      <c r="B3276" s="4" t="s">
        <v>6606</v>
      </c>
      <c r="C3276" s="4" t="s">
        <v>41</v>
      </c>
      <c r="D3276" s="2">
        <f>471427264/(10^6)</f>
        <v>471.427264</v>
      </c>
      <c r="E3276" s="5" t="s">
        <v>86</v>
      </c>
      <c r="F3276" s="5">
        <v>1.72195565700531</v>
      </c>
      <c r="G3276" s="5">
        <v>23.8331642150879</v>
      </c>
      <c r="H3276" s="5" t="s">
        <v>86</v>
      </c>
      <c r="I3276" t="s">
        <v>57</v>
      </c>
    </row>
    <row r="3277" spans="1:9">
      <c r="A3277" s="4" t="s">
        <v>6607</v>
      </c>
      <c r="B3277" s="4" t="s">
        <v>6608</v>
      </c>
      <c r="C3277" s="4" t="s">
        <v>47</v>
      </c>
      <c r="D3277" s="2">
        <f>470570400/(10^6)</f>
        <v>470.5704</v>
      </c>
      <c r="E3277" s="5">
        <v>10.7497844696045</v>
      </c>
      <c r="F3277" s="5" t="s">
        <v>86</v>
      </c>
      <c r="G3277" s="5">
        <v>0.931776523590088</v>
      </c>
      <c r="H3277" s="5">
        <v>4.76165580749512</v>
      </c>
      <c r="I3277" t="s">
        <v>57</v>
      </c>
    </row>
    <row r="3278" spans="1:9">
      <c r="A3278" s="4" t="s">
        <v>6609</v>
      </c>
      <c r="B3278" s="4" t="s">
        <v>6610</v>
      </c>
      <c r="C3278" s="4" t="s">
        <v>31</v>
      </c>
      <c r="D3278" s="2">
        <f>470054176/(10^6)</f>
        <v>470.054176</v>
      </c>
      <c r="E3278" s="5">
        <v>11.6251783370972</v>
      </c>
      <c r="F3278" s="5">
        <v>1.27747046947479</v>
      </c>
      <c r="G3278" s="5">
        <v>1.52861297130585</v>
      </c>
      <c r="H3278" s="5">
        <v>6.21085834503174</v>
      </c>
      <c r="I3278" t="s">
        <v>57</v>
      </c>
    </row>
    <row r="3279" spans="1:9">
      <c r="A3279" s="4" t="s">
        <v>6611</v>
      </c>
      <c r="B3279" s="4" t="s">
        <v>6612</v>
      </c>
      <c r="C3279" s="4" t="s">
        <v>43</v>
      </c>
      <c r="D3279" s="2">
        <f>469992960/(10^6)</f>
        <v>469.99296</v>
      </c>
      <c r="E3279" s="5">
        <v>12.6928787231445</v>
      </c>
      <c r="F3279" s="5">
        <v>0.80470210313797</v>
      </c>
      <c r="G3279" s="5">
        <v>1.94795560836792</v>
      </c>
      <c r="H3279" s="5" t="s">
        <v>86</v>
      </c>
      <c r="I3279" t="s">
        <v>57</v>
      </c>
    </row>
    <row r="3280" spans="1:9">
      <c r="A3280" s="4" t="s">
        <v>6613</v>
      </c>
      <c r="B3280" s="4" t="s">
        <v>6614</v>
      </c>
      <c r="C3280" s="4" t="s">
        <v>35</v>
      </c>
      <c r="D3280" s="2">
        <f>469990400/(10^6)</f>
        <v>469.9904</v>
      </c>
      <c r="E3280" s="5">
        <v>23.5315093994141</v>
      </c>
      <c r="F3280" s="5">
        <v>0.683625400066376</v>
      </c>
      <c r="G3280" s="5">
        <v>0.054612901061773</v>
      </c>
      <c r="H3280" s="5">
        <v>7.28182888031006</v>
      </c>
      <c r="I3280" t="s">
        <v>57</v>
      </c>
    </row>
    <row r="3281" spans="1:9">
      <c r="A3281" s="4" t="s">
        <v>6615</v>
      </c>
      <c r="B3281" s="4" t="s">
        <v>6616</v>
      </c>
      <c r="C3281" s="4" t="s">
        <v>51</v>
      </c>
      <c r="D3281" s="2">
        <f>469107968/(10^6)</f>
        <v>469.107968</v>
      </c>
      <c r="E3281" s="5">
        <v>33.3594970703125</v>
      </c>
      <c r="F3281" s="5">
        <v>2.1013240814209</v>
      </c>
      <c r="G3281" s="5">
        <v>0.74318528175354</v>
      </c>
      <c r="H3281" s="5">
        <v>14.7939596176147</v>
      </c>
      <c r="I3281" t="s">
        <v>57</v>
      </c>
    </row>
    <row r="3282" spans="1:9">
      <c r="A3282" s="4" t="s">
        <v>6617</v>
      </c>
      <c r="B3282" s="4" t="s">
        <v>6618</v>
      </c>
      <c r="C3282" s="4" t="s">
        <v>43</v>
      </c>
      <c r="D3282" s="2">
        <f>468635104/(10^6)</f>
        <v>468.635104</v>
      </c>
      <c r="E3282" s="5">
        <v>8.37600040435791</v>
      </c>
      <c r="F3282" s="5">
        <v>0.761893332004547</v>
      </c>
      <c r="G3282" s="5">
        <v>1.60786890983581</v>
      </c>
      <c r="H3282" s="5" t="s">
        <v>86</v>
      </c>
      <c r="I3282" t="s">
        <v>57</v>
      </c>
    </row>
    <row r="3283" spans="1:9">
      <c r="A3283" s="4" t="s">
        <v>6619</v>
      </c>
      <c r="B3283" s="4" t="s">
        <v>6620</v>
      </c>
      <c r="C3283" s="4" t="s">
        <v>43</v>
      </c>
      <c r="D3283" s="2">
        <f>468054016/(10^6)</f>
        <v>468.054016</v>
      </c>
      <c r="E3283" s="5">
        <v>7.51492977142334</v>
      </c>
      <c r="F3283" s="5">
        <v>0.809133350849152</v>
      </c>
      <c r="G3283" s="5">
        <v>2.39177894592285</v>
      </c>
      <c r="H3283" s="5" t="s">
        <v>86</v>
      </c>
      <c r="I3283" t="s">
        <v>57</v>
      </c>
    </row>
    <row r="3284" spans="1:9">
      <c r="A3284" s="4" t="s">
        <v>6621</v>
      </c>
      <c r="B3284" s="4" t="s">
        <v>6622</v>
      </c>
      <c r="C3284" s="4" t="s">
        <v>49</v>
      </c>
      <c r="D3284" s="2">
        <f>467819200/(10^6)</f>
        <v>467.8192</v>
      </c>
      <c r="E3284" s="5" t="s">
        <v>86</v>
      </c>
      <c r="F3284" s="5">
        <v>1.4057765007019</v>
      </c>
      <c r="G3284" s="5" t="s">
        <v>86</v>
      </c>
      <c r="H3284" s="5" t="s">
        <v>86</v>
      </c>
      <c r="I3284" t="s">
        <v>57</v>
      </c>
    </row>
    <row r="3285" spans="1:9">
      <c r="A3285" s="4" t="s">
        <v>6623</v>
      </c>
      <c r="B3285" s="4" t="s">
        <v>6624</v>
      </c>
      <c r="C3285" s="4" t="s">
        <v>51</v>
      </c>
      <c r="D3285" s="2">
        <f>467144832/(10^6)</f>
        <v>467.144832</v>
      </c>
      <c r="E3285" s="5" t="s">
        <v>86</v>
      </c>
      <c r="F3285" s="5">
        <v>1.83040380477905</v>
      </c>
      <c r="G3285" s="5">
        <v>5.29720067977905</v>
      </c>
      <c r="H3285" s="5">
        <v>59.6858024597168</v>
      </c>
      <c r="I3285" t="s">
        <v>57</v>
      </c>
    </row>
    <row r="3286" spans="1:9">
      <c r="A3286" s="4" t="s">
        <v>6625</v>
      </c>
      <c r="B3286" s="4" t="s">
        <v>6626</v>
      </c>
      <c r="C3286" s="4" t="s">
        <v>47</v>
      </c>
      <c r="D3286" s="2">
        <f>463592896/(10^6)</f>
        <v>463.592896</v>
      </c>
      <c r="E3286" s="5">
        <v>27.0718784332275</v>
      </c>
      <c r="F3286" s="5">
        <v>0.686597883701324</v>
      </c>
      <c r="G3286" s="5">
        <v>0.250672370195389</v>
      </c>
      <c r="H3286" s="5">
        <v>16.3531818389893</v>
      </c>
      <c r="I3286" t="s">
        <v>57</v>
      </c>
    </row>
    <row r="3287" spans="1:9">
      <c r="A3287" s="4" t="s">
        <v>6627</v>
      </c>
      <c r="B3287" s="4" t="s">
        <v>6628</v>
      </c>
      <c r="C3287" s="4" t="s">
        <v>31</v>
      </c>
      <c r="D3287" s="2">
        <f>462152768/(10^6)</f>
        <v>462.152768</v>
      </c>
      <c r="E3287" s="5">
        <v>5.61262035369873</v>
      </c>
      <c r="F3287" s="5">
        <v>0.366726756095886</v>
      </c>
      <c r="G3287" s="5">
        <v>0.086529843509197</v>
      </c>
      <c r="H3287" s="5">
        <v>3.60494470596314</v>
      </c>
      <c r="I3287" t="s">
        <v>57</v>
      </c>
    </row>
    <row r="3288" spans="1:9">
      <c r="A3288" s="4" t="s">
        <v>6629</v>
      </c>
      <c r="B3288" s="4" t="s">
        <v>6630</v>
      </c>
      <c r="C3288" s="4" t="s">
        <v>31</v>
      </c>
      <c r="D3288" s="2">
        <f>462152768/(10^6)</f>
        <v>462.152768</v>
      </c>
      <c r="E3288" s="5">
        <v>5.61262035369873</v>
      </c>
      <c r="F3288" s="5">
        <v>0.366726756095886</v>
      </c>
      <c r="G3288" s="5">
        <v>0.086529843509197</v>
      </c>
      <c r="H3288" s="5">
        <v>3.60494470596314</v>
      </c>
      <c r="I3288" t="s">
        <v>57</v>
      </c>
    </row>
    <row r="3289" spans="1:9">
      <c r="A3289" s="4" t="s">
        <v>6631</v>
      </c>
      <c r="B3289" s="4" t="s">
        <v>6632</v>
      </c>
      <c r="C3289" s="4" t="s">
        <v>47</v>
      </c>
      <c r="D3289" s="2">
        <f>461442816/(10^6)</f>
        <v>461.442816</v>
      </c>
      <c r="E3289" s="5">
        <v>4.45692443847656</v>
      </c>
      <c r="F3289" s="5">
        <v>0.721325755119324</v>
      </c>
      <c r="G3289" s="5">
        <v>0.18195416033268</v>
      </c>
      <c r="H3289" s="5">
        <v>3.14205384254456</v>
      </c>
      <c r="I3289" t="s">
        <v>57</v>
      </c>
    </row>
    <row r="3290" spans="1:9">
      <c r="A3290" s="4" t="s">
        <v>6633</v>
      </c>
      <c r="B3290" s="4" t="s">
        <v>6634</v>
      </c>
      <c r="C3290" s="4" t="s">
        <v>41</v>
      </c>
      <c r="D3290" s="2">
        <f>461159584/(10^6)</f>
        <v>461.159584</v>
      </c>
      <c r="E3290" s="5" t="s">
        <v>86</v>
      </c>
      <c r="F3290" s="5">
        <v>3.5774712562561</v>
      </c>
      <c r="G3290" s="5" t="s">
        <v>86</v>
      </c>
      <c r="H3290" s="5" t="s">
        <v>86</v>
      </c>
      <c r="I3290" t="s">
        <v>57</v>
      </c>
    </row>
    <row r="3291" spans="1:9">
      <c r="A3291" s="4" t="s">
        <v>6635</v>
      </c>
      <c r="B3291" s="4" t="s">
        <v>6636</v>
      </c>
      <c r="C3291" s="4" t="s">
        <v>27</v>
      </c>
      <c r="D3291" s="2">
        <f>459604672/(10^6)</f>
        <v>459.604672</v>
      </c>
      <c r="E3291" s="5">
        <v>57.2188606262207</v>
      </c>
      <c r="F3291" s="5">
        <v>0.388967484235764</v>
      </c>
      <c r="G3291" s="5">
        <v>0.727843821048737</v>
      </c>
      <c r="H3291" s="5">
        <v>8.94542694091797</v>
      </c>
      <c r="I3291" t="s">
        <v>57</v>
      </c>
    </row>
    <row r="3292" spans="1:9">
      <c r="A3292" s="4" t="s">
        <v>6637</v>
      </c>
      <c r="B3292" s="4" t="s">
        <v>6638</v>
      </c>
      <c r="C3292" s="4" t="s">
        <v>51</v>
      </c>
      <c r="D3292" s="2">
        <f>459572448/(10^6)</f>
        <v>459.572448</v>
      </c>
      <c r="E3292" s="5" t="s">
        <v>86</v>
      </c>
      <c r="F3292" s="5">
        <v>1.5773286819458</v>
      </c>
      <c r="G3292" s="5">
        <v>0.26369446516037</v>
      </c>
      <c r="H3292" s="5">
        <v>8.84347724914551</v>
      </c>
      <c r="I3292" t="s">
        <v>57</v>
      </c>
    </row>
    <row r="3293" spans="1:9">
      <c r="A3293" s="4" t="s">
        <v>6639</v>
      </c>
      <c r="B3293" s="4" t="s">
        <v>6640</v>
      </c>
      <c r="C3293" s="4" t="s">
        <v>31</v>
      </c>
      <c r="D3293" s="2">
        <f>458975552/(10^6)</f>
        <v>458.975552</v>
      </c>
      <c r="E3293" s="5" t="s">
        <v>86</v>
      </c>
      <c r="F3293" s="5">
        <v>1.06991970539093</v>
      </c>
      <c r="G3293" s="5">
        <v>0.381864130496979</v>
      </c>
      <c r="H3293" s="5">
        <v>10.8106927871704</v>
      </c>
      <c r="I3293" t="s">
        <v>57</v>
      </c>
    </row>
    <row r="3294" spans="1:9">
      <c r="A3294" s="4" t="s">
        <v>6641</v>
      </c>
      <c r="B3294" s="4" t="s">
        <v>6642</v>
      </c>
      <c r="C3294" s="4" t="s">
        <v>31</v>
      </c>
      <c r="D3294" s="2">
        <f>458527680/(10^6)</f>
        <v>458.52768</v>
      </c>
      <c r="E3294" s="5">
        <v>12.4205455780029</v>
      </c>
      <c r="F3294" s="5">
        <v>1.75425016880035</v>
      </c>
      <c r="G3294" s="5">
        <v>0.329427361488342</v>
      </c>
      <c r="H3294" s="5">
        <v>6.66471767425537</v>
      </c>
      <c r="I3294" t="s">
        <v>57</v>
      </c>
    </row>
    <row r="3295" spans="1:9">
      <c r="A3295" s="4" t="s">
        <v>6643</v>
      </c>
      <c r="B3295" s="4" t="s">
        <v>6644</v>
      </c>
      <c r="C3295" s="4" t="s">
        <v>47</v>
      </c>
      <c r="D3295" s="2">
        <f>458492544/(10^6)</f>
        <v>458.492544</v>
      </c>
      <c r="E3295" s="5" t="s">
        <v>86</v>
      </c>
      <c r="F3295" s="5">
        <v>0.791049957275391</v>
      </c>
      <c r="G3295" s="5">
        <v>0.234603762626648</v>
      </c>
      <c r="H3295" s="5">
        <v>4.2460150718689</v>
      </c>
      <c r="I3295" t="s">
        <v>57</v>
      </c>
    </row>
    <row r="3296" spans="1:9">
      <c r="A3296" s="4" t="s">
        <v>6645</v>
      </c>
      <c r="B3296" s="4" t="s">
        <v>6646</v>
      </c>
      <c r="C3296" s="4" t="s">
        <v>41</v>
      </c>
      <c r="D3296" s="2">
        <f>458052096/(10^6)</f>
        <v>458.052096</v>
      </c>
      <c r="E3296" s="5">
        <v>25.0661163330078</v>
      </c>
      <c r="F3296" s="5">
        <v>3.08868885040283</v>
      </c>
      <c r="G3296" s="5">
        <v>3.83636808395386</v>
      </c>
      <c r="H3296" s="5">
        <v>16.5826950073242</v>
      </c>
      <c r="I3296" t="s">
        <v>57</v>
      </c>
    </row>
    <row r="3297" spans="1:9">
      <c r="A3297" s="4" t="s">
        <v>6647</v>
      </c>
      <c r="B3297" s="4" t="s">
        <v>6648</v>
      </c>
      <c r="C3297" s="4" t="s">
        <v>27</v>
      </c>
      <c r="D3297" s="2">
        <f>457207712/(10^6)</f>
        <v>457.207712</v>
      </c>
      <c r="E3297" s="5">
        <v>5.92049694061279</v>
      </c>
      <c r="F3297" s="5">
        <v>0.442659944295883</v>
      </c>
      <c r="G3297" s="5">
        <v>0.402871817350388</v>
      </c>
      <c r="H3297" s="5">
        <v>4.3158221244812</v>
      </c>
      <c r="I3297" t="s">
        <v>57</v>
      </c>
    </row>
    <row r="3298" spans="1:9">
      <c r="A3298" s="4" t="s">
        <v>6649</v>
      </c>
      <c r="B3298" s="4" t="s">
        <v>6650</v>
      </c>
      <c r="C3298" s="4" t="s">
        <v>41</v>
      </c>
      <c r="D3298" s="2">
        <f>457176160/(10^6)</f>
        <v>457.17616</v>
      </c>
      <c r="E3298" s="5">
        <v>33.3663787841797</v>
      </c>
      <c r="F3298" s="5">
        <v>2.14723467826843</v>
      </c>
      <c r="G3298" s="5">
        <v>2.16438841819763</v>
      </c>
      <c r="H3298" s="5">
        <v>9.48272037506104</v>
      </c>
      <c r="I3298" t="s">
        <v>57</v>
      </c>
    </row>
    <row r="3299" spans="1:9">
      <c r="A3299" s="4" t="s">
        <v>6651</v>
      </c>
      <c r="B3299" s="4" t="s">
        <v>6652</v>
      </c>
      <c r="C3299" s="4" t="s">
        <v>43</v>
      </c>
      <c r="D3299" s="2">
        <f>456366592/(10^6)</f>
        <v>456.366592</v>
      </c>
      <c r="E3299" s="5">
        <v>6.87008285522461</v>
      </c>
      <c r="F3299" s="5">
        <v>0.675660848617554</v>
      </c>
      <c r="G3299" s="5">
        <v>1.62404835224152</v>
      </c>
      <c r="H3299" s="5" t="s">
        <v>86</v>
      </c>
      <c r="I3299" t="s">
        <v>57</v>
      </c>
    </row>
    <row r="3300" spans="1:9">
      <c r="A3300" s="4" t="s">
        <v>6653</v>
      </c>
      <c r="B3300" s="4" t="s">
        <v>6654</v>
      </c>
      <c r="C3300" s="4" t="s">
        <v>41</v>
      </c>
      <c r="D3300" s="2">
        <f>455270336/(10^6)</f>
        <v>455.270336</v>
      </c>
      <c r="E3300" s="5">
        <v>67.9648284912109</v>
      </c>
      <c r="F3300" s="5">
        <v>3.69237232208252</v>
      </c>
      <c r="G3300" s="5">
        <v>4.4727201461792</v>
      </c>
      <c r="H3300" s="5">
        <v>31.6480846405029</v>
      </c>
      <c r="I3300" t="s">
        <v>57</v>
      </c>
    </row>
    <row r="3301" spans="1:9">
      <c r="A3301" s="4" t="s">
        <v>6655</v>
      </c>
      <c r="B3301" s="4" t="s">
        <v>6656</v>
      </c>
      <c r="C3301" s="4" t="s">
        <v>31</v>
      </c>
      <c r="D3301" s="2">
        <f>455101152/(10^6)</f>
        <v>455.101152</v>
      </c>
      <c r="E3301" s="5">
        <v>10.3021202087402</v>
      </c>
      <c r="F3301" s="5">
        <v>1.11436533927918</v>
      </c>
      <c r="G3301" s="5">
        <v>0.21103435754776</v>
      </c>
      <c r="H3301" s="5">
        <v>5.45331335067749</v>
      </c>
      <c r="I3301" t="s">
        <v>57</v>
      </c>
    </row>
    <row r="3302" spans="1:9">
      <c r="A3302" s="4" t="s">
        <v>6657</v>
      </c>
      <c r="B3302" s="4" t="s">
        <v>6658</v>
      </c>
      <c r="C3302" s="4" t="s">
        <v>35</v>
      </c>
      <c r="D3302" s="2">
        <f>454935040/(10^6)</f>
        <v>454.93504</v>
      </c>
      <c r="E3302" s="5">
        <v>11.8255281448364</v>
      </c>
      <c r="F3302" s="5">
        <v>1.96637105941773</v>
      </c>
      <c r="G3302" s="5">
        <v>1.25122904777527</v>
      </c>
      <c r="H3302" s="5">
        <v>8.18348979949951</v>
      </c>
      <c r="I3302" t="s">
        <v>57</v>
      </c>
    </row>
    <row r="3303" spans="1:9">
      <c r="A3303" s="4" t="s">
        <v>6659</v>
      </c>
      <c r="B3303" s="4" t="s">
        <v>6660</v>
      </c>
      <c r="C3303" s="4" t="s">
        <v>37</v>
      </c>
      <c r="D3303" s="2">
        <f>454816512/(10^6)</f>
        <v>454.816512</v>
      </c>
      <c r="E3303" s="5" t="s">
        <v>86</v>
      </c>
      <c r="F3303" s="5">
        <v>21.7354965209961</v>
      </c>
      <c r="G3303" s="5">
        <v>0.617048919200897</v>
      </c>
      <c r="H3303" s="5">
        <v>15.4548950195312</v>
      </c>
      <c r="I3303" t="s">
        <v>57</v>
      </c>
    </row>
    <row r="3304" spans="1:9">
      <c r="A3304" s="4" t="s">
        <v>6661</v>
      </c>
      <c r="B3304" s="4" t="s">
        <v>6662</v>
      </c>
      <c r="C3304" s="4" t="s">
        <v>41</v>
      </c>
      <c r="D3304" s="2">
        <f>453626688/(10^6)</f>
        <v>453.626688</v>
      </c>
      <c r="E3304" s="5" t="s">
        <v>86</v>
      </c>
      <c r="F3304" s="5">
        <v>0.486975371837616</v>
      </c>
      <c r="G3304" s="5">
        <v>0.517066419124603</v>
      </c>
      <c r="H3304" s="5" t="s">
        <v>86</v>
      </c>
      <c r="I3304" t="s">
        <v>57</v>
      </c>
    </row>
    <row r="3305" spans="1:9">
      <c r="A3305" s="4" t="s">
        <v>6663</v>
      </c>
      <c r="B3305" s="4" t="s">
        <v>6664</v>
      </c>
      <c r="C3305" s="4" t="s">
        <v>43</v>
      </c>
      <c r="D3305" s="2">
        <f>453055936/(10^6)</f>
        <v>453.055936</v>
      </c>
      <c r="E3305" s="5">
        <v>8.37016773223877</v>
      </c>
      <c r="F3305" s="5">
        <v>0.755058407783508</v>
      </c>
      <c r="G3305" s="5">
        <v>1.65331661701202</v>
      </c>
      <c r="H3305" s="5" t="s">
        <v>86</v>
      </c>
      <c r="I3305" t="s">
        <v>57</v>
      </c>
    </row>
    <row r="3306" spans="1:9">
      <c r="A3306" s="4" t="s">
        <v>6665</v>
      </c>
      <c r="B3306" s="4" t="s">
        <v>6666</v>
      </c>
      <c r="C3306" s="4" t="s">
        <v>43</v>
      </c>
      <c r="D3306" s="2">
        <f>452790496/(10^6)</f>
        <v>452.790496</v>
      </c>
      <c r="E3306" s="5">
        <v>5.585618019104</v>
      </c>
      <c r="F3306" s="5">
        <v>1.29604196548462</v>
      </c>
      <c r="G3306" s="5">
        <v>0.701822936534882</v>
      </c>
      <c r="H3306" s="5">
        <v>3.94042944908142</v>
      </c>
      <c r="I3306" t="s">
        <v>57</v>
      </c>
    </row>
    <row r="3307" spans="1:9">
      <c r="A3307" s="4" t="s">
        <v>6667</v>
      </c>
      <c r="B3307" s="4" t="s">
        <v>6668</v>
      </c>
      <c r="C3307" s="4" t="s">
        <v>47</v>
      </c>
      <c r="D3307" s="2">
        <f>452450400/(10^6)</f>
        <v>452.4504</v>
      </c>
      <c r="E3307" s="5">
        <v>5.24394845962524</v>
      </c>
      <c r="F3307" s="5">
        <v>3.05420017242432</v>
      </c>
      <c r="G3307" s="5">
        <v>0.390065640211105</v>
      </c>
      <c r="H3307" s="5">
        <v>6.22325277328491</v>
      </c>
      <c r="I3307" t="s">
        <v>57</v>
      </c>
    </row>
    <row r="3308" spans="1:9">
      <c r="A3308" s="4" t="s">
        <v>6669</v>
      </c>
      <c r="B3308" s="4" t="s">
        <v>6670</v>
      </c>
      <c r="C3308" s="4" t="s">
        <v>51</v>
      </c>
      <c r="D3308" s="2">
        <f>451967264/(10^6)</f>
        <v>451.967264</v>
      </c>
      <c r="E3308" s="5" t="s">
        <v>86</v>
      </c>
      <c r="F3308" s="5">
        <v>1.20617735385895</v>
      </c>
      <c r="G3308" s="5">
        <v>1.03898406028748</v>
      </c>
      <c r="H3308" s="5">
        <v>118.06950378418</v>
      </c>
      <c r="I3308" t="s">
        <v>57</v>
      </c>
    </row>
    <row r="3309" spans="1:9">
      <c r="A3309" s="4" t="s">
        <v>6671</v>
      </c>
      <c r="B3309" s="4" t="s">
        <v>6672</v>
      </c>
      <c r="C3309" s="4" t="s">
        <v>47</v>
      </c>
      <c r="D3309" s="2">
        <f>451720416/(10^6)</f>
        <v>451.720416</v>
      </c>
      <c r="E3309" s="5">
        <v>14.5033807754517</v>
      </c>
      <c r="F3309" s="5">
        <v>1.3239129781723</v>
      </c>
      <c r="G3309" s="5">
        <v>1.80135631561279</v>
      </c>
      <c r="H3309" s="5">
        <v>10.7657890319824</v>
      </c>
      <c r="I3309" t="s">
        <v>57</v>
      </c>
    </row>
    <row r="3310" spans="1:9">
      <c r="A3310" s="4" t="s">
        <v>6673</v>
      </c>
      <c r="B3310" s="4" t="s">
        <v>6674</v>
      </c>
      <c r="C3310" s="4" t="s">
        <v>35</v>
      </c>
      <c r="D3310" s="2">
        <f>450926176/(10^6)</f>
        <v>450.926176</v>
      </c>
      <c r="E3310" s="5">
        <v>7.42594337463379</v>
      </c>
      <c r="F3310" s="5">
        <v>0.40872511267662</v>
      </c>
      <c r="G3310" s="5">
        <v>0.018016323447227</v>
      </c>
      <c r="H3310" s="5">
        <v>56.7609786987305</v>
      </c>
      <c r="I3310" t="s">
        <v>57</v>
      </c>
    </row>
    <row r="3311" spans="1:9">
      <c r="A3311" s="4" t="s">
        <v>6675</v>
      </c>
      <c r="B3311" s="4" t="s">
        <v>6676</v>
      </c>
      <c r="C3311" s="4" t="s">
        <v>47</v>
      </c>
      <c r="D3311" s="2">
        <f>450833920/(10^6)</f>
        <v>450.83392</v>
      </c>
      <c r="E3311" s="5">
        <v>6.66793870925903</v>
      </c>
      <c r="F3311" s="5">
        <v>0.968094170093536</v>
      </c>
      <c r="G3311" s="5">
        <v>0.42589396238327</v>
      </c>
      <c r="H3311" s="5">
        <v>3.01200556755066</v>
      </c>
      <c r="I3311" t="s">
        <v>57</v>
      </c>
    </row>
    <row r="3312" spans="1:9">
      <c r="A3312" s="4" t="s">
        <v>6677</v>
      </c>
      <c r="B3312" s="4" t="s">
        <v>6678</v>
      </c>
      <c r="C3312" s="4" t="s">
        <v>43</v>
      </c>
      <c r="D3312" s="2">
        <f>450738496/(10^6)</f>
        <v>450.738496</v>
      </c>
      <c r="E3312" s="5">
        <v>4.76414966583252</v>
      </c>
      <c r="F3312" s="5">
        <v>0.580610334873199</v>
      </c>
      <c r="G3312" s="5">
        <v>2.30951189994812</v>
      </c>
      <c r="H3312" s="5" t="s">
        <v>86</v>
      </c>
      <c r="I3312" t="s">
        <v>57</v>
      </c>
    </row>
    <row r="3313" spans="1:9">
      <c r="A3313" s="4" t="s">
        <v>6679</v>
      </c>
      <c r="B3313" s="4" t="s">
        <v>6680</v>
      </c>
      <c r="C3313" s="4" t="s">
        <v>27</v>
      </c>
      <c r="D3313" s="2">
        <f>450575904/(10^6)</f>
        <v>450.575904</v>
      </c>
      <c r="E3313" s="5" t="s">
        <v>86</v>
      </c>
      <c r="F3313" s="5">
        <v>0.573121964931488</v>
      </c>
      <c r="G3313" s="5" t="s">
        <v>86</v>
      </c>
      <c r="H3313" s="5">
        <v>5.8605432510376</v>
      </c>
      <c r="I3313" t="s">
        <v>57</v>
      </c>
    </row>
    <row r="3314" spans="1:9">
      <c r="A3314" s="4" t="s">
        <v>6681</v>
      </c>
      <c r="B3314" s="4" t="s">
        <v>6682</v>
      </c>
      <c r="C3314" s="4" t="s">
        <v>49</v>
      </c>
      <c r="D3314" s="2">
        <f>450000000/(10^6)</f>
        <v>450</v>
      </c>
      <c r="E3314" s="5" t="s">
        <v>86</v>
      </c>
      <c r="F3314" s="5">
        <v>1.03016376495361</v>
      </c>
      <c r="G3314" s="5" t="s">
        <v>86</v>
      </c>
      <c r="H3314" s="5" t="s">
        <v>86</v>
      </c>
      <c r="I3314" t="s">
        <v>57</v>
      </c>
    </row>
    <row r="3315" spans="1:9">
      <c r="A3315" s="4" t="s">
        <v>6683</v>
      </c>
      <c r="B3315" s="4" t="s">
        <v>6684</v>
      </c>
      <c r="C3315" s="4" t="s">
        <v>31</v>
      </c>
      <c r="D3315" s="2">
        <f>445347008/(10^6)</f>
        <v>445.347008</v>
      </c>
      <c r="E3315" s="5">
        <v>18.4925518035889</v>
      </c>
      <c r="F3315" s="5">
        <v>1.24709701538086</v>
      </c>
      <c r="G3315" s="5">
        <v>0.822511076927185</v>
      </c>
      <c r="H3315" s="5">
        <v>11.9661474227905</v>
      </c>
      <c r="I3315" t="s">
        <v>57</v>
      </c>
    </row>
    <row r="3316" spans="1:9">
      <c r="A3316" s="4" t="s">
        <v>6685</v>
      </c>
      <c r="B3316" s="4" t="s">
        <v>6686</v>
      </c>
      <c r="C3316" s="4" t="s">
        <v>47</v>
      </c>
      <c r="D3316" s="2">
        <f>445110336/(10^6)</f>
        <v>445.110336</v>
      </c>
      <c r="E3316" s="5">
        <v>11.2102432250977</v>
      </c>
      <c r="F3316" s="5">
        <v>1.53535628318787</v>
      </c>
      <c r="G3316" s="5">
        <v>0.541256129741669</v>
      </c>
      <c r="H3316" s="5">
        <v>4.86028480529785</v>
      </c>
      <c r="I3316" t="s">
        <v>57</v>
      </c>
    </row>
    <row r="3317" spans="1:9">
      <c r="A3317" s="4" t="s">
        <v>6687</v>
      </c>
      <c r="B3317" s="4" t="s">
        <v>6688</v>
      </c>
      <c r="C3317" s="4" t="s">
        <v>49</v>
      </c>
      <c r="D3317" s="2">
        <f>443317888/(10^6)</f>
        <v>443.317888</v>
      </c>
      <c r="E3317" s="5">
        <v>58.794677734375</v>
      </c>
      <c r="F3317" s="5">
        <v>0.332787960767746</v>
      </c>
      <c r="G3317" s="5" t="s">
        <v>86</v>
      </c>
      <c r="H3317" s="5" t="s">
        <v>86</v>
      </c>
      <c r="I3317" t="s">
        <v>57</v>
      </c>
    </row>
    <row r="3318" spans="1:9">
      <c r="A3318" s="4" t="s">
        <v>6689</v>
      </c>
      <c r="B3318" s="4" t="s">
        <v>6690</v>
      </c>
      <c r="C3318" s="4" t="s">
        <v>43</v>
      </c>
      <c r="D3318" s="2">
        <f>442940416/(10^6)</f>
        <v>442.940416</v>
      </c>
      <c r="E3318" s="5">
        <v>7.9241189956665</v>
      </c>
      <c r="F3318" s="5">
        <v>0.935398280620575</v>
      </c>
      <c r="G3318" s="5">
        <v>2.14046764373779</v>
      </c>
      <c r="H3318" s="5" t="s">
        <v>86</v>
      </c>
      <c r="I3318" t="s">
        <v>57</v>
      </c>
    </row>
    <row r="3319" spans="1:9">
      <c r="A3319" s="4" t="s">
        <v>6691</v>
      </c>
      <c r="B3319" s="4" t="s">
        <v>6692</v>
      </c>
      <c r="C3319" s="4" t="s">
        <v>41</v>
      </c>
      <c r="D3319" s="2">
        <f>442764224/(10^6)</f>
        <v>442.764224</v>
      </c>
      <c r="E3319" s="5" t="s">
        <v>86</v>
      </c>
      <c r="F3319" s="5" t="s">
        <v>86</v>
      </c>
      <c r="G3319" s="5" t="s">
        <v>86</v>
      </c>
      <c r="H3319" s="5" t="s">
        <v>86</v>
      </c>
      <c r="I3319" t="s">
        <v>57</v>
      </c>
    </row>
    <row r="3320" spans="1:9">
      <c r="A3320" s="4" t="s">
        <v>6693</v>
      </c>
      <c r="B3320" s="4" t="s">
        <v>6694</v>
      </c>
      <c r="C3320" s="4" t="s">
        <v>43</v>
      </c>
      <c r="D3320" s="2">
        <f>441973664/(10^6)</f>
        <v>441.973664</v>
      </c>
      <c r="E3320" s="5">
        <v>7.07791137695312</v>
      </c>
      <c r="F3320" s="5">
        <v>0.740407943725586</v>
      </c>
      <c r="G3320" s="5">
        <v>1.82926285266876</v>
      </c>
      <c r="H3320" s="5" t="s">
        <v>86</v>
      </c>
      <c r="I3320" t="s">
        <v>57</v>
      </c>
    </row>
    <row r="3321" spans="1:9">
      <c r="A3321" s="4" t="s">
        <v>6695</v>
      </c>
      <c r="B3321" s="4" t="s">
        <v>6696</v>
      </c>
      <c r="C3321" s="4" t="s">
        <v>27</v>
      </c>
      <c r="D3321" s="2">
        <f>441949056/(10^6)</f>
        <v>441.949056</v>
      </c>
      <c r="E3321" s="5" t="s">
        <v>86</v>
      </c>
      <c r="F3321" s="5">
        <v>0.155872166156769</v>
      </c>
      <c r="G3321" s="5">
        <v>0.189703524112701</v>
      </c>
      <c r="H3321" s="5">
        <v>2.29601454734802</v>
      </c>
      <c r="I3321" t="s">
        <v>57</v>
      </c>
    </row>
    <row r="3322" spans="1:9">
      <c r="A3322" s="4" t="s">
        <v>6697</v>
      </c>
      <c r="B3322" s="4" t="s">
        <v>6698</v>
      </c>
      <c r="C3322" s="4" t="s">
        <v>27</v>
      </c>
      <c r="D3322" s="2">
        <f>441730080/(10^6)</f>
        <v>441.73008</v>
      </c>
      <c r="E3322" s="5" t="s">
        <v>86</v>
      </c>
      <c r="F3322" s="5">
        <v>0.531968891620636</v>
      </c>
      <c r="G3322" s="5">
        <v>0.358932971954346</v>
      </c>
      <c r="H3322" s="5">
        <v>5.95265197753906</v>
      </c>
      <c r="I3322" t="s">
        <v>57</v>
      </c>
    </row>
    <row r="3323" spans="1:9">
      <c r="A3323" s="4" t="s">
        <v>6699</v>
      </c>
      <c r="B3323" s="4" t="s">
        <v>6700</v>
      </c>
      <c r="C3323" s="4" t="s">
        <v>43</v>
      </c>
      <c r="D3323" s="2">
        <f>441418560/(10^6)</f>
        <v>441.41856</v>
      </c>
      <c r="E3323" s="5">
        <v>8.80648136138916</v>
      </c>
      <c r="F3323" s="5">
        <v>0.816925942897797</v>
      </c>
      <c r="G3323" s="5">
        <v>2.53866291046143</v>
      </c>
      <c r="H3323" s="5" t="s">
        <v>86</v>
      </c>
      <c r="I3323" t="s">
        <v>57</v>
      </c>
    </row>
    <row r="3324" spans="1:9">
      <c r="A3324" s="4" t="s">
        <v>6701</v>
      </c>
      <c r="B3324" s="4" t="s">
        <v>6702</v>
      </c>
      <c r="C3324" s="4" t="s">
        <v>43</v>
      </c>
      <c r="D3324" s="2">
        <f>440877984/(10^6)</f>
        <v>440.877984</v>
      </c>
      <c r="E3324" s="5">
        <v>11.4236812591553</v>
      </c>
      <c r="F3324" s="5">
        <v>1.12419557571411</v>
      </c>
      <c r="G3324" s="5">
        <v>0.769345819950104</v>
      </c>
      <c r="H3324" s="5">
        <v>10.5847654342651</v>
      </c>
      <c r="I3324" t="s">
        <v>57</v>
      </c>
    </row>
    <row r="3325" spans="1:9">
      <c r="A3325" s="4" t="s">
        <v>6703</v>
      </c>
      <c r="B3325" s="4" t="s">
        <v>6704</v>
      </c>
      <c r="C3325" s="4" t="s">
        <v>31</v>
      </c>
      <c r="D3325" s="2">
        <f>440432288/(10^6)</f>
        <v>440.432288</v>
      </c>
      <c r="E3325" s="5">
        <v>12.7834186553955</v>
      </c>
      <c r="F3325" s="5">
        <v>1.4578275680542</v>
      </c>
      <c r="G3325" s="5">
        <v>1.0173020362854</v>
      </c>
      <c r="H3325" s="5">
        <v>5.44320344924927</v>
      </c>
      <c r="I3325" t="s">
        <v>57</v>
      </c>
    </row>
    <row r="3326" spans="1:9">
      <c r="A3326" s="4" t="s">
        <v>6705</v>
      </c>
      <c r="B3326" s="4" t="s">
        <v>6706</v>
      </c>
      <c r="C3326" s="4" t="s">
        <v>47</v>
      </c>
      <c r="D3326" s="2">
        <f>439818432/(10^6)</f>
        <v>439.818432</v>
      </c>
      <c r="E3326" s="5">
        <v>4.03979682922363</v>
      </c>
      <c r="F3326" s="5">
        <v>0.544331848621368</v>
      </c>
      <c r="G3326" s="5">
        <v>0.128643393516541</v>
      </c>
      <c r="H3326" s="5">
        <v>4.71013069152832</v>
      </c>
      <c r="I3326" t="s">
        <v>57</v>
      </c>
    </row>
    <row r="3327" spans="1:9">
      <c r="A3327" s="4" t="s">
        <v>6707</v>
      </c>
      <c r="B3327" s="4" t="s">
        <v>6708</v>
      </c>
      <c r="C3327" s="4" t="s">
        <v>41</v>
      </c>
      <c r="D3327" s="2">
        <f>439306432/(10^6)</f>
        <v>439.306432</v>
      </c>
      <c r="E3327" s="5" t="s">
        <v>86</v>
      </c>
      <c r="F3327" s="5" t="s">
        <v>86</v>
      </c>
      <c r="G3327" s="5">
        <v>46.9282531738281</v>
      </c>
      <c r="H3327" s="5" t="s">
        <v>86</v>
      </c>
      <c r="I3327" t="s">
        <v>57</v>
      </c>
    </row>
    <row r="3328" spans="1:9">
      <c r="A3328" s="4" t="s">
        <v>6709</v>
      </c>
      <c r="B3328" s="4" t="s">
        <v>6710</v>
      </c>
      <c r="C3328" s="4" t="s">
        <v>51</v>
      </c>
      <c r="D3328" s="2">
        <f>439072352/(10^6)</f>
        <v>439.072352</v>
      </c>
      <c r="E3328" s="5">
        <v>54.560001373291</v>
      </c>
      <c r="F3328" s="5">
        <v>3.64902782440186</v>
      </c>
      <c r="G3328" s="5">
        <v>3.8214852809906</v>
      </c>
      <c r="H3328" s="5">
        <v>16.6570796966553</v>
      </c>
      <c r="I3328" t="s">
        <v>57</v>
      </c>
    </row>
    <row r="3329" spans="1:9">
      <c r="A3329" s="4" t="s">
        <v>6711</v>
      </c>
      <c r="B3329" s="4" t="s">
        <v>6712</v>
      </c>
      <c r="C3329" s="4" t="s">
        <v>27</v>
      </c>
      <c r="D3329" s="2">
        <f>438772960/(10^6)</f>
        <v>438.77296</v>
      </c>
      <c r="E3329" s="5">
        <v>5.97423648834229</v>
      </c>
      <c r="F3329" s="5">
        <v>0.448049247264862</v>
      </c>
      <c r="G3329" s="5">
        <v>1.62792861461639</v>
      </c>
      <c r="H3329" s="5">
        <v>5.91332960128784</v>
      </c>
      <c r="I3329" t="s">
        <v>57</v>
      </c>
    </row>
    <row r="3330" spans="1:9">
      <c r="A3330" s="4" t="s">
        <v>6713</v>
      </c>
      <c r="B3330" s="4" t="s">
        <v>6714</v>
      </c>
      <c r="C3330" s="4" t="s">
        <v>43</v>
      </c>
      <c r="D3330" s="2">
        <f>437232992/(10^6)</f>
        <v>437.232992</v>
      </c>
      <c r="E3330" s="5">
        <v>8.39920330047607</v>
      </c>
      <c r="F3330" s="5">
        <v>0.783440411090851</v>
      </c>
      <c r="G3330" s="5">
        <v>2.18784689903259</v>
      </c>
      <c r="H3330" s="5" t="s">
        <v>86</v>
      </c>
      <c r="I3330" t="s">
        <v>57</v>
      </c>
    </row>
    <row r="3331" spans="1:9">
      <c r="A3331" s="4" t="s">
        <v>6715</v>
      </c>
      <c r="B3331" s="4" t="s">
        <v>6716</v>
      </c>
      <c r="C3331" s="4" t="s">
        <v>33</v>
      </c>
      <c r="D3331" s="2">
        <f>436604480/(10^6)</f>
        <v>436.60448</v>
      </c>
      <c r="E3331" s="5" t="s">
        <v>86</v>
      </c>
      <c r="F3331" s="5">
        <v>4.72717332839966</v>
      </c>
      <c r="G3331" s="5">
        <v>1.64353275299072</v>
      </c>
      <c r="H3331" s="5">
        <v>7.23368072509766</v>
      </c>
      <c r="I3331" t="s">
        <v>57</v>
      </c>
    </row>
    <row r="3332" spans="1:9">
      <c r="A3332" s="4" t="s">
        <v>6717</v>
      </c>
      <c r="B3332" s="4" t="s">
        <v>6718</v>
      </c>
      <c r="C3332" s="4" t="s">
        <v>51</v>
      </c>
      <c r="D3332" s="2">
        <f>435991424/(10^6)</f>
        <v>435.991424</v>
      </c>
      <c r="E3332" s="5" t="s">
        <v>86</v>
      </c>
      <c r="F3332" s="5">
        <v>3.97217059135437</v>
      </c>
      <c r="G3332" s="5">
        <v>1.9940379858017</v>
      </c>
      <c r="H3332" s="5" t="s">
        <v>86</v>
      </c>
      <c r="I3332" t="s">
        <v>57</v>
      </c>
    </row>
    <row r="3333" spans="1:9">
      <c r="A3333" s="4" t="s">
        <v>6719</v>
      </c>
      <c r="B3333" s="4" t="s">
        <v>6720</v>
      </c>
      <c r="C3333" s="4" t="s">
        <v>43</v>
      </c>
      <c r="D3333" s="2">
        <f>434630080/(10^6)</f>
        <v>434.63008</v>
      </c>
      <c r="E3333" s="5">
        <v>21.946102142334</v>
      </c>
      <c r="F3333" s="5">
        <v>0.652799665927887</v>
      </c>
      <c r="G3333" s="5">
        <v>1.91721451282501</v>
      </c>
      <c r="H3333" s="5" t="s">
        <v>86</v>
      </c>
      <c r="I3333" t="s">
        <v>57</v>
      </c>
    </row>
    <row r="3334" spans="1:9">
      <c r="A3334" s="4" t="s">
        <v>6721</v>
      </c>
      <c r="B3334" s="4" t="s">
        <v>6722</v>
      </c>
      <c r="C3334" s="4" t="s">
        <v>41</v>
      </c>
      <c r="D3334" s="2">
        <f>433540768/(10^6)</f>
        <v>433.540768</v>
      </c>
      <c r="E3334" s="5" t="s">
        <v>86</v>
      </c>
      <c r="F3334" s="5">
        <v>60.0234527587891</v>
      </c>
      <c r="G3334" s="5">
        <v>992.738159179688</v>
      </c>
      <c r="H3334" s="5" t="s">
        <v>86</v>
      </c>
      <c r="I3334" t="s">
        <v>57</v>
      </c>
    </row>
    <row r="3335" spans="1:9">
      <c r="A3335" s="4" t="s">
        <v>6723</v>
      </c>
      <c r="B3335" s="4" t="s">
        <v>6724</v>
      </c>
      <c r="C3335" s="4" t="s">
        <v>41</v>
      </c>
      <c r="D3335" s="2">
        <f>433383552/(10^6)</f>
        <v>433.383552</v>
      </c>
      <c r="E3335" s="5" t="s">
        <v>86</v>
      </c>
      <c r="F3335" s="5">
        <v>1.97898054122925</v>
      </c>
      <c r="G3335" s="5" t="s">
        <v>86</v>
      </c>
      <c r="H3335" s="5" t="s">
        <v>86</v>
      </c>
      <c r="I3335" t="s">
        <v>57</v>
      </c>
    </row>
    <row r="3336" spans="1:9">
      <c r="A3336" s="4" t="s">
        <v>6725</v>
      </c>
      <c r="B3336" s="4" t="s">
        <v>6726</v>
      </c>
      <c r="C3336" s="4" t="s">
        <v>51</v>
      </c>
      <c r="D3336" s="2">
        <f>432732608/(10^6)</f>
        <v>432.732608</v>
      </c>
      <c r="E3336" s="5" t="s">
        <v>86</v>
      </c>
      <c r="F3336" s="5">
        <v>1.98324859142304</v>
      </c>
      <c r="G3336" s="5">
        <v>2.37074947357178</v>
      </c>
      <c r="H3336" s="5" t="s">
        <v>86</v>
      </c>
      <c r="I3336" t="s">
        <v>57</v>
      </c>
    </row>
    <row r="3337" spans="1:9">
      <c r="A3337" s="4" t="s">
        <v>6727</v>
      </c>
      <c r="B3337" s="4" t="s">
        <v>6728</v>
      </c>
      <c r="C3337" s="4" t="s">
        <v>27</v>
      </c>
      <c r="D3337" s="2">
        <f>432331744/(10^6)</f>
        <v>432.331744</v>
      </c>
      <c r="E3337" s="5">
        <v>7.82546138763428</v>
      </c>
      <c r="F3337" s="5">
        <v>0.397716075181961</v>
      </c>
      <c r="G3337" s="5">
        <v>0.25403904914856</v>
      </c>
      <c r="H3337" s="5">
        <v>2.59096622467041</v>
      </c>
      <c r="I3337" t="s">
        <v>57</v>
      </c>
    </row>
    <row r="3338" spans="1:9">
      <c r="A3338" s="4" t="s">
        <v>6729</v>
      </c>
      <c r="B3338" s="4" t="s">
        <v>6730</v>
      </c>
      <c r="C3338" s="4" t="s">
        <v>51</v>
      </c>
      <c r="D3338" s="2">
        <f>432248608/(10^6)</f>
        <v>432.248608</v>
      </c>
      <c r="E3338" s="5" t="s">
        <v>86</v>
      </c>
      <c r="F3338" s="5">
        <v>0.326386094093323</v>
      </c>
      <c r="G3338" s="5">
        <v>0.095577262341976</v>
      </c>
      <c r="H3338" s="5" t="s">
        <v>86</v>
      </c>
      <c r="I3338" t="s">
        <v>57</v>
      </c>
    </row>
    <row r="3339" spans="1:9">
      <c r="A3339" s="4" t="s">
        <v>6731</v>
      </c>
      <c r="B3339" s="4" t="s">
        <v>6732</v>
      </c>
      <c r="C3339" s="4" t="s">
        <v>43</v>
      </c>
      <c r="D3339" s="2">
        <f>431380544/(10^6)</f>
        <v>431.380544</v>
      </c>
      <c r="E3339" s="5">
        <v>6.35771131515503</v>
      </c>
      <c r="F3339" s="5">
        <v>0.661223649978638</v>
      </c>
      <c r="G3339" s="5">
        <v>1.66736423969269</v>
      </c>
      <c r="H3339" s="5" t="s">
        <v>86</v>
      </c>
      <c r="I3339" t="s">
        <v>57</v>
      </c>
    </row>
    <row r="3340" spans="1:9">
      <c r="A3340" s="4" t="s">
        <v>6733</v>
      </c>
      <c r="B3340" s="4" t="s">
        <v>6734</v>
      </c>
      <c r="C3340" s="4" t="s">
        <v>49</v>
      </c>
      <c r="D3340" s="2">
        <f>431340800/(10^6)</f>
        <v>431.3408</v>
      </c>
      <c r="E3340" s="5">
        <v>322.666687011719</v>
      </c>
      <c r="F3340" s="5">
        <v>1.21449673175812</v>
      </c>
      <c r="G3340" s="5" t="s">
        <v>86</v>
      </c>
      <c r="H3340" s="5" t="s">
        <v>86</v>
      </c>
      <c r="I3340" t="s">
        <v>57</v>
      </c>
    </row>
    <row r="3341" spans="1:9">
      <c r="A3341" s="4" t="s">
        <v>6735</v>
      </c>
      <c r="B3341" s="4" t="s">
        <v>6736</v>
      </c>
      <c r="C3341" s="4" t="s">
        <v>41</v>
      </c>
      <c r="D3341" s="2">
        <f>430610496/(10^6)</f>
        <v>430.610496</v>
      </c>
      <c r="E3341" s="5" t="s">
        <v>86</v>
      </c>
      <c r="F3341" s="5">
        <v>2.29504013061523</v>
      </c>
      <c r="G3341" s="5" t="s">
        <v>86</v>
      </c>
      <c r="H3341" s="5" t="s">
        <v>86</v>
      </c>
      <c r="I3341" t="s">
        <v>57</v>
      </c>
    </row>
    <row r="3342" spans="1:9">
      <c r="A3342" s="4" t="s">
        <v>6737</v>
      </c>
      <c r="B3342" s="4" t="s">
        <v>6738</v>
      </c>
      <c r="C3342" s="4" t="s">
        <v>31</v>
      </c>
      <c r="D3342" s="2">
        <f>430111648/(10^6)</f>
        <v>430.111648</v>
      </c>
      <c r="E3342" s="5">
        <v>9.5844259262085</v>
      </c>
      <c r="F3342" s="5">
        <v>0.3415267765522</v>
      </c>
      <c r="G3342" s="5">
        <v>0.613627195358276</v>
      </c>
      <c r="H3342" s="5">
        <v>8.31211566925049</v>
      </c>
      <c r="I3342" t="s">
        <v>57</v>
      </c>
    </row>
    <row r="3343" spans="1:9">
      <c r="A3343" s="4" t="s">
        <v>6739</v>
      </c>
      <c r="B3343" s="4" t="s">
        <v>6740</v>
      </c>
      <c r="C3343" s="4" t="s">
        <v>41</v>
      </c>
      <c r="D3343" s="2">
        <f>429296896/(10^6)</f>
        <v>429.296896</v>
      </c>
      <c r="E3343" s="5" t="s">
        <v>86</v>
      </c>
      <c r="F3343" s="5">
        <v>2.2483696937561</v>
      </c>
      <c r="G3343" s="5">
        <v>30.5365886688232</v>
      </c>
      <c r="H3343" s="5" t="s">
        <v>86</v>
      </c>
      <c r="I3343" t="s">
        <v>57</v>
      </c>
    </row>
    <row r="3344" spans="1:9">
      <c r="A3344" s="4" t="s">
        <v>6741</v>
      </c>
      <c r="B3344" s="4" t="s">
        <v>6742</v>
      </c>
      <c r="C3344" s="4" t="s">
        <v>43</v>
      </c>
      <c r="D3344" s="2">
        <f>429224992/(10^6)</f>
        <v>429.224992</v>
      </c>
      <c r="E3344" s="5">
        <v>7.49991607666016</v>
      </c>
      <c r="F3344" s="5">
        <v>0.799750745296478</v>
      </c>
      <c r="G3344" s="5">
        <v>1.44336152076721</v>
      </c>
      <c r="H3344" s="5" t="s">
        <v>86</v>
      </c>
      <c r="I3344" t="s">
        <v>57</v>
      </c>
    </row>
    <row r="3345" spans="1:9">
      <c r="A3345" s="4" t="s">
        <v>6743</v>
      </c>
      <c r="B3345" s="4" t="s">
        <v>6744</v>
      </c>
      <c r="C3345" s="4" t="s">
        <v>41</v>
      </c>
      <c r="D3345" s="2">
        <f>427074144/(10^6)</f>
        <v>427.074144</v>
      </c>
      <c r="E3345" s="5" t="s">
        <v>86</v>
      </c>
      <c r="F3345" s="5">
        <v>2.99354696273804</v>
      </c>
      <c r="G3345" s="5">
        <v>13.2878589630127</v>
      </c>
      <c r="H3345" s="5" t="s">
        <v>86</v>
      </c>
      <c r="I3345" t="s">
        <v>57</v>
      </c>
    </row>
    <row r="3346" spans="1:9">
      <c r="A3346" s="4" t="s">
        <v>6745</v>
      </c>
      <c r="B3346" s="4" t="s">
        <v>6746</v>
      </c>
      <c r="C3346" s="4" t="s">
        <v>41</v>
      </c>
      <c r="D3346" s="2">
        <f>426862528/(10^6)</f>
        <v>426.862528</v>
      </c>
      <c r="E3346" s="5" t="s">
        <v>86</v>
      </c>
      <c r="F3346" s="5">
        <v>1.66916012763977</v>
      </c>
      <c r="G3346" s="5" t="s">
        <v>86</v>
      </c>
      <c r="H3346" s="5" t="s">
        <v>86</v>
      </c>
      <c r="I3346" t="s">
        <v>57</v>
      </c>
    </row>
    <row r="3347" spans="1:9">
      <c r="A3347" s="4" t="s">
        <v>6747</v>
      </c>
      <c r="B3347" s="4" t="s">
        <v>6748</v>
      </c>
      <c r="C3347" s="4" t="s">
        <v>51</v>
      </c>
      <c r="D3347" s="2">
        <f>426486144/(10^6)</f>
        <v>426.486144</v>
      </c>
      <c r="E3347" s="5" t="s">
        <v>86</v>
      </c>
      <c r="F3347" s="5">
        <v>11.4838075637817</v>
      </c>
      <c r="G3347" s="5">
        <v>1.97791707515717</v>
      </c>
      <c r="H3347" s="5" t="s">
        <v>86</v>
      </c>
      <c r="I3347" t="s">
        <v>57</v>
      </c>
    </row>
    <row r="3348" spans="1:9">
      <c r="A3348" s="4" t="s">
        <v>6749</v>
      </c>
      <c r="B3348" s="4" t="s">
        <v>6750</v>
      </c>
      <c r="C3348" s="4" t="s">
        <v>47</v>
      </c>
      <c r="D3348" s="2">
        <f>425419872/(10^6)</f>
        <v>425.419872</v>
      </c>
      <c r="E3348" s="5">
        <v>2.21530151367188</v>
      </c>
      <c r="F3348" s="5">
        <v>0.435380518436432</v>
      </c>
      <c r="G3348" s="5">
        <v>0.065018706023693</v>
      </c>
      <c r="H3348" s="5">
        <v>13.2862529754639</v>
      </c>
      <c r="I3348" t="s">
        <v>57</v>
      </c>
    </row>
    <row r="3349" spans="1:9">
      <c r="A3349" s="4" t="s">
        <v>6751</v>
      </c>
      <c r="B3349" s="4" t="s">
        <v>6752</v>
      </c>
      <c r="C3349" s="4" t="s">
        <v>43</v>
      </c>
      <c r="D3349" s="2">
        <f>424800704/(10^6)</f>
        <v>424.800704</v>
      </c>
      <c r="E3349" s="5">
        <v>6.83664035797119</v>
      </c>
      <c r="F3349" s="5">
        <v>0.57151210308075</v>
      </c>
      <c r="G3349" s="5">
        <v>1.28701317310333</v>
      </c>
      <c r="H3349" s="5" t="s">
        <v>86</v>
      </c>
      <c r="I3349" t="s">
        <v>57</v>
      </c>
    </row>
    <row r="3350" spans="1:9">
      <c r="A3350" s="4" t="s">
        <v>6753</v>
      </c>
      <c r="B3350" s="4" t="s">
        <v>6754</v>
      </c>
      <c r="C3350" s="4" t="s">
        <v>43</v>
      </c>
      <c r="D3350" s="2">
        <f>424528256/(10^6)</f>
        <v>424.528256</v>
      </c>
      <c r="E3350" s="5">
        <v>7.39901494979858</v>
      </c>
      <c r="F3350" s="5">
        <v>0.803951859474182</v>
      </c>
      <c r="G3350" s="5">
        <v>1.65777325630188</v>
      </c>
      <c r="H3350" s="5" t="s">
        <v>86</v>
      </c>
      <c r="I3350" t="s">
        <v>57</v>
      </c>
    </row>
    <row r="3351" spans="1:9">
      <c r="A3351" s="4" t="s">
        <v>6755</v>
      </c>
      <c r="B3351" s="4" t="s">
        <v>6756</v>
      </c>
      <c r="C3351" s="4" t="s">
        <v>49</v>
      </c>
      <c r="D3351" s="2">
        <f>422281120/(10^6)</f>
        <v>422.28112</v>
      </c>
      <c r="E3351" s="5" t="s">
        <v>86</v>
      </c>
      <c r="F3351" s="5">
        <v>2711.77685546875</v>
      </c>
      <c r="G3351" s="5" t="s">
        <v>86</v>
      </c>
      <c r="H3351" s="5" t="s">
        <v>86</v>
      </c>
      <c r="I3351" t="s">
        <v>57</v>
      </c>
    </row>
    <row r="3352" spans="1:9">
      <c r="A3352" s="4" t="s">
        <v>6757</v>
      </c>
      <c r="B3352" s="4" t="s">
        <v>6758</v>
      </c>
      <c r="C3352" s="4" t="s">
        <v>41</v>
      </c>
      <c r="D3352" s="2">
        <f>422042176/(10^6)</f>
        <v>422.042176</v>
      </c>
      <c r="E3352" s="5" t="s">
        <v>86</v>
      </c>
      <c r="F3352" s="5">
        <v>3.79214382171631</v>
      </c>
      <c r="G3352" s="5">
        <v>3.52650380134583</v>
      </c>
      <c r="H3352" s="5" t="s">
        <v>86</v>
      </c>
      <c r="I3352" t="s">
        <v>57</v>
      </c>
    </row>
    <row r="3353" spans="1:9">
      <c r="A3353" s="4" t="s">
        <v>6759</v>
      </c>
      <c r="B3353" s="4" t="s">
        <v>6760</v>
      </c>
      <c r="C3353" s="4" t="s">
        <v>51</v>
      </c>
      <c r="D3353" s="2">
        <f>420840640/(10^6)</f>
        <v>420.84064</v>
      </c>
      <c r="E3353" s="5" t="s">
        <v>86</v>
      </c>
      <c r="F3353" s="5">
        <v>0.715640366077423</v>
      </c>
      <c r="G3353" s="5">
        <v>0.235665395855904</v>
      </c>
      <c r="H3353" s="5">
        <v>17.200403213501</v>
      </c>
      <c r="I3353" t="s">
        <v>57</v>
      </c>
    </row>
    <row r="3354" spans="1:9">
      <c r="A3354" s="4" t="s">
        <v>6761</v>
      </c>
      <c r="B3354" s="4" t="s">
        <v>6762</v>
      </c>
      <c r="C3354" s="4" t="s">
        <v>41</v>
      </c>
      <c r="D3354" s="2">
        <f>420788448/(10^6)</f>
        <v>420.788448</v>
      </c>
      <c r="E3354" s="5" t="s">
        <v>86</v>
      </c>
      <c r="F3354" s="5">
        <v>6.03400659561157</v>
      </c>
      <c r="G3354" s="5" t="s">
        <v>86</v>
      </c>
      <c r="H3354" s="5" t="s">
        <v>86</v>
      </c>
      <c r="I3354" t="s">
        <v>57</v>
      </c>
    </row>
    <row r="3355" spans="1:9">
      <c r="A3355" s="4" t="s">
        <v>6763</v>
      </c>
      <c r="B3355" s="4" t="s">
        <v>6764</v>
      </c>
      <c r="C3355" s="4" t="s">
        <v>31</v>
      </c>
      <c r="D3355" s="2">
        <f>419836320/(10^6)</f>
        <v>419.83632</v>
      </c>
      <c r="E3355" s="5">
        <v>27.0402336120605</v>
      </c>
      <c r="F3355" s="5">
        <v>1.07160437107086</v>
      </c>
      <c r="G3355" s="5">
        <v>0.191560596227646</v>
      </c>
      <c r="H3355" s="5">
        <v>7.34201812744141</v>
      </c>
      <c r="I3355" t="s">
        <v>57</v>
      </c>
    </row>
    <row r="3356" spans="1:9">
      <c r="A3356" s="4" t="s">
        <v>6765</v>
      </c>
      <c r="B3356" s="4" t="s">
        <v>6766</v>
      </c>
      <c r="C3356" s="4" t="s">
        <v>41</v>
      </c>
      <c r="D3356" s="2">
        <f>418649056/(10^6)</f>
        <v>418.649056</v>
      </c>
      <c r="E3356" s="5" t="s">
        <v>86</v>
      </c>
      <c r="F3356" s="5">
        <v>2.72714996337891</v>
      </c>
      <c r="G3356" s="5">
        <v>3.26177859306335</v>
      </c>
      <c r="H3356" s="5">
        <v>49.8881416320801</v>
      </c>
      <c r="I3356" t="s">
        <v>57</v>
      </c>
    </row>
    <row r="3357" spans="1:9">
      <c r="A3357" s="4" t="s">
        <v>6767</v>
      </c>
      <c r="B3357" s="4" t="s">
        <v>6768</v>
      </c>
      <c r="C3357" s="4" t="s">
        <v>31</v>
      </c>
      <c r="D3357" s="2">
        <f>417530272/(10^6)</f>
        <v>417.530272</v>
      </c>
      <c r="E3357" s="5">
        <v>8.47176837921143</v>
      </c>
      <c r="F3357" s="5">
        <v>1.35041797161102</v>
      </c>
      <c r="G3357" s="5">
        <v>0.573238909244537</v>
      </c>
      <c r="H3357" s="5">
        <v>1.97349739074707</v>
      </c>
      <c r="I3357" t="s">
        <v>57</v>
      </c>
    </row>
    <row r="3358" spans="1:9">
      <c r="A3358" s="4" t="s">
        <v>6769</v>
      </c>
      <c r="B3358" s="4" t="s">
        <v>6770</v>
      </c>
      <c r="C3358" s="4" t="s">
        <v>35</v>
      </c>
      <c r="D3358" s="2">
        <f>417160768/(10^6)</f>
        <v>417.160768</v>
      </c>
      <c r="E3358" s="5">
        <v>37.4071273803711</v>
      </c>
      <c r="F3358" s="5">
        <v>0.69134122133255</v>
      </c>
      <c r="G3358" s="5">
        <v>0.569861352443695</v>
      </c>
      <c r="H3358" s="5">
        <v>30.2306632995605</v>
      </c>
      <c r="I3358" t="s">
        <v>57</v>
      </c>
    </row>
    <row r="3359" spans="1:9">
      <c r="A3359" s="4" t="s">
        <v>6771</v>
      </c>
      <c r="B3359" s="4" t="s">
        <v>6772</v>
      </c>
      <c r="C3359" s="4" t="s">
        <v>51</v>
      </c>
      <c r="D3359" s="2">
        <f>417093216/(10^6)</f>
        <v>417.093216</v>
      </c>
      <c r="E3359" s="5">
        <v>9.51697635650635</v>
      </c>
      <c r="F3359" s="5">
        <v>0.852078020572662</v>
      </c>
      <c r="G3359" s="5">
        <v>0.467325299978256</v>
      </c>
      <c r="H3359" s="5">
        <v>7.68081712722778</v>
      </c>
      <c r="I3359" t="s">
        <v>57</v>
      </c>
    </row>
    <row r="3360" spans="1:9">
      <c r="A3360" s="4" t="s">
        <v>6773</v>
      </c>
      <c r="B3360" s="4" t="s">
        <v>6774</v>
      </c>
      <c r="C3360" s="4" t="s">
        <v>43</v>
      </c>
      <c r="D3360" s="2">
        <f>416670016/(10^6)</f>
        <v>416.670016</v>
      </c>
      <c r="E3360" s="5" t="s">
        <v>86</v>
      </c>
      <c r="F3360" s="5" t="s">
        <v>86</v>
      </c>
      <c r="G3360" s="5" t="s">
        <v>86</v>
      </c>
      <c r="H3360" s="5" t="s">
        <v>86</v>
      </c>
      <c r="I3360" t="s">
        <v>57</v>
      </c>
    </row>
    <row r="3361" spans="1:9">
      <c r="A3361" s="4" t="s">
        <v>6775</v>
      </c>
      <c r="B3361" s="4" t="s">
        <v>6776</v>
      </c>
      <c r="C3361" s="4" t="s">
        <v>47</v>
      </c>
      <c r="D3361" s="2">
        <f>415150944/(10^6)</f>
        <v>415.150944</v>
      </c>
      <c r="E3361" s="5">
        <v>7.38117122650146</v>
      </c>
      <c r="F3361" s="5">
        <v>1.99748468399048</v>
      </c>
      <c r="G3361" s="5">
        <v>0.9437415599823</v>
      </c>
      <c r="H3361" s="5">
        <v>6.19346761703491</v>
      </c>
      <c r="I3361" t="s">
        <v>57</v>
      </c>
    </row>
    <row r="3362" spans="1:9">
      <c r="A3362" s="4" t="s">
        <v>6777</v>
      </c>
      <c r="B3362" s="4" t="s">
        <v>6778</v>
      </c>
      <c r="C3362" s="4" t="s">
        <v>41</v>
      </c>
      <c r="D3362" s="2">
        <f>414983072/(10^6)</f>
        <v>414.983072</v>
      </c>
      <c r="E3362" s="5">
        <v>14.4712800979614</v>
      </c>
      <c r="F3362" s="5">
        <v>1.45323622226715</v>
      </c>
      <c r="G3362" s="5">
        <v>3.60525107383728</v>
      </c>
      <c r="H3362" s="5">
        <v>5.96673583984375</v>
      </c>
      <c r="I3362" t="s">
        <v>57</v>
      </c>
    </row>
    <row r="3363" spans="1:9">
      <c r="A3363" s="4" t="s">
        <v>6779</v>
      </c>
      <c r="B3363" s="4" t="s">
        <v>6780</v>
      </c>
      <c r="C3363" s="4" t="s">
        <v>31</v>
      </c>
      <c r="D3363" s="2">
        <f>414507328/(10^6)</f>
        <v>414.507328</v>
      </c>
      <c r="E3363" s="5">
        <v>4.67166614532471</v>
      </c>
      <c r="F3363" s="5">
        <v>1.12801599502563</v>
      </c>
      <c r="G3363" s="5">
        <v>0.311911642551422</v>
      </c>
      <c r="H3363" s="5">
        <v>5.05044746398926</v>
      </c>
      <c r="I3363" t="s">
        <v>57</v>
      </c>
    </row>
    <row r="3364" spans="1:9">
      <c r="A3364" s="4" t="s">
        <v>6781</v>
      </c>
      <c r="B3364" s="4" t="s">
        <v>6782</v>
      </c>
      <c r="C3364" s="4" t="s">
        <v>47</v>
      </c>
      <c r="D3364" s="2">
        <f>414093792/(10^6)</f>
        <v>414.093792</v>
      </c>
      <c r="E3364" s="5">
        <v>2.81755876541138</v>
      </c>
      <c r="F3364" s="5" t="s">
        <v>86</v>
      </c>
      <c r="G3364" s="5">
        <v>0.124623827636242</v>
      </c>
      <c r="H3364" s="5">
        <v>6.84367847442627</v>
      </c>
      <c r="I3364" t="s">
        <v>57</v>
      </c>
    </row>
    <row r="3365" spans="1:9">
      <c r="A3365" s="4" t="s">
        <v>6783</v>
      </c>
      <c r="B3365" s="4" t="s">
        <v>6784</v>
      </c>
      <c r="C3365" s="4" t="s">
        <v>27</v>
      </c>
      <c r="D3365" s="2">
        <f>413698112/(10^6)</f>
        <v>413.698112</v>
      </c>
      <c r="E3365" s="5">
        <v>2.18603229522705</v>
      </c>
      <c r="F3365" s="5">
        <v>0.645406663417816</v>
      </c>
      <c r="G3365" s="5">
        <v>0.192438319325447</v>
      </c>
      <c r="H3365" s="5">
        <v>1.26971209049225</v>
      </c>
      <c r="I3365" t="s">
        <v>57</v>
      </c>
    </row>
    <row r="3366" spans="1:9">
      <c r="A3366" s="4" t="s">
        <v>6785</v>
      </c>
      <c r="B3366" s="4" t="s">
        <v>6786</v>
      </c>
      <c r="C3366" s="4" t="s">
        <v>47</v>
      </c>
      <c r="D3366" s="2">
        <f>413534656/(10^6)</f>
        <v>413.534656</v>
      </c>
      <c r="E3366" s="5">
        <v>2.22780132293701</v>
      </c>
      <c r="F3366" s="5">
        <v>0.342368245124817</v>
      </c>
      <c r="G3366" s="5">
        <v>0.06659085303545</v>
      </c>
      <c r="H3366" s="5">
        <v>3.85003113746643</v>
      </c>
      <c r="I3366" t="s">
        <v>57</v>
      </c>
    </row>
    <row r="3367" spans="1:9">
      <c r="A3367" s="4" t="s">
        <v>6787</v>
      </c>
      <c r="B3367" s="4" t="s">
        <v>6788</v>
      </c>
      <c r="C3367" s="4" t="s">
        <v>43</v>
      </c>
      <c r="D3367" s="2">
        <f>408969792/(10^6)</f>
        <v>408.969792</v>
      </c>
      <c r="E3367" s="5" t="s">
        <v>86</v>
      </c>
      <c r="F3367" s="5">
        <v>0.678100645542145</v>
      </c>
      <c r="G3367" s="5" t="s">
        <v>86</v>
      </c>
      <c r="H3367" s="5" t="s">
        <v>86</v>
      </c>
      <c r="I3367" t="s">
        <v>57</v>
      </c>
    </row>
    <row r="3368" spans="1:9">
      <c r="A3368" s="4" t="s">
        <v>6789</v>
      </c>
      <c r="B3368" s="4" t="s">
        <v>6790</v>
      </c>
      <c r="C3368" s="4" t="s">
        <v>43</v>
      </c>
      <c r="D3368" s="2">
        <f>408905664/(10^6)</f>
        <v>408.905664</v>
      </c>
      <c r="E3368" s="5">
        <v>6.00421905517578</v>
      </c>
      <c r="F3368" s="5">
        <v>0.926114857196808</v>
      </c>
      <c r="G3368" s="5">
        <v>1.57662785053253</v>
      </c>
      <c r="H3368" s="5" t="s">
        <v>86</v>
      </c>
      <c r="I3368" t="s">
        <v>57</v>
      </c>
    </row>
    <row r="3369" spans="1:9">
      <c r="A3369" s="4" t="s">
        <v>6791</v>
      </c>
      <c r="B3369" s="4" t="s">
        <v>6792</v>
      </c>
      <c r="C3369" s="4" t="s">
        <v>47</v>
      </c>
      <c r="D3369" s="2">
        <f>407700000/(10^6)</f>
        <v>407.7</v>
      </c>
      <c r="E3369" s="5" t="s">
        <v>86</v>
      </c>
      <c r="F3369" s="5" t="s">
        <v>86</v>
      </c>
      <c r="G3369" s="5" t="s">
        <v>86</v>
      </c>
      <c r="H3369" s="5" t="s">
        <v>86</v>
      </c>
      <c r="I3369" t="s">
        <v>57</v>
      </c>
    </row>
    <row r="3370" spans="1:9">
      <c r="A3370" s="4" t="s">
        <v>6793</v>
      </c>
      <c r="B3370" s="4" t="s">
        <v>6794</v>
      </c>
      <c r="C3370" s="4" t="s">
        <v>43</v>
      </c>
      <c r="D3370" s="2">
        <f>407523072/(10^6)</f>
        <v>407.523072</v>
      </c>
      <c r="E3370" s="5">
        <v>6.45759773254395</v>
      </c>
      <c r="F3370" s="5">
        <v>0.618707299232483</v>
      </c>
      <c r="G3370" s="5">
        <v>1.25665879249573</v>
      </c>
      <c r="H3370" s="5" t="s">
        <v>86</v>
      </c>
      <c r="I3370" t="s">
        <v>57</v>
      </c>
    </row>
    <row r="3371" spans="1:9">
      <c r="A3371" s="4" t="s">
        <v>6795</v>
      </c>
      <c r="B3371" s="4" t="s">
        <v>6796</v>
      </c>
      <c r="C3371" s="4" t="s">
        <v>47</v>
      </c>
      <c r="D3371" s="2">
        <f>407505408/(10^6)</f>
        <v>407.505408</v>
      </c>
      <c r="E3371" s="5">
        <v>27.63307762146</v>
      </c>
      <c r="F3371" s="5">
        <v>0.904561817646027</v>
      </c>
      <c r="G3371" s="5">
        <v>0.654025375843048</v>
      </c>
      <c r="H3371" s="5">
        <v>6.83136606216431</v>
      </c>
      <c r="I3371" t="s">
        <v>57</v>
      </c>
    </row>
    <row r="3372" spans="1:9">
      <c r="A3372" s="4" t="s">
        <v>6797</v>
      </c>
      <c r="B3372" s="4" t="s">
        <v>6798</v>
      </c>
      <c r="C3372" s="4" t="s">
        <v>35</v>
      </c>
      <c r="D3372" s="2">
        <f>405482240/(10^6)</f>
        <v>405.48224</v>
      </c>
      <c r="E3372" s="5">
        <v>10.1488351821899</v>
      </c>
      <c r="F3372" s="5">
        <v>3.80004930496216</v>
      </c>
      <c r="G3372" s="5">
        <v>1.11577761173248</v>
      </c>
      <c r="H3372" s="5">
        <v>17.5207786560059</v>
      </c>
      <c r="I3372" t="s">
        <v>57</v>
      </c>
    </row>
    <row r="3373" spans="1:9">
      <c r="A3373" s="4" t="s">
        <v>6799</v>
      </c>
      <c r="B3373" s="4" t="s">
        <v>6800</v>
      </c>
      <c r="C3373" s="4" t="s">
        <v>41</v>
      </c>
      <c r="D3373" s="2">
        <f>405220576/(10^6)</f>
        <v>405.220576</v>
      </c>
      <c r="E3373" s="5" t="s">
        <v>86</v>
      </c>
      <c r="F3373" s="5">
        <v>2.83192372322083</v>
      </c>
      <c r="G3373" s="5" t="s">
        <v>86</v>
      </c>
      <c r="H3373" s="5" t="s">
        <v>86</v>
      </c>
      <c r="I3373" t="s">
        <v>57</v>
      </c>
    </row>
    <row r="3374" spans="1:9">
      <c r="A3374" s="4" t="s">
        <v>6801</v>
      </c>
      <c r="B3374" s="4" t="s">
        <v>6802</v>
      </c>
      <c r="C3374" s="4" t="s">
        <v>33</v>
      </c>
      <c r="D3374" s="2">
        <f>404148256/(10^6)</f>
        <v>404.148256</v>
      </c>
      <c r="E3374" s="5" t="s">
        <v>86</v>
      </c>
      <c r="F3374" s="5">
        <v>1.17062652111054</v>
      </c>
      <c r="G3374" s="5">
        <v>9.47153949737549</v>
      </c>
      <c r="H3374" s="5">
        <v>44.2557678222656</v>
      </c>
      <c r="I3374" t="s">
        <v>57</v>
      </c>
    </row>
    <row r="3375" spans="1:9">
      <c r="A3375" s="4" t="s">
        <v>6803</v>
      </c>
      <c r="B3375" s="4" t="s">
        <v>6804</v>
      </c>
      <c r="C3375" s="4" t="s">
        <v>43</v>
      </c>
      <c r="D3375" s="2">
        <f>403611296/(10^6)</f>
        <v>403.611296</v>
      </c>
      <c r="E3375" s="5">
        <v>48.7367172241211</v>
      </c>
      <c r="F3375" s="5">
        <v>0.568291068077087</v>
      </c>
      <c r="G3375" s="5">
        <v>0.998578667640686</v>
      </c>
      <c r="H3375" s="5" t="s">
        <v>86</v>
      </c>
      <c r="I3375" t="s">
        <v>57</v>
      </c>
    </row>
    <row r="3376" spans="1:9">
      <c r="A3376" s="4" t="s">
        <v>6805</v>
      </c>
      <c r="B3376" s="4" t="s">
        <v>6806</v>
      </c>
      <c r="C3376" s="4" t="s">
        <v>41</v>
      </c>
      <c r="D3376" s="2">
        <f>403490240/(10^6)</f>
        <v>403.49024</v>
      </c>
      <c r="E3376" s="5" t="s">
        <v>86</v>
      </c>
      <c r="F3376" s="5">
        <v>8.01954555511475</v>
      </c>
      <c r="G3376" s="5" t="s">
        <v>86</v>
      </c>
      <c r="H3376" s="5" t="s">
        <v>86</v>
      </c>
      <c r="I3376" t="s">
        <v>57</v>
      </c>
    </row>
    <row r="3377" spans="1:9">
      <c r="A3377" s="4" t="s">
        <v>6807</v>
      </c>
      <c r="B3377" s="4" t="s">
        <v>6808</v>
      </c>
      <c r="C3377" s="4" t="s">
        <v>31</v>
      </c>
      <c r="D3377" s="2">
        <f>403434272/(10^6)</f>
        <v>403.434272</v>
      </c>
      <c r="E3377" s="5">
        <v>11.6300735473633</v>
      </c>
      <c r="F3377" s="5">
        <v>1.10634171962738</v>
      </c>
      <c r="G3377" s="5">
        <v>0.19399818778038</v>
      </c>
      <c r="H3377" s="5">
        <v>5.32632780075073</v>
      </c>
      <c r="I3377" t="s">
        <v>57</v>
      </c>
    </row>
    <row r="3378" spans="1:9">
      <c r="A3378" s="4" t="s">
        <v>6809</v>
      </c>
      <c r="B3378" s="4" t="s">
        <v>6810</v>
      </c>
      <c r="C3378" s="4" t="s">
        <v>31</v>
      </c>
      <c r="D3378" s="2">
        <f>402992192/(10^6)</f>
        <v>402.992192</v>
      </c>
      <c r="E3378" s="5">
        <v>8.57860660552979</v>
      </c>
      <c r="F3378" s="5">
        <v>1.73617029190064</v>
      </c>
      <c r="G3378" s="5">
        <v>0.526158213615417</v>
      </c>
      <c r="H3378" s="5">
        <v>4.67106342315674</v>
      </c>
      <c r="I3378" t="s">
        <v>57</v>
      </c>
    </row>
    <row r="3379" spans="1:9">
      <c r="A3379" s="4" t="s">
        <v>6811</v>
      </c>
      <c r="B3379" s="4" t="s">
        <v>6812</v>
      </c>
      <c r="C3379" s="4" t="s">
        <v>41</v>
      </c>
      <c r="D3379" s="2">
        <f>402748992/(10^6)</f>
        <v>402.748992</v>
      </c>
      <c r="E3379" s="5" t="s">
        <v>86</v>
      </c>
      <c r="F3379" s="5">
        <v>8.9693078994751</v>
      </c>
      <c r="G3379" s="5">
        <v>41.484447479248</v>
      </c>
      <c r="H3379" s="5" t="s">
        <v>86</v>
      </c>
      <c r="I3379" t="s">
        <v>57</v>
      </c>
    </row>
    <row r="3380" spans="1:9">
      <c r="A3380" s="4" t="s">
        <v>6813</v>
      </c>
      <c r="B3380" s="4" t="s">
        <v>6814</v>
      </c>
      <c r="C3380" s="4" t="s">
        <v>31</v>
      </c>
      <c r="D3380" s="2">
        <f>402534816/(10^6)</f>
        <v>402.534816</v>
      </c>
      <c r="E3380" s="5">
        <v>10.1093015670776</v>
      </c>
      <c r="F3380" s="5">
        <v>0.860884189605713</v>
      </c>
      <c r="G3380" s="5">
        <v>0.290536314249039</v>
      </c>
      <c r="H3380" s="5">
        <v>7.01436471939087</v>
      </c>
      <c r="I3380" t="s">
        <v>57</v>
      </c>
    </row>
    <row r="3381" spans="1:9">
      <c r="A3381" s="4" t="s">
        <v>6815</v>
      </c>
      <c r="B3381" s="4" t="s">
        <v>6816</v>
      </c>
      <c r="C3381" s="4" t="s">
        <v>41</v>
      </c>
      <c r="D3381" s="2">
        <f>400482720/(10^6)</f>
        <v>400.48272</v>
      </c>
      <c r="E3381" s="5" t="s">
        <v>86</v>
      </c>
      <c r="F3381" s="5">
        <v>2.41987013816833</v>
      </c>
      <c r="G3381" s="5" t="s">
        <v>86</v>
      </c>
      <c r="H3381" s="5" t="s">
        <v>86</v>
      </c>
      <c r="I3381" t="s">
        <v>57</v>
      </c>
    </row>
    <row r="3382" spans="1:9">
      <c r="A3382" s="4" t="s">
        <v>6817</v>
      </c>
      <c r="B3382" s="4" t="s">
        <v>6818</v>
      </c>
      <c r="C3382" s="4" t="s">
        <v>41</v>
      </c>
      <c r="D3382" s="2">
        <f>400025696/(10^6)</f>
        <v>400.025696</v>
      </c>
      <c r="E3382" s="5" t="s">
        <v>86</v>
      </c>
      <c r="F3382" s="5">
        <v>3.54134178161621</v>
      </c>
      <c r="G3382" s="5">
        <v>18.2185955047607</v>
      </c>
      <c r="H3382" s="5" t="s">
        <v>86</v>
      </c>
      <c r="I3382" t="s">
        <v>57</v>
      </c>
    </row>
    <row r="3383" spans="1:9">
      <c r="A3383" s="4" t="s">
        <v>6819</v>
      </c>
      <c r="B3383" s="4" t="s">
        <v>6820</v>
      </c>
      <c r="C3383" s="4" t="s">
        <v>41</v>
      </c>
      <c r="D3383" s="2">
        <f>399684416/(10^6)</f>
        <v>399.684416</v>
      </c>
      <c r="E3383" s="5" t="s">
        <v>86</v>
      </c>
      <c r="F3383" s="5">
        <v>28.1429023742676</v>
      </c>
      <c r="G3383" s="5">
        <v>10.762791633606</v>
      </c>
      <c r="H3383" s="5" t="s">
        <v>86</v>
      </c>
      <c r="I3383" t="s">
        <v>57</v>
      </c>
    </row>
    <row r="3384" spans="1:9">
      <c r="A3384" s="4" t="s">
        <v>6821</v>
      </c>
      <c r="B3384" s="4" t="s">
        <v>6822</v>
      </c>
      <c r="C3384" s="4" t="s">
        <v>43</v>
      </c>
      <c r="D3384" s="2">
        <f>399581696/(10^6)</f>
        <v>399.581696</v>
      </c>
      <c r="E3384" s="5">
        <v>10.8467149734497</v>
      </c>
      <c r="F3384" s="5">
        <v>1.02473890781403</v>
      </c>
      <c r="G3384" s="5">
        <v>1.83498442173004</v>
      </c>
      <c r="H3384" s="5" t="s">
        <v>86</v>
      </c>
      <c r="I3384" t="s">
        <v>57</v>
      </c>
    </row>
    <row r="3385" spans="1:9">
      <c r="A3385" s="4" t="s">
        <v>6823</v>
      </c>
      <c r="B3385" s="4" t="s">
        <v>6824</v>
      </c>
      <c r="C3385" s="4" t="s">
        <v>43</v>
      </c>
      <c r="D3385" s="2">
        <f>398441728/(10^6)</f>
        <v>398.441728</v>
      </c>
      <c r="E3385" s="5">
        <v>7.75289583206177</v>
      </c>
      <c r="F3385" s="5">
        <v>0.801206290721893</v>
      </c>
      <c r="G3385" s="5">
        <v>1.89497876167297</v>
      </c>
      <c r="H3385" s="5" t="s">
        <v>86</v>
      </c>
      <c r="I3385" t="s">
        <v>57</v>
      </c>
    </row>
    <row r="3386" spans="1:9">
      <c r="A3386" s="4" t="s">
        <v>6825</v>
      </c>
      <c r="B3386" s="4" t="s">
        <v>6826</v>
      </c>
      <c r="C3386" s="4" t="s">
        <v>41</v>
      </c>
      <c r="D3386" s="2">
        <f>398375456/(10^6)</f>
        <v>398.375456</v>
      </c>
      <c r="E3386" s="5" t="s">
        <v>86</v>
      </c>
      <c r="F3386" s="5">
        <v>4.84380054473877</v>
      </c>
      <c r="G3386" s="5" t="s">
        <v>86</v>
      </c>
      <c r="H3386" s="5" t="s">
        <v>86</v>
      </c>
      <c r="I3386" t="s">
        <v>57</v>
      </c>
    </row>
    <row r="3387" spans="1:9">
      <c r="A3387" s="4" t="s">
        <v>6827</v>
      </c>
      <c r="B3387" s="4" t="s">
        <v>6828</v>
      </c>
      <c r="C3387" s="4" t="s">
        <v>33</v>
      </c>
      <c r="D3387" s="2">
        <f>398097568/(10^6)</f>
        <v>398.097568</v>
      </c>
      <c r="E3387" s="5">
        <v>31.6761779785156</v>
      </c>
      <c r="F3387" s="5">
        <v>2.00889086723328</v>
      </c>
      <c r="G3387" s="5">
        <v>1.95763528347015</v>
      </c>
      <c r="H3387" s="5">
        <v>12.6229095458984</v>
      </c>
      <c r="I3387" t="s">
        <v>57</v>
      </c>
    </row>
    <row r="3388" spans="1:9">
      <c r="A3388" s="4" t="s">
        <v>6829</v>
      </c>
      <c r="B3388" s="4" t="s">
        <v>6830</v>
      </c>
      <c r="C3388" s="4" t="s">
        <v>31</v>
      </c>
      <c r="D3388" s="2">
        <f>397543136/(10^6)</f>
        <v>397.543136</v>
      </c>
      <c r="E3388" s="5">
        <v>3.33957099914551</v>
      </c>
      <c r="F3388" s="5">
        <v>1.38219881057739</v>
      </c>
      <c r="G3388" s="5">
        <v>0.122032389044762</v>
      </c>
      <c r="H3388" s="5">
        <v>5.48968315124512</v>
      </c>
      <c r="I3388" t="s">
        <v>57</v>
      </c>
    </row>
    <row r="3389" spans="1:9">
      <c r="A3389" s="4" t="s">
        <v>6831</v>
      </c>
      <c r="B3389" s="4" t="s">
        <v>6832</v>
      </c>
      <c r="C3389" s="4" t="s">
        <v>31</v>
      </c>
      <c r="D3389" s="2">
        <f>397501888/(10^6)</f>
        <v>397.501888</v>
      </c>
      <c r="E3389" s="5">
        <v>11.8394269943237</v>
      </c>
      <c r="F3389" s="5">
        <v>2.30196762084961</v>
      </c>
      <c r="G3389" s="5">
        <v>0.41675329208374</v>
      </c>
      <c r="H3389" s="5">
        <v>9.74827671051025</v>
      </c>
      <c r="I3389" t="s">
        <v>57</v>
      </c>
    </row>
    <row r="3390" spans="1:9">
      <c r="A3390" s="4" t="s">
        <v>6833</v>
      </c>
      <c r="B3390" s="4" t="s">
        <v>6834</v>
      </c>
      <c r="C3390" s="4" t="s">
        <v>43</v>
      </c>
      <c r="D3390" s="2">
        <f>397290752/(10^6)</f>
        <v>397.290752</v>
      </c>
      <c r="E3390" s="5">
        <v>11.7349395751953</v>
      </c>
      <c r="F3390" s="5">
        <v>1.17795217037201</v>
      </c>
      <c r="G3390" s="5">
        <v>3.6335973739624</v>
      </c>
      <c r="H3390" s="5" t="s">
        <v>86</v>
      </c>
      <c r="I3390" t="s">
        <v>57</v>
      </c>
    </row>
    <row r="3391" spans="1:9">
      <c r="A3391" s="4" t="s">
        <v>6835</v>
      </c>
      <c r="B3391" s="4" t="s">
        <v>6836</v>
      </c>
      <c r="C3391" s="4" t="s">
        <v>49</v>
      </c>
      <c r="D3391" s="2">
        <f>396000000/(10^6)</f>
        <v>396</v>
      </c>
      <c r="E3391" s="5">
        <v>31.9715785980225</v>
      </c>
      <c r="F3391" s="5">
        <v>0.302078068256378</v>
      </c>
      <c r="G3391" s="5" t="s">
        <v>86</v>
      </c>
      <c r="H3391" s="5" t="s">
        <v>86</v>
      </c>
      <c r="I3391" t="s">
        <v>57</v>
      </c>
    </row>
    <row r="3392" spans="1:9">
      <c r="A3392" s="4" t="s">
        <v>6837</v>
      </c>
      <c r="B3392" s="4" t="s">
        <v>6838</v>
      </c>
      <c r="C3392" s="4" t="s">
        <v>41</v>
      </c>
      <c r="D3392" s="2">
        <f>395647840/(10^6)</f>
        <v>395.64784</v>
      </c>
      <c r="E3392" s="5" t="s">
        <v>86</v>
      </c>
      <c r="F3392" s="5">
        <v>3.34478569030762</v>
      </c>
      <c r="G3392" s="5">
        <v>3.52408266067505</v>
      </c>
      <c r="H3392" s="5" t="s">
        <v>86</v>
      </c>
      <c r="I3392" t="s">
        <v>57</v>
      </c>
    </row>
    <row r="3393" spans="1:9">
      <c r="A3393" s="4" t="s">
        <v>6839</v>
      </c>
      <c r="B3393" s="4" t="s">
        <v>6840</v>
      </c>
      <c r="C3393" s="4" t="s">
        <v>49</v>
      </c>
      <c r="D3393" s="2">
        <f>395250016/(10^6)</f>
        <v>395.250016</v>
      </c>
      <c r="E3393" s="5" t="s">
        <v>86</v>
      </c>
      <c r="F3393" s="5" t="s">
        <v>86</v>
      </c>
      <c r="G3393" s="5" t="s">
        <v>86</v>
      </c>
      <c r="H3393" s="5" t="s">
        <v>86</v>
      </c>
      <c r="I3393" t="s">
        <v>57</v>
      </c>
    </row>
    <row r="3394" spans="1:9">
      <c r="A3394" s="4" t="s">
        <v>6841</v>
      </c>
      <c r="B3394" s="4" t="s">
        <v>6842</v>
      </c>
      <c r="C3394" s="4" t="s">
        <v>37</v>
      </c>
      <c r="D3394" s="2">
        <f>395105728/(10^6)</f>
        <v>395.105728</v>
      </c>
      <c r="E3394" s="5">
        <v>2.55909085273743</v>
      </c>
      <c r="F3394" s="5">
        <v>0.38472855091095</v>
      </c>
      <c r="G3394" s="5">
        <v>0.15900094807148</v>
      </c>
      <c r="H3394" s="5">
        <v>2.36775779724121</v>
      </c>
      <c r="I3394" t="s">
        <v>57</v>
      </c>
    </row>
    <row r="3395" spans="1:9">
      <c r="A3395" s="4" t="s">
        <v>6843</v>
      </c>
      <c r="B3395" s="4" t="s">
        <v>6844</v>
      </c>
      <c r="C3395" s="4" t="s">
        <v>41</v>
      </c>
      <c r="D3395" s="2">
        <f>393642016/(10^6)</f>
        <v>393.642016</v>
      </c>
      <c r="E3395" s="5" t="s">
        <v>86</v>
      </c>
      <c r="F3395" s="5" t="s">
        <v>86</v>
      </c>
      <c r="G3395" s="5">
        <v>0.028760014101863</v>
      </c>
      <c r="H3395" s="5">
        <v>10.5647439956665</v>
      </c>
      <c r="I3395" t="s">
        <v>57</v>
      </c>
    </row>
    <row r="3396" spans="1:9">
      <c r="A3396" s="4" t="s">
        <v>6845</v>
      </c>
      <c r="B3396" s="4" t="s">
        <v>6846</v>
      </c>
      <c r="C3396" s="4" t="s">
        <v>43</v>
      </c>
      <c r="D3396" s="2">
        <f>393103872/(10^6)</f>
        <v>393.103872</v>
      </c>
      <c r="E3396" s="5">
        <v>46.5011711120605</v>
      </c>
      <c r="F3396" s="5">
        <v>0.855949759483337</v>
      </c>
      <c r="G3396" s="5">
        <v>1.05355191230774</v>
      </c>
      <c r="H3396" s="5" t="s">
        <v>86</v>
      </c>
      <c r="I3396" t="s">
        <v>57</v>
      </c>
    </row>
    <row r="3397" spans="1:9">
      <c r="A3397" s="4" t="s">
        <v>6847</v>
      </c>
      <c r="B3397" s="4" t="s">
        <v>6848</v>
      </c>
      <c r="C3397" s="4" t="s">
        <v>43</v>
      </c>
      <c r="D3397" s="2">
        <f>391092288/(10^6)</f>
        <v>391.092288</v>
      </c>
      <c r="E3397" s="5">
        <v>501.303985595703</v>
      </c>
      <c r="F3397" s="5">
        <v>1.15040373802185</v>
      </c>
      <c r="G3397" s="5">
        <v>1.41415274143219</v>
      </c>
      <c r="H3397" s="5">
        <v>10.9096546173096</v>
      </c>
      <c r="I3397" t="s">
        <v>57</v>
      </c>
    </row>
    <row r="3398" spans="1:9">
      <c r="A3398" s="4" t="s">
        <v>6849</v>
      </c>
      <c r="B3398" s="4" t="s">
        <v>6850</v>
      </c>
      <c r="C3398" s="4" t="s">
        <v>43</v>
      </c>
      <c r="D3398" s="2">
        <f>390969056/(10^6)</f>
        <v>390.969056</v>
      </c>
      <c r="E3398" s="5" t="s">
        <v>86</v>
      </c>
      <c r="F3398" s="5">
        <v>0.720673382282257</v>
      </c>
      <c r="G3398" s="5" t="s">
        <v>86</v>
      </c>
      <c r="H3398" s="5" t="s">
        <v>86</v>
      </c>
      <c r="I3398" t="s">
        <v>57</v>
      </c>
    </row>
    <row r="3399" spans="1:9">
      <c r="A3399" s="4" t="s">
        <v>6851</v>
      </c>
      <c r="B3399" s="4" t="s">
        <v>6852</v>
      </c>
      <c r="C3399" s="4" t="s">
        <v>43</v>
      </c>
      <c r="D3399" s="2">
        <f>390090752/(10^6)</f>
        <v>390.090752</v>
      </c>
      <c r="E3399" s="5">
        <v>9.96655654907227</v>
      </c>
      <c r="F3399" s="5">
        <v>0.9449502825737</v>
      </c>
      <c r="G3399" s="5">
        <v>2.68946886062622</v>
      </c>
      <c r="H3399" s="5" t="s">
        <v>86</v>
      </c>
      <c r="I3399" t="s">
        <v>57</v>
      </c>
    </row>
    <row r="3400" spans="1:9">
      <c r="A3400" s="4" t="s">
        <v>6853</v>
      </c>
      <c r="B3400" s="4" t="s">
        <v>6854</v>
      </c>
      <c r="C3400" s="4" t="s">
        <v>41</v>
      </c>
      <c r="D3400" s="2">
        <f>389850784/(10^6)</f>
        <v>389.850784</v>
      </c>
      <c r="E3400" s="5">
        <v>13</v>
      </c>
      <c r="F3400" s="5">
        <v>4.44833040237427</v>
      </c>
      <c r="G3400" s="5">
        <v>3.79473781585693</v>
      </c>
      <c r="H3400" s="5">
        <v>9.20870780944824</v>
      </c>
      <c r="I3400" t="s">
        <v>57</v>
      </c>
    </row>
    <row r="3401" spans="1:9">
      <c r="A3401" s="4" t="s">
        <v>6855</v>
      </c>
      <c r="B3401" s="4" t="s">
        <v>6856</v>
      </c>
      <c r="C3401" s="4" t="s">
        <v>39</v>
      </c>
      <c r="D3401" s="2">
        <f>389604128/(10^6)</f>
        <v>389.604128</v>
      </c>
      <c r="E3401" s="5" t="s">
        <v>86</v>
      </c>
      <c r="F3401" s="5" t="s">
        <v>86</v>
      </c>
      <c r="G3401" s="5">
        <v>681.585754394531</v>
      </c>
      <c r="H3401" s="5" t="s">
        <v>86</v>
      </c>
      <c r="I3401" t="s">
        <v>57</v>
      </c>
    </row>
    <row r="3402" spans="1:9">
      <c r="A3402" s="4" t="s">
        <v>6857</v>
      </c>
      <c r="B3402" s="4" t="s">
        <v>6858</v>
      </c>
      <c r="C3402" s="4" t="s">
        <v>43</v>
      </c>
      <c r="D3402" s="2">
        <f>388127072/(10^6)</f>
        <v>388.127072</v>
      </c>
      <c r="E3402" s="5">
        <v>10.3215618133545</v>
      </c>
      <c r="F3402" s="5">
        <v>1.28492653369904</v>
      </c>
      <c r="G3402" s="5">
        <v>2.79222297668457</v>
      </c>
      <c r="H3402" s="5" t="s">
        <v>86</v>
      </c>
      <c r="I3402" t="s">
        <v>57</v>
      </c>
    </row>
    <row r="3403" spans="1:9">
      <c r="A3403" s="4" t="s">
        <v>6859</v>
      </c>
      <c r="B3403" s="4" t="s">
        <v>6860</v>
      </c>
      <c r="C3403" s="4" t="s">
        <v>33</v>
      </c>
      <c r="D3403" s="2">
        <f>387787520/(10^6)</f>
        <v>387.78752</v>
      </c>
      <c r="E3403" s="5">
        <v>7.62971591949463</v>
      </c>
      <c r="F3403" s="5">
        <v>0.623977839946747</v>
      </c>
      <c r="G3403" s="5">
        <v>0.470162838697433</v>
      </c>
      <c r="H3403" s="5">
        <v>5.1715087890625</v>
      </c>
      <c r="I3403" t="s">
        <v>57</v>
      </c>
    </row>
    <row r="3404" spans="1:9">
      <c r="A3404" s="4" t="s">
        <v>6861</v>
      </c>
      <c r="B3404" s="4" t="s">
        <v>6862</v>
      </c>
      <c r="C3404" s="4" t="s">
        <v>51</v>
      </c>
      <c r="D3404" s="2">
        <f>387097280/(10^6)</f>
        <v>387.09728</v>
      </c>
      <c r="E3404" s="5" t="s">
        <v>86</v>
      </c>
      <c r="F3404" s="5">
        <v>1.01612663269043</v>
      </c>
      <c r="G3404" s="5">
        <v>0.721528232097626</v>
      </c>
      <c r="H3404" s="5" t="s">
        <v>86</v>
      </c>
      <c r="I3404" t="s">
        <v>57</v>
      </c>
    </row>
    <row r="3405" spans="1:9">
      <c r="A3405" s="4" t="s">
        <v>6863</v>
      </c>
      <c r="B3405" s="4" t="s">
        <v>6864</v>
      </c>
      <c r="C3405" s="4" t="s">
        <v>47</v>
      </c>
      <c r="D3405" s="2">
        <f>386869984/(10^6)</f>
        <v>386.869984</v>
      </c>
      <c r="E3405" s="5" t="s">
        <v>86</v>
      </c>
      <c r="F3405" s="5">
        <v>1.55916893482208</v>
      </c>
      <c r="G3405" s="5">
        <v>0.301426500082016</v>
      </c>
      <c r="H3405" s="5">
        <v>10.9333267211914</v>
      </c>
      <c r="I3405" t="s">
        <v>57</v>
      </c>
    </row>
    <row r="3406" spans="1:9">
      <c r="A3406" s="4" t="s">
        <v>6865</v>
      </c>
      <c r="B3406" s="4" t="s">
        <v>6866</v>
      </c>
      <c r="C3406" s="4" t="s">
        <v>47</v>
      </c>
      <c r="D3406" s="2">
        <f>384675072/(10^6)</f>
        <v>384.675072</v>
      </c>
      <c r="E3406" s="5">
        <v>7.61229562759399</v>
      </c>
      <c r="F3406" s="5">
        <v>1.22504067420959</v>
      </c>
      <c r="G3406" s="5">
        <v>0.448279350996017</v>
      </c>
      <c r="H3406" s="5">
        <v>5.15320539474487</v>
      </c>
      <c r="I3406" t="s">
        <v>57</v>
      </c>
    </row>
    <row r="3407" spans="1:9">
      <c r="A3407" s="4" t="s">
        <v>6867</v>
      </c>
      <c r="B3407" s="4" t="s">
        <v>6868</v>
      </c>
      <c r="C3407" s="4" t="s">
        <v>49</v>
      </c>
      <c r="D3407" s="2">
        <f>384567200/(10^6)</f>
        <v>384.5672</v>
      </c>
      <c r="E3407" s="5">
        <v>451.084808349609</v>
      </c>
      <c r="F3407" s="5">
        <v>0.301273882389069</v>
      </c>
      <c r="G3407" s="5" t="s">
        <v>86</v>
      </c>
      <c r="H3407" s="5" t="s">
        <v>86</v>
      </c>
      <c r="I3407" t="s">
        <v>57</v>
      </c>
    </row>
    <row r="3408" spans="1:9">
      <c r="A3408" s="4" t="s">
        <v>6869</v>
      </c>
      <c r="B3408" s="4" t="s">
        <v>6870</v>
      </c>
      <c r="C3408" s="4" t="s">
        <v>41</v>
      </c>
      <c r="D3408" s="2">
        <f>384419008/(10^6)</f>
        <v>384.419008</v>
      </c>
      <c r="E3408" s="5" t="s">
        <v>86</v>
      </c>
      <c r="F3408" s="5" t="s">
        <v>86</v>
      </c>
      <c r="G3408" s="5" t="s">
        <v>86</v>
      </c>
      <c r="H3408" s="5" t="s">
        <v>86</v>
      </c>
      <c r="I3408" t="s">
        <v>57</v>
      </c>
    </row>
    <row r="3409" spans="1:9">
      <c r="A3409" s="4" t="s">
        <v>6871</v>
      </c>
      <c r="B3409" s="4" t="s">
        <v>6872</v>
      </c>
      <c r="C3409" s="4" t="s">
        <v>51</v>
      </c>
      <c r="D3409" s="2">
        <f>383668000/(10^6)</f>
        <v>383.668</v>
      </c>
      <c r="E3409" s="5" t="s">
        <v>86</v>
      </c>
      <c r="F3409" s="5">
        <v>67.0153427124023</v>
      </c>
      <c r="G3409" s="5">
        <v>4381.568359375</v>
      </c>
      <c r="H3409" s="5" t="s">
        <v>86</v>
      </c>
      <c r="I3409" t="s">
        <v>57</v>
      </c>
    </row>
    <row r="3410" spans="1:9">
      <c r="A3410" s="4" t="s">
        <v>6873</v>
      </c>
      <c r="B3410" s="4" t="s">
        <v>6874</v>
      </c>
      <c r="C3410" s="4" t="s">
        <v>31</v>
      </c>
      <c r="D3410" s="2">
        <f>383592032/(10^6)</f>
        <v>383.592032</v>
      </c>
      <c r="E3410" s="5">
        <v>20.0475082397461</v>
      </c>
      <c r="F3410" s="5">
        <v>1.40113246440887</v>
      </c>
      <c r="G3410" s="5">
        <v>0.83433473110199</v>
      </c>
      <c r="H3410" s="5">
        <v>7.64371967315674</v>
      </c>
      <c r="I3410" t="s">
        <v>57</v>
      </c>
    </row>
    <row r="3411" spans="1:9">
      <c r="A3411" s="4" t="s">
        <v>6875</v>
      </c>
      <c r="B3411" s="4" t="s">
        <v>6876</v>
      </c>
      <c r="C3411" s="4" t="s">
        <v>49</v>
      </c>
      <c r="D3411" s="2">
        <f>383453120/(10^6)</f>
        <v>383.45312</v>
      </c>
      <c r="E3411" s="5">
        <v>206.827438354492</v>
      </c>
      <c r="F3411" s="5">
        <v>1.249436378479</v>
      </c>
      <c r="G3411" s="5" t="s">
        <v>86</v>
      </c>
      <c r="H3411" s="5" t="s">
        <v>86</v>
      </c>
      <c r="I3411" t="s">
        <v>57</v>
      </c>
    </row>
    <row r="3412" spans="1:9">
      <c r="A3412" s="4" t="s">
        <v>6877</v>
      </c>
      <c r="B3412" s="4" t="s">
        <v>6878</v>
      </c>
      <c r="C3412" s="4" t="s">
        <v>27</v>
      </c>
      <c r="D3412" s="2">
        <f>383237216/(10^6)</f>
        <v>383.237216</v>
      </c>
      <c r="E3412" s="5" t="s">
        <v>86</v>
      </c>
      <c r="F3412" s="5">
        <v>0.587384283542633</v>
      </c>
      <c r="G3412" s="5">
        <v>0.066729366779327</v>
      </c>
      <c r="H3412" s="5">
        <v>3.88080859184265</v>
      </c>
      <c r="I3412" t="s">
        <v>57</v>
      </c>
    </row>
    <row r="3413" spans="1:9">
      <c r="A3413" s="4" t="s">
        <v>6879</v>
      </c>
      <c r="B3413" s="4" t="s">
        <v>6880</v>
      </c>
      <c r="C3413" s="4" t="s">
        <v>47</v>
      </c>
      <c r="D3413" s="2">
        <f>382979200/(10^6)</f>
        <v>382.9792</v>
      </c>
      <c r="E3413" s="5">
        <v>6.06656169891357</v>
      </c>
      <c r="F3413" s="5">
        <v>0.720887780189514</v>
      </c>
      <c r="G3413" s="5">
        <v>0.476718455553055</v>
      </c>
      <c r="H3413" s="5">
        <v>8.44268894195557</v>
      </c>
      <c r="I3413" t="s">
        <v>57</v>
      </c>
    </row>
    <row r="3414" spans="1:9">
      <c r="A3414" s="4" t="s">
        <v>6881</v>
      </c>
      <c r="B3414" s="4" t="s">
        <v>6882</v>
      </c>
      <c r="C3414" s="4" t="s">
        <v>45</v>
      </c>
      <c r="D3414" s="2">
        <f>382741344/(10^6)</f>
        <v>382.741344</v>
      </c>
      <c r="E3414" s="5">
        <v>60.2723655700684</v>
      </c>
      <c r="F3414" s="5">
        <v>1.02053201198578</v>
      </c>
      <c r="G3414" s="5">
        <v>16.2129173278809</v>
      </c>
      <c r="H3414" s="5">
        <v>27.1906452178955</v>
      </c>
      <c r="I3414" t="s">
        <v>57</v>
      </c>
    </row>
    <row r="3415" spans="1:9">
      <c r="A3415" s="4" t="s">
        <v>6883</v>
      </c>
      <c r="B3415" s="4" t="s">
        <v>6884</v>
      </c>
      <c r="C3415" s="4" t="s">
        <v>43</v>
      </c>
      <c r="D3415" s="2">
        <f>381879680/(10^6)</f>
        <v>381.87968</v>
      </c>
      <c r="E3415" s="5">
        <v>9.55357074737549</v>
      </c>
      <c r="F3415" s="5">
        <v>0.987260162830353</v>
      </c>
      <c r="G3415" s="5">
        <v>2.56298184394836</v>
      </c>
      <c r="H3415" s="5" t="s">
        <v>86</v>
      </c>
      <c r="I3415" t="s">
        <v>57</v>
      </c>
    </row>
    <row r="3416" spans="1:9">
      <c r="A3416" s="4" t="s">
        <v>6885</v>
      </c>
      <c r="B3416" s="4" t="s">
        <v>6886</v>
      </c>
      <c r="C3416" s="4" t="s">
        <v>41</v>
      </c>
      <c r="D3416" s="2">
        <f>381713664/(10^6)</f>
        <v>381.713664</v>
      </c>
      <c r="E3416" s="5" t="s">
        <v>86</v>
      </c>
      <c r="F3416" s="5">
        <v>0.942129552364349</v>
      </c>
      <c r="G3416" s="5">
        <v>47.3792495727539</v>
      </c>
      <c r="H3416" s="5" t="s">
        <v>86</v>
      </c>
      <c r="I3416" t="s">
        <v>57</v>
      </c>
    </row>
    <row r="3417" spans="1:9">
      <c r="A3417" s="4" t="s">
        <v>6887</v>
      </c>
      <c r="B3417" s="4" t="s">
        <v>6888</v>
      </c>
      <c r="C3417" s="4" t="s">
        <v>47</v>
      </c>
      <c r="D3417" s="2">
        <f>380992000/(10^6)</f>
        <v>380.992</v>
      </c>
      <c r="E3417" s="5">
        <v>14.5608673095703</v>
      </c>
      <c r="F3417" s="5" t="s">
        <v>86</v>
      </c>
      <c r="G3417" s="5">
        <v>0.160240650177002</v>
      </c>
      <c r="H3417" s="5">
        <v>18.5665626525879</v>
      </c>
      <c r="I3417" t="s">
        <v>57</v>
      </c>
    </row>
    <row r="3418" spans="1:9">
      <c r="A3418" s="4" t="s">
        <v>6889</v>
      </c>
      <c r="B3418" s="4" t="s">
        <v>6890</v>
      </c>
      <c r="C3418" s="4" t="s">
        <v>49</v>
      </c>
      <c r="D3418" s="2">
        <f>380565568/(10^6)</f>
        <v>380.565568</v>
      </c>
      <c r="E3418" s="5">
        <v>640.304748535156</v>
      </c>
      <c r="F3418" s="5">
        <v>0.310649573802948</v>
      </c>
      <c r="G3418" s="5" t="s">
        <v>86</v>
      </c>
      <c r="H3418" s="5" t="s">
        <v>86</v>
      </c>
      <c r="I3418" t="s">
        <v>57</v>
      </c>
    </row>
    <row r="3419" spans="1:9">
      <c r="A3419" s="4" t="s">
        <v>6891</v>
      </c>
      <c r="B3419" s="4" t="s">
        <v>6892</v>
      </c>
      <c r="C3419" s="4" t="s">
        <v>33</v>
      </c>
      <c r="D3419" s="2">
        <f>380492896/(10^6)</f>
        <v>380.492896</v>
      </c>
      <c r="E3419" s="5">
        <v>53.0683784484863</v>
      </c>
      <c r="F3419" s="5">
        <v>1.62502646446228</v>
      </c>
      <c r="G3419" s="5">
        <v>0.771332621574402</v>
      </c>
      <c r="H3419" s="5">
        <v>17.5780220031738</v>
      </c>
      <c r="I3419" t="s">
        <v>57</v>
      </c>
    </row>
    <row r="3420" spans="1:9">
      <c r="A3420" s="4" t="s">
        <v>6893</v>
      </c>
      <c r="B3420" s="4" t="s">
        <v>6894</v>
      </c>
      <c r="C3420" s="4" t="s">
        <v>41</v>
      </c>
      <c r="D3420" s="2">
        <f>379736320/(10^6)</f>
        <v>379.73632</v>
      </c>
      <c r="E3420" s="5" t="s">
        <v>86</v>
      </c>
      <c r="F3420" s="5" t="s">
        <v>86</v>
      </c>
      <c r="G3420" s="5">
        <v>2.09145069122314</v>
      </c>
      <c r="H3420" s="5" t="s">
        <v>86</v>
      </c>
      <c r="I3420" t="s">
        <v>57</v>
      </c>
    </row>
    <row r="3421" spans="1:9">
      <c r="A3421" s="4" t="s">
        <v>6895</v>
      </c>
      <c r="B3421" s="4" t="s">
        <v>6896</v>
      </c>
      <c r="C3421" s="4" t="s">
        <v>31</v>
      </c>
      <c r="D3421" s="2">
        <f>379536992/(10^6)</f>
        <v>379.536992</v>
      </c>
      <c r="E3421" s="5">
        <v>4.37379217147827</v>
      </c>
      <c r="F3421" s="5">
        <v>0.733867883682251</v>
      </c>
      <c r="G3421" s="5">
        <v>0.16861666738987</v>
      </c>
      <c r="H3421" s="5">
        <v>3.72814536094666</v>
      </c>
      <c r="I3421" t="s">
        <v>57</v>
      </c>
    </row>
    <row r="3422" spans="1:9">
      <c r="A3422" s="4" t="s">
        <v>6897</v>
      </c>
      <c r="B3422" s="4" t="s">
        <v>6898</v>
      </c>
      <c r="C3422" s="4" t="s">
        <v>37</v>
      </c>
      <c r="D3422" s="2">
        <f>379344448/(10^6)</f>
        <v>379.344448</v>
      </c>
      <c r="E3422" s="5">
        <v>14.4031248092651</v>
      </c>
      <c r="F3422" s="5">
        <v>2.27529144287109</v>
      </c>
      <c r="G3422" s="5">
        <v>0.730793535709381</v>
      </c>
      <c r="H3422" s="5">
        <v>6.09673595428467</v>
      </c>
      <c r="I3422" t="s">
        <v>57</v>
      </c>
    </row>
    <row r="3423" spans="1:9">
      <c r="A3423" s="4" t="s">
        <v>6899</v>
      </c>
      <c r="B3423" s="4" t="s">
        <v>6900</v>
      </c>
      <c r="C3423" s="4" t="s">
        <v>43</v>
      </c>
      <c r="D3423" s="2">
        <f>378205664/(10^6)</f>
        <v>378.205664</v>
      </c>
      <c r="E3423" s="5">
        <v>14.1862287521362</v>
      </c>
      <c r="F3423" s="5">
        <v>0.876075446605682</v>
      </c>
      <c r="G3423" s="5">
        <v>0.4826400578022</v>
      </c>
      <c r="H3423" s="5" t="s">
        <v>86</v>
      </c>
      <c r="I3423" t="s">
        <v>57</v>
      </c>
    </row>
    <row r="3424" spans="1:9">
      <c r="A3424" s="4" t="s">
        <v>6901</v>
      </c>
      <c r="B3424" s="4" t="s">
        <v>6902</v>
      </c>
      <c r="C3424" s="4" t="s">
        <v>43</v>
      </c>
      <c r="D3424" s="2">
        <f>378205664/(10^6)</f>
        <v>378.205664</v>
      </c>
      <c r="E3424" s="5">
        <v>14.1862287521362</v>
      </c>
      <c r="F3424" s="5">
        <v>0.876075446605682</v>
      </c>
      <c r="G3424" s="5">
        <v>0.4826400578022</v>
      </c>
      <c r="H3424" s="5" t="s">
        <v>86</v>
      </c>
      <c r="I3424" t="s">
        <v>57</v>
      </c>
    </row>
    <row r="3425" spans="1:9">
      <c r="A3425" s="4" t="s">
        <v>6903</v>
      </c>
      <c r="B3425" s="4" t="s">
        <v>6904</v>
      </c>
      <c r="C3425" s="4" t="s">
        <v>27</v>
      </c>
      <c r="D3425" s="2">
        <f>377924320/(10^6)</f>
        <v>377.92432</v>
      </c>
      <c r="E3425" s="5" t="s">
        <v>86</v>
      </c>
      <c r="F3425" s="5">
        <v>0.353408336639404</v>
      </c>
      <c r="G3425" s="5">
        <v>0.184418693184853</v>
      </c>
      <c r="H3425" s="5">
        <v>75.8368606567383</v>
      </c>
      <c r="I3425" t="s">
        <v>57</v>
      </c>
    </row>
    <row r="3426" spans="1:9">
      <c r="A3426" s="4" t="s">
        <v>6905</v>
      </c>
      <c r="B3426" s="4" t="s">
        <v>6906</v>
      </c>
      <c r="C3426" s="4" t="s">
        <v>41</v>
      </c>
      <c r="D3426" s="2">
        <f>377842944/(10^6)</f>
        <v>377.842944</v>
      </c>
      <c r="E3426" s="5">
        <v>15.5120477676392</v>
      </c>
      <c r="F3426" s="5">
        <v>3.03626728057861</v>
      </c>
      <c r="G3426" s="5">
        <v>9.86876773834229</v>
      </c>
      <c r="H3426" s="5" t="s">
        <v>86</v>
      </c>
      <c r="I3426" t="s">
        <v>57</v>
      </c>
    </row>
    <row r="3427" spans="1:9">
      <c r="A3427" s="4" t="s">
        <v>6907</v>
      </c>
      <c r="B3427" s="4" t="s">
        <v>6908</v>
      </c>
      <c r="C3427" s="4" t="s">
        <v>51</v>
      </c>
      <c r="D3427" s="2">
        <f>377287584/(10^6)</f>
        <v>377.287584</v>
      </c>
      <c r="E3427" s="5" t="s">
        <v>86</v>
      </c>
      <c r="F3427" s="5">
        <v>2.44441342353821</v>
      </c>
      <c r="G3427" s="5">
        <v>0.865341246128082</v>
      </c>
      <c r="H3427" s="5" t="s">
        <v>86</v>
      </c>
      <c r="I3427" t="s">
        <v>57</v>
      </c>
    </row>
    <row r="3428" spans="1:9">
      <c r="A3428" s="4" t="s">
        <v>6909</v>
      </c>
      <c r="B3428" s="4" t="s">
        <v>6910</v>
      </c>
      <c r="C3428" s="4" t="s">
        <v>37</v>
      </c>
      <c r="D3428" s="2">
        <f>376990976/(10^6)</f>
        <v>376.990976</v>
      </c>
      <c r="E3428" s="5">
        <v>26.8765182495117</v>
      </c>
      <c r="F3428" s="5">
        <v>1.0958901643753</v>
      </c>
      <c r="G3428" s="5">
        <v>0.775177597999573</v>
      </c>
      <c r="H3428" s="5">
        <v>9.71443462371826</v>
      </c>
      <c r="I3428" t="s">
        <v>57</v>
      </c>
    </row>
    <row r="3429" spans="1:9">
      <c r="A3429" s="4" t="s">
        <v>6911</v>
      </c>
      <c r="B3429" s="4" t="s">
        <v>6912</v>
      </c>
      <c r="C3429" s="4" t="s">
        <v>41</v>
      </c>
      <c r="D3429" s="2">
        <f>376950336/(10^6)</f>
        <v>376.950336</v>
      </c>
      <c r="E3429" s="5" t="s">
        <v>86</v>
      </c>
      <c r="F3429" s="5">
        <v>54.615535736084</v>
      </c>
      <c r="G3429" s="5">
        <v>9.26632118225098</v>
      </c>
      <c r="H3429" s="5" t="s">
        <v>86</v>
      </c>
      <c r="I3429" t="s">
        <v>57</v>
      </c>
    </row>
    <row r="3430" spans="1:9">
      <c r="A3430" s="4" t="s">
        <v>6913</v>
      </c>
      <c r="B3430" s="4" t="s">
        <v>6914</v>
      </c>
      <c r="C3430" s="4" t="s">
        <v>49</v>
      </c>
      <c r="D3430" s="2">
        <f>376937280/(10^6)</f>
        <v>376.93728</v>
      </c>
      <c r="E3430" s="5">
        <v>71</v>
      </c>
      <c r="F3430" s="5">
        <v>0.284959703683853</v>
      </c>
      <c r="G3430" s="5" t="s">
        <v>86</v>
      </c>
      <c r="H3430" s="5" t="s">
        <v>86</v>
      </c>
      <c r="I3430" t="s">
        <v>57</v>
      </c>
    </row>
    <row r="3431" spans="1:9">
      <c r="A3431" s="4" t="s">
        <v>6915</v>
      </c>
      <c r="B3431" s="4" t="s">
        <v>6916</v>
      </c>
      <c r="C3431" s="4" t="s">
        <v>45</v>
      </c>
      <c r="D3431" s="2">
        <f>375720224/(10^6)</f>
        <v>375.720224</v>
      </c>
      <c r="E3431" s="5">
        <v>3.23836135864258</v>
      </c>
      <c r="F3431" s="5">
        <v>0.178202211856842</v>
      </c>
      <c r="G3431" s="5">
        <v>0.064123623073101</v>
      </c>
      <c r="H3431" s="5">
        <v>8.68808364868164</v>
      </c>
      <c r="I3431" t="s">
        <v>57</v>
      </c>
    </row>
    <row r="3432" spans="1:9">
      <c r="A3432" s="4" t="s">
        <v>6917</v>
      </c>
      <c r="B3432" s="4" t="s">
        <v>6918</v>
      </c>
      <c r="C3432" s="4" t="s">
        <v>51</v>
      </c>
      <c r="D3432" s="2">
        <f>375435264/(10^6)</f>
        <v>375.435264</v>
      </c>
      <c r="E3432" s="5" t="s">
        <v>86</v>
      </c>
      <c r="F3432" s="5">
        <v>3.87301778793335</v>
      </c>
      <c r="G3432" s="5">
        <v>2.33341526985169</v>
      </c>
      <c r="H3432" s="5">
        <v>35.7009620666504</v>
      </c>
      <c r="I3432" t="s">
        <v>57</v>
      </c>
    </row>
    <row r="3433" spans="1:9">
      <c r="A3433" s="4" t="s">
        <v>6919</v>
      </c>
      <c r="B3433" s="4" t="s">
        <v>6920</v>
      </c>
      <c r="C3433" s="4" t="s">
        <v>33</v>
      </c>
      <c r="D3433" s="2">
        <f>375272224/(10^6)</f>
        <v>375.272224</v>
      </c>
      <c r="E3433" s="5" t="s">
        <v>86</v>
      </c>
      <c r="F3433" s="5">
        <v>0.307906001806259</v>
      </c>
      <c r="G3433" s="5">
        <v>0.068324267864227</v>
      </c>
      <c r="H3433" s="5">
        <v>7.01755380630493</v>
      </c>
      <c r="I3433" t="s">
        <v>57</v>
      </c>
    </row>
    <row r="3434" spans="1:9">
      <c r="A3434" s="4" t="s">
        <v>6921</v>
      </c>
      <c r="B3434" s="4" t="s">
        <v>6922</v>
      </c>
      <c r="C3434" s="4" t="s">
        <v>51</v>
      </c>
      <c r="D3434" s="2">
        <f>375152096/(10^6)</f>
        <v>375.152096</v>
      </c>
      <c r="E3434" s="5" t="s">
        <v>86</v>
      </c>
      <c r="F3434" s="5">
        <v>0.435260683298111</v>
      </c>
      <c r="G3434" s="5" t="s">
        <v>86</v>
      </c>
      <c r="H3434" s="5" t="s">
        <v>86</v>
      </c>
      <c r="I3434" t="s">
        <v>57</v>
      </c>
    </row>
    <row r="3435" spans="1:9">
      <c r="A3435" s="4" t="s">
        <v>6923</v>
      </c>
      <c r="B3435" s="4" t="s">
        <v>6924</v>
      </c>
      <c r="C3435" s="4" t="s">
        <v>43</v>
      </c>
      <c r="D3435" s="2">
        <f>375000000/(10^6)</f>
        <v>375</v>
      </c>
      <c r="E3435" s="5" t="s">
        <v>86</v>
      </c>
      <c r="F3435" s="5" t="s">
        <v>86</v>
      </c>
      <c r="G3435" s="5" t="s">
        <v>86</v>
      </c>
      <c r="H3435" s="5" t="s">
        <v>86</v>
      </c>
      <c r="I3435" t="s">
        <v>57</v>
      </c>
    </row>
    <row r="3436" spans="1:9">
      <c r="A3436" s="4" t="s">
        <v>6925</v>
      </c>
      <c r="B3436" s="4" t="s">
        <v>6926</v>
      </c>
      <c r="C3436" s="4" t="s">
        <v>27</v>
      </c>
      <c r="D3436" s="2">
        <f>374905344/(10^6)</f>
        <v>374.905344</v>
      </c>
      <c r="E3436" s="5">
        <v>9.87736034393311</v>
      </c>
      <c r="F3436" s="5">
        <v>0.422918438911438</v>
      </c>
      <c r="G3436" s="5">
        <v>0.568244934082031</v>
      </c>
      <c r="H3436" s="5">
        <v>4.28470468521118</v>
      </c>
      <c r="I3436" t="s">
        <v>57</v>
      </c>
    </row>
    <row r="3437" spans="1:9">
      <c r="A3437" s="4" t="s">
        <v>6927</v>
      </c>
      <c r="B3437" s="4" t="s">
        <v>6928</v>
      </c>
      <c r="C3437" s="4" t="s">
        <v>41</v>
      </c>
      <c r="D3437" s="2">
        <f>374442880/(10^6)</f>
        <v>374.44288</v>
      </c>
      <c r="E3437" s="5" t="s">
        <v>86</v>
      </c>
      <c r="F3437" s="5">
        <v>2.06411170959473</v>
      </c>
      <c r="G3437" s="5" t="s">
        <v>86</v>
      </c>
      <c r="H3437" s="5" t="s">
        <v>86</v>
      </c>
      <c r="I3437" t="s">
        <v>57</v>
      </c>
    </row>
    <row r="3438" spans="1:9">
      <c r="A3438" s="4" t="s">
        <v>6929</v>
      </c>
      <c r="B3438" s="4" t="s">
        <v>6930</v>
      </c>
      <c r="C3438" s="4" t="s">
        <v>47</v>
      </c>
      <c r="D3438" s="2">
        <f>374044352/(10^6)</f>
        <v>374.044352</v>
      </c>
      <c r="E3438" s="5">
        <v>4.9607629776001</v>
      </c>
      <c r="F3438" s="5">
        <v>0.898874998092651</v>
      </c>
      <c r="G3438" s="5">
        <v>0.49643138051033</v>
      </c>
      <c r="H3438" s="5">
        <v>5.85488033294678</v>
      </c>
      <c r="I3438" t="s">
        <v>57</v>
      </c>
    </row>
    <row r="3439" spans="1:9">
      <c r="A3439" s="4" t="s">
        <v>6931</v>
      </c>
      <c r="B3439" s="4" t="s">
        <v>6932</v>
      </c>
      <c r="C3439" s="4" t="s">
        <v>43</v>
      </c>
      <c r="D3439" s="2">
        <f>373797888/(10^6)</f>
        <v>373.797888</v>
      </c>
      <c r="E3439" s="5">
        <v>9.31578063964844</v>
      </c>
      <c r="F3439" s="5">
        <v>0.640695989131927</v>
      </c>
      <c r="G3439" s="5">
        <v>1.31289029121399</v>
      </c>
      <c r="H3439" s="5" t="s">
        <v>86</v>
      </c>
      <c r="I3439" t="s">
        <v>57</v>
      </c>
    </row>
    <row r="3440" spans="1:9">
      <c r="A3440" s="4" t="s">
        <v>6933</v>
      </c>
      <c r="B3440" s="4" t="s">
        <v>6934</v>
      </c>
      <c r="C3440" s="4" t="s">
        <v>37</v>
      </c>
      <c r="D3440" s="2">
        <f>373562976/(10^6)</f>
        <v>373.562976</v>
      </c>
      <c r="E3440" s="5" t="s">
        <v>86</v>
      </c>
      <c r="F3440" s="5" t="s">
        <v>86</v>
      </c>
      <c r="G3440" s="5">
        <v>1.47990441322327</v>
      </c>
      <c r="H3440" s="5" t="s">
        <v>86</v>
      </c>
      <c r="I3440" t="s">
        <v>57</v>
      </c>
    </row>
    <row r="3441" spans="1:9">
      <c r="A3441" s="4" t="s">
        <v>6935</v>
      </c>
      <c r="B3441" s="4" t="s">
        <v>6936</v>
      </c>
      <c r="C3441" s="4" t="s">
        <v>31</v>
      </c>
      <c r="D3441" s="2">
        <f>373463520/(10^6)</f>
        <v>373.46352</v>
      </c>
      <c r="E3441" s="5">
        <v>33.2335815429688</v>
      </c>
      <c r="F3441" s="5">
        <v>2.73438286781311</v>
      </c>
      <c r="G3441" s="5">
        <v>4.3940315246582</v>
      </c>
      <c r="H3441" s="5">
        <v>20.3873252868652</v>
      </c>
      <c r="I3441" t="s">
        <v>57</v>
      </c>
    </row>
    <row r="3442" spans="1:9">
      <c r="A3442" s="4" t="s">
        <v>6937</v>
      </c>
      <c r="B3442" s="4" t="s">
        <v>6938</v>
      </c>
      <c r="C3442" s="4" t="s">
        <v>43</v>
      </c>
      <c r="D3442" s="2">
        <f>370710688/(10^6)</f>
        <v>370.710688</v>
      </c>
      <c r="E3442" s="5">
        <v>7.39919376373291</v>
      </c>
      <c r="F3442" s="5">
        <v>0.702895820140839</v>
      </c>
      <c r="G3442" s="5">
        <v>1.79931676387787</v>
      </c>
      <c r="H3442" s="5" t="s">
        <v>86</v>
      </c>
      <c r="I3442" t="s">
        <v>57</v>
      </c>
    </row>
    <row r="3443" spans="1:9">
      <c r="A3443" s="4" t="s">
        <v>6939</v>
      </c>
      <c r="B3443" s="4" t="s">
        <v>6940</v>
      </c>
      <c r="C3443" s="4" t="s">
        <v>41</v>
      </c>
      <c r="D3443" s="2">
        <f>370690944/(10^6)</f>
        <v>370.690944</v>
      </c>
      <c r="E3443" s="5" t="s">
        <v>86</v>
      </c>
      <c r="F3443" s="5">
        <v>2.79503560066223</v>
      </c>
      <c r="G3443" s="5">
        <v>3.43146419525146</v>
      </c>
      <c r="H3443" s="5" t="s">
        <v>86</v>
      </c>
      <c r="I3443" t="s">
        <v>57</v>
      </c>
    </row>
    <row r="3444" spans="1:9">
      <c r="A3444" s="4" t="s">
        <v>6941</v>
      </c>
      <c r="B3444" s="4" t="s">
        <v>6942</v>
      </c>
      <c r="C3444" s="4" t="s">
        <v>47</v>
      </c>
      <c r="D3444" s="2">
        <f>370646848/(10^6)</f>
        <v>370.646848</v>
      </c>
      <c r="E3444" s="5">
        <v>2.32152628898621</v>
      </c>
      <c r="F3444" s="5">
        <v>0.287171125411987</v>
      </c>
      <c r="G3444" s="5">
        <v>0.118007995188236</v>
      </c>
      <c r="H3444" s="5">
        <v>1.675257563591</v>
      </c>
      <c r="I3444" t="s">
        <v>57</v>
      </c>
    </row>
    <row r="3445" spans="1:9">
      <c r="A3445" s="4" t="s">
        <v>6943</v>
      </c>
      <c r="B3445" s="4" t="s">
        <v>6944</v>
      </c>
      <c r="C3445" s="4" t="s">
        <v>51</v>
      </c>
      <c r="D3445" s="2">
        <f>370543872/(10^6)</f>
        <v>370.543872</v>
      </c>
      <c r="E3445" s="5">
        <v>11.5598106384277</v>
      </c>
      <c r="F3445" s="5">
        <v>0.67224133014679</v>
      </c>
      <c r="G3445" s="5">
        <v>0.53916209936142</v>
      </c>
      <c r="H3445" s="5">
        <v>6.97403907775879</v>
      </c>
      <c r="I3445" t="s">
        <v>57</v>
      </c>
    </row>
    <row r="3446" spans="1:9">
      <c r="A3446" s="4" t="s">
        <v>6945</v>
      </c>
      <c r="B3446" s="4" t="s">
        <v>6946</v>
      </c>
      <c r="C3446" s="4" t="s">
        <v>49</v>
      </c>
      <c r="D3446" s="2">
        <f>370124992/(10^6)</f>
        <v>370.124992</v>
      </c>
      <c r="E3446" s="5" t="s">
        <v>86</v>
      </c>
      <c r="F3446" s="5">
        <v>0.302959024906158</v>
      </c>
      <c r="G3446" s="5" t="s">
        <v>86</v>
      </c>
      <c r="H3446" s="5" t="s">
        <v>86</v>
      </c>
      <c r="I3446" t="s">
        <v>57</v>
      </c>
    </row>
    <row r="3447" spans="1:9">
      <c r="A3447" s="4" t="s">
        <v>6947</v>
      </c>
      <c r="B3447" s="4" t="s">
        <v>6948</v>
      </c>
      <c r="C3447" s="4" t="s">
        <v>49</v>
      </c>
      <c r="D3447" s="2">
        <f>368929376/(10^6)</f>
        <v>368.929376</v>
      </c>
      <c r="E3447" s="5">
        <v>76.5612335205078</v>
      </c>
      <c r="F3447" s="5">
        <v>1.28313159942627</v>
      </c>
      <c r="G3447" s="5" t="s">
        <v>86</v>
      </c>
      <c r="H3447" s="5" t="s">
        <v>86</v>
      </c>
      <c r="I3447" t="s">
        <v>57</v>
      </c>
    </row>
    <row r="3448" spans="1:9">
      <c r="A3448" s="4" t="s">
        <v>6949</v>
      </c>
      <c r="B3448" s="4" t="s">
        <v>6950</v>
      </c>
      <c r="C3448" s="4" t="s">
        <v>51</v>
      </c>
      <c r="D3448" s="2">
        <f>367012832/(10^6)</f>
        <v>367.012832</v>
      </c>
      <c r="E3448" s="5">
        <v>15.1649408340454</v>
      </c>
      <c r="F3448" s="5">
        <v>2.64222955703735</v>
      </c>
      <c r="G3448" s="5">
        <v>1.28946125507355</v>
      </c>
      <c r="H3448" s="5">
        <v>9.09405708312988</v>
      </c>
      <c r="I3448" t="s">
        <v>57</v>
      </c>
    </row>
    <row r="3449" spans="1:9">
      <c r="A3449" s="4" t="s">
        <v>6951</v>
      </c>
      <c r="B3449" s="4" t="s">
        <v>6952</v>
      </c>
      <c r="C3449" s="4" t="s">
        <v>31</v>
      </c>
      <c r="D3449" s="2">
        <f>366973152/(10^6)</f>
        <v>366.973152</v>
      </c>
      <c r="E3449" s="5">
        <v>10.6717071533203</v>
      </c>
      <c r="F3449" s="5">
        <v>1.44026839733124</v>
      </c>
      <c r="G3449" s="5">
        <v>0.327194780111313</v>
      </c>
      <c r="H3449" s="5">
        <v>6.59112977981567</v>
      </c>
      <c r="I3449" t="s">
        <v>57</v>
      </c>
    </row>
    <row r="3450" spans="1:9">
      <c r="A3450" s="4" t="s">
        <v>6953</v>
      </c>
      <c r="B3450" s="4" t="s">
        <v>6954</v>
      </c>
      <c r="C3450" s="4" t="s">
        <v>51</v>
      </c>
      <c r="D3450" s="2">
        <f>366914848/(10^6)</f>
        <v>366.914848</v>
      </c>
      <c r="E3450" s="5" t="s">
        <v>86</v>
      </c>
      <c r="F3450" s="5">
        <v>6.48986005783081</v>
      </c>
      <c r="G3450" s="5">
        <v>2.77171492576599</v>
      </c>
      <c r="H3450" s="5">
        <v>23.3282737731934</v>
      </c>
      <c r="I3450" t="s">
        <v>57</v>
      </c>
    </row>
    <row r="3451" spans="1:9">
      <c r="A3451" s="4" t="s">
        <v>6955</v>
      </c>
      <c r="B3451" s="4" t="s">
        <v>6956</v>
      </c>
      <c r="C3451" s="4" t="s">
        <v>43</v>
      </c>
      <c r="D3451" s="2">
        <f>366641504/(10^6)</f>
        <v>366.641504</v>
      </c>
      <c r="E3451" s="5">
        <v>77.3416748046875</v>
      </c>
      <c r="F3451" s="5">
        <v>0.64224511384964</v>
      </c>
      <c r="G3451" s="5">
        <v>4.96857309341431</v>
      </c>
      <c r="H3451" s="5">
        <v>11.9496717453003</v>
      </c>
      <c r="I3451" t="s">
        <v>57</v>
      </c>
    </row>
    <row r="3452" spans="1:9">
      <c r="A3452" s="4" t="s">
        <v>6957</v>
      </c>
      <c r="B3452" s="4" t="s">
        <v>6958</v>
      </c>
      <c r="C3452" s="4" t="s">
        <v>51</v>
      </c>
      <c r="D3452" s="2">
        <f>366497920/(10^6)</f>
        <v>366.49792</v>
      </c>
      <c r="E3452" s="5" t="s">
        <v>86</v>
      </c>
      <c r="F3452" s="5">
        <v>1.85251390933991</v>
      </c>
      <c r="G3452" s="5">
        <v>4.23389434814453</v>
      </c>
      <c r="H3452" s="5">
        <v>148.420532226562</v>
      </c>
      <c r="I3452" t="s">
        <v>57</v>
      </c>
    </row>
    <row r="3453" spans="1:9">
      <c r="A3453" s="4" t="s">
        <v>6959</v>
      </c>
      <c r="B3453" s="4" t="s">
        <v>6960</v>
      </c>
      <c r="C3453" s="4" t="s">
        <v>51</v>
      </c>
      <c r="D3453" s="2">
        <f>366198368/(10^6)</f>
        <v>366.198368</v>
      </c>
      <c r="E3453" s="5">
        <v>36.6165809631348</v>
      </c>
      <c r="F3453" s="5">
        <v>0.752093374729156</v>
      </c>
      <c r="G3453" s="5">
        <v>0.641536772251129</v>
      </c>
      <c r="H3453" s="5" t="s">
        <v>86</v>
      </c>
      <c r="I3453" t="s">
        <v>57</v>
      </c>
    </row>
    <row r="3454" spans="1:9">
      <c r="A3454" s="4" t="s">
        <v>6961</v>
      </c>
      <c r="B3454" s="4" t="s">
        <v>6962</v>
      </c>
      <c r="C3454" s="4" t="s">
        <v>43</v>
      </c>
      <c r="D3454" s="2">
        <f>364883008/(10^6)</f>
        <v>364.883008</v>
      </c>
      <c r="E3454" s="5">
        <v>12.8138904571533</v>
      </c>
      <c r="F3454" s="5">
        <v>1.58490896224976</v>
      </c>
      <c r="G3454" s="5">
        <v>3.46537709236145</v>
      </c>
      <c r="H3454" s="5" t="s">
        <v>86</v>
      </c>
      <c r="I3454" t="s">
        <v>57</v>
      </c>
    </row>
    <row r="3455" spans="1:9">
      <c r="A3455" s="4" t="s">
        <v>6963</v>
      </c>
      <c r="B3455" s="4" t="s">
        <v>6964</v>
      </c>
      <c r="C3455" s="4" t="s">
        <v>31</v>
      </c>
      <c r="D3455" s="2">
        <f>364499744/(10^6)</f>
        <v>364.499744</v>
      </c>
      <c r="E3455" s="5">
        <v>2.3744683265686</v>
      </c>
      <c r="F3455" s="5" t="s">
        <v>86</v>
      </c>
      <c r="G3455" s="5">
        <v>0.114242225885391</v>
      </c>
      <c r="H3455" s="5">
        <v>20.8904476165771</v>
      </c>
      <c r="I3455" t="s">
        <v>57</v>
      </c>
    </row>
    <row r="3456" spans="1:9">
      <c r="A3456" s="4" t="s">
        <v>6965</v>
      </c>
      <c r="B3456" s="4" t="s">
        <v>6966</v>
      </c>
      <c r="C3456" s="4" t="s">
        <v>43</v>
      </c>
      <c r="D3456" s="2">
        <f>362900128/(10^6)</f>
        <v>362.900128</v>
      </c>
      <c r="E3456" s="5">
        <v>6.84491443634033</v>
      </c>
      <c r="F3456" s="5">
        <v>0.672649443149567</v>
      </c>
      <c r="G3456" s="5">
        <v>1.87255263328552</v>
      </c>
      <c r="H3456" s="5" t="s">
        <v>86</v>
      </c>
      <c r="I3456" t="s">
        <v>57</v>
      </c>
    </row>
    <row r="3457" spans="1:9">
      <c r="A3457" s="4" t="s">
        <v>6967</v>
      </c>
      <c r="B3457" s="4" t="s">
        <v>6968</v>
      </c>
      <c r="C3457" s="4" t="s">
        <v>37</v>
      </c>
      <c r="D3457" s="2">
        <f>361755648/(10^6)</f>
        <v>361.755648</v>
      </c>
      <c r="E3457" s="5">
        <v>13.3743715286255</v>
      </c>
      <c r="F3457" s="5">
        <v>1.66536450386047</v>
      </c>
      <c r="G3457" s="5">
        <v>2.28034615516663</v>
      </c>
      <c r="H3457" s="5">
        <v>6.34159374237061</v>
      </c>
      <c r="I3457" t="s">
        <v>57</v>
      </c>
    </row>
    <row r="3458" spans="1:9">
      <c r="A3458" s="4" t="s">
        <v>6969</v>
      </c>
      <c r="B3458" s="4" t="s">
        <v>6970</v>
      </c>
      <c r="C3458" s="4" t="s">
        <v>43</v>
      </c>
      <c r="D3458" s="2">
        <f>361723328/(10^6)</f>
        <v>361.723328</v>
      </c>
      <c r="E3458" s="5" t="s">
        <v>86</v>
      </c>
      <c r="F3458" s="5">
        <v>1.05153048038483</v>
      </c>
      <c r="G3458" s="5" t="s">
        <v>86</v>
      </c>
      <c r="H3458" s="5" t="s">
        <v>86</v>
      </c>
      <c r="I3458" t="s">
        <v>57</v>
      </c>
    </row>
    <row r="3459" spans="1:9">
      <c r="A3459" s="4" t="s">
        <v>6971</v>
      </c>
      <c r="B3459" s="4" t="s">
        <v>6972</v>
      </c>
      <c r="C3459" s="4" t="s">
        <v>41</v>
      </c>
      <c r="D3459" s="2">
        <f>361692576/(10^6)</f>
        <v>361.692576</v>
      </c>
      <c r="E3459" s="5" t="s">
        <v>86</v>
      </c>
      <c r="F3459" s="5">
        <v>1.58152544498444</v>
      </c>
      <c r="G3459" s="5" t="s">
        <v>86</v>
      </c>
      <c r="H3459" s="5" t="s">
        <v>86</v>
      </c>
      <c r="I3459" t="s">
        <v>57</v>
      </c>
    </row>
    <row r="3460" spans="1:9">
      <c r="A3460" s="4" t="s">
        <v>6973</v>
      </c>
      <c r="B3460" s="4" t="s">
        <v>6974</v>
      </c>
      <c r="C3460" s="4" t="s">
        <v>41</v>
      </c>
      <c r="D3460" s="2">
        <f>360108000/(10^6)</f>
        <v>360.108</v>
      </c>
      <c r="E3460" s="5" t="s">
        <v>86</v>
      </c>
      <c r="F3460" s="5">
        <v>5.38722276687622</v>
      </c>
      <c r="G3460" s="5">
        <v>6.61831378936768</v>
      </c>
      <c r="H3460" s="5" t="s">
        <v>86</v>
      </c>
      <c r="I3460" t="s">
        <v>57</v>
      </c>
    </row>
    <row r="3461" spans="1:9">
      <c r="A3461" s="4" t="s">
        <v>6975</v>
      </c>
      <c r="B3461" s="4" t="s">
        <v>6976</v>
      </c>
      <c r="C3461" s="4" t="s">
        <v>27</v>
      </c>
      <c r="D3461" s="2">
        <f>359869696/(10^6)</f>
        <v>359.869696</v>
      </c>
      <c r="E3461" s="5">
        <v>6.39317274093628</v>
      </c>
      <c r="F3461" s="5">
        <v>2.09055185317993</v>
      </c>
      <c r="G3461" s="5">
        <v>0.903908729553223</v>
      </c>
      <c r="H3461" s="5">
        <v>5.05251502990723</v>
      </c>
      <c r="I3461" t="s">
        <v>57</v>
      </c>
    </row>
    <row r="3462" spans="1:9">
      <c r="A3462" s="4" t="s">
        <v>6977</v>
      </c>
      <c r="B3462" s="4" t="s">
        <v>6978</v>
      </c>
      <c r="C3462" s="4" t="s">
        <v>43</v>
      </c>
      <c r="D3462" s="2">
        <f>356698976/(10^6)</f>
        <v>356.698976</v>
      </c>
      <c r="E3462" s="5" t="s">
        <v>86</v>
      </c>
      <c r="F3462" s="5">
        <v>0.708956122398376</v>
      </c>
      <c r="G3462" s="5">
        <v>0.429657369852066</v>
      </c>
      <c r="H3462" s="5" t="s">
        <v>86</v>
      </c>
      <c r="I3462" t="s">
        <v>57</v>
      </c>
    </row>
    <row r="3463" spans="1:9">
      <c r="A3463" s="4" t="s">
        <v>6979</v>
      </c>
      <c r="B3463" s="4" t="s">
        <v>6980</v>
      </c>
      <c r="C3463" s="4" t="s">
        <v>31</v>
      </c>
      <c r="D3463" s="2">
        <f>356571296/(10^6)</f>
        <v>356.571296</v>
      </c>
      <c r="E3463" s="5">
        <v>17.8053855895996</v>
      </c>
      <c r="F3463" s="5">
        <v>0.562411546707153</v>
      </c>
      <c r="G3463" s="5">
        <v>0.099346049129963</v>
      </c>
      <c r="H3463" s="5">
        <v>6.92101621627808</v>
      </c>
      <c r="I3463" t="s">
        <v>57</v>
      </c>
    </row>
    <row r="3464" spans="1:9">
      <c r="A3464" s="4" t="s">
        <v>6981</v>
      </c>
      <c r="B3464" s="4" t="s">
        <v>6982</v>
      </c>
      <c r="C3464" s="4" t="s">
        <v>47</v>
      </c>
      <c r="D3464" s="2">
        <f>356566656/(10^6)</f>
        <v>356.566656</v>
      </c>
      <c r="E3464" s="5">
        <v>6.64402675628662</v>
      </c>
      <c r="F3464" s="5">
        <v>1.22176206111908</v>
      </c>
      <c r="G3464" s="5">
        <v>0.562488615512848</v>
      </c>
      <c r="H3464" s="5">
        <v>916.847290039062</v>
      </c>
      <c r="I3464" t="s">
        <v>57</v>
      </c>
    </row>
    <row r="3465" spans="1:9">
      <c r="A3465" s="4" t="s">
        <v>6983</v>
      </c>
      <c r="B3465" s="4" t="s">
        <v>6984</v>
      </c>
      <c r="C3465" s="4" t="s">
        <v>41</v>
      </c>
      <c r="D3465" s="2">
        <f>356220000/(10^6)</f>
        <v>356.22</v>
      </c>
      <c r="E3465" s="5" t="s">
        <v>86</v>
      </c>
      <c r="F3465" s="5">
        <v>3.0033848285675</v>
      </c>
      <c r="G3465" s="5">
        <v>293.897064208984</v>
      </c>
      <c r="H3465" s="5" t="s">
        <v>86</v>
      </c>
      <c r="I3465" t="s">
        <v>57</v>
      </c>
    </row>
    <row r="3466" spans="1:9">
      <c r="A3466" s="4" t="s">
        <v>6985</v>
      </c>
      <c r="B3466" s="4" t="s">
        <v>6986</v>
      </c>
      <c r="C3466" s="4" t="s">
        <v>33</v>
      </c>
      <c r="D3466" s="2">
        <f>355450048/(10^6)</f>
        <v>355.450048</v>
      </c>
      <c r="E3466" s="5" t="s">
        <v>86</v>
      </c>
      <c r="F3466" s="5">
        <v>1.04284954071045</v>
      </c>
      <c r="G3466" s="5">
        <v>0.261820107698441</v>
      </c>
      <c r="H3466" s="5">
        <v>5.60690355300903</v>
      </c>
      <c r="I3466" t="s">
        <v>57</v>
      </c>
    </row>
    <row r="3467" spans="1:9">
      <c r="A3467" s="4" t="s">
        <v>6987</v>
      </c>
      <c r="B3467" s="4" t="s">
        <v>6988</v>
      </c>
      <c r="C3467" s="4" t="s">
        <v>49</v>
      </c>
      <c r="D3467" s="2">
        <f>355421888/(10^6)</f>
        <v>355.421888</v>
      </c>
      <c r="E3467" s="5">
        <v>74.4375839233398</v>
      </c>
      <c r="F3467" s="5">
        <v>1.24962091445923</v>
      </c>
      <c r="G3467" s="5" t="s">
        <v>86</v>
      </c>
      <c r="H3467" s="5" t="s">
        <v>86</v>
      </c>
      <c r="I3467" t="s">
        <v>57</v>
      </c>
    </row>
    <row r="3468" spans="1:9">
      <c r="A3468" s="4" t="s">
        <v>6989</v>
      </c>
      <c r="B3468" s="4" t="s">
        <v>6990</v>
      </c>
      <c r="C3468" s="4" t="s">
        <v>37</v>
      </c>
      <c r="D3468" s="2">
        <f>354396704/(10^6)</f>
        <v>354.396704</v>
      </c>
      <c r="E3468" s="5">
        <v>12.8175048828125</v>
      </c>
      <c r="F3468" s="5">
        <v>1.51808786392212</v>
      </c>
      <c r="G3468" s="5">
        <v>0.651560246944427</v>
      </c>
      <c r="H3468" s="5">
        <v>6.69881582260132</v>
      </c>
      <c r="I3468" t="s">
        <v>57</v>
      </c>
    </row>
    <row r="3469" spans="1:9">
      <c r="A3469" s="4" t="s">
        <v>6991</v>
      </c>
      <c r="B3469" s="4" t="s">
        <v>6992</v>
      </c>
      <c r="C3469" s="4" t="s">
        <v>45</v>
      </c>
      <c r="D3469" s="2">
        <f>354390688/(10^6)</f>
        <v>354.390688</v>
      </c>
      <c r="E3469" s="5">
        <v>33.2705001831055</v>
      </c>
      <c r="F3469" s="5">
        <v>0.820057094097137</v>
      </c>
      <c r="G3469" s="5">
        <v>7.10804224014282</v>
      </c>
      <c r="H3469" s="5">
        <v>101.313087463379</v>
      </c>
      <c r="I3469" t="s">
        <v>57</v>
      </c>
    </row>
    <row r="3470" spans="1:9">
      <c r="A3470" s="4" t="s">
        <v>6993</v>
      </c>
      <c r="B3470" s="4" t="s">
        <v>6994</v>
      </c>
      <c r="C3470" s="4" t="s">
        <v>41</v>
      </c>
      <c r="D3470" s="2">
        <f>353999360/(10^6)</f>
        <v>353.99936</v>
      </c>
      <c r="E3470" s="5" t="s">
        <v>86</v>
      </c>
      <c r="F3470" s="5">
        <v>6.33945512771606</v>
      </c>
      <c r="G3470" s="5">
        <v>1.1970317363739</v>
      </c>
      <c r="H3470" s="5" t="s">
        <v>86</v>
      </c>
      <c r="I3470" t="s">
        <v>57</v>
      </c>
    </row>
    <row r="3471" spans="1:9">
      <c r="A3471" s="4" t="s">
        <v>6995</v>
      </c>
      <c r="B3471" s="4" t="s">
        <v>6996</v>
      </c>
      <c r="C3471" s="4" t="s">
        <v>37</v>
      </c>
      <c r="D3471" s="2">
        <f>353651872/(10^6)</f>
        <v>353.651872</v>
      </c>
      <c r="E3471" s="5" t="s">
        <v>86</v>
      </c>
      <c r="F3471" s="5">
        <v>0.818144381046295</v>
      </c>
      <c r="G3471" s="5">
        <v>0.200863108038902</v>
      </c>
      <c r="H3471" s="5">
        <v>7.47714853286743</v>
      </c>
      <c r="I3471" t="s">
        <v>57</v>
      </c>
    </row>
    <row r="3472" spans="1:9">
      <c r="A3472" s="4" t="s">
        <v>6997</v>
      </c>
      <c r="B3472" s="4" t="s">
        <v>6998</v>
      </c>
      <c r="C3472" s="4" t="s">
        <v>49</v>
      </c>
      <c r="D3472" s="2">
        <f>352152000/(10^6)</f>
        <v>352.152</v>
      </c>
      <c r="E3472" s="5">
        <v>872.283203125</v>
      </c>
      <c r="F3472" s="5">
        <v>1413.42761230469</v>
      </c>
      <c r="G3472" s="5">
        <v>739.189392089844</v>
      </c>
      <c r="H3472" s="5">
        <v>1268.10400390625</v>
      </c>
      <c r="I3472" t="s">
        <v>57</v>
      </c>
    </row>
    <row r="3473" spans="1:9">
      <c r="A3473" s="4" t="s">
        <v>6999</v>
      </c>
      <c r="B3473" s="4" t="s">
        <v>7000</v>
      </c>
      <c r="C3473" s="4" t="s">
        <v>49</v>
      </c>
      <c r="D3473" s="2">
        <f>352031040/(10^6)</f>
        <v>352.03104</v>
      </c>
      <c r="E3473" s="5">
        <v>24.0837497711182</v>
      </c>
      <c r="F3473" s="5">
        <v>1.25634062290192</v>
      </c>
      <c r="G3473" s="5" t="s">
        <v>86</v>
      </c>
      <c r="H3473" s="5" t="s">
        <v>86</v>
      </c>
      <c r="I3473" t="s">
        <v>57</v>
      </c>
    </row>
    <row r="3474" spans="1:9">
      <c r="A3474" s="4" t="s">
        <v>7001</v>
      </c>
      <c r="B3474" s="4" t="s">
        <v>7002</v>
      </c>
      <c r="C3474" s="4" t="s">
        <v>51</v>
      </c>
      <c r="D3474" s="2">
        <f>351966560/(10^6)</f>
        <v>351.96656</v>
      </c>
      <c r="E3474" s="5" t="s">
        <v>86</v>
      </c>
      <c r="F3474" s="5">
        <v>6.90493774414062</v>
      </c>
      <c r="G3474" s="5">
        <v>0.344916522502899</v>
      </c>
      <c r="H3474" s="5" t="s">
        <v>86</v>
      </c>
      <c r="I3474" t="s">
        <v>57</v>
      </c>
    </row>
    <row r="3475" spans="1:9">
      <c r="A3475" s="4" t="s">
        <v>7003</v>
      </c>
      <c r="B3475" s="4" t="s">
        <v>7004</v>
      </c>
      <c r="C3475" s="4" t="s">
        <v>47</v>
      </c>
      <c r="D3475" s="2">
        <f>351621856/(10^6)</f>
        <v>351.621856</v>
      </c>
      <c r="E3475" s="5">
        <v>1.9008401632309</v>
      </c>
      <c r="F3475" s="5">
        <v>0.245907053351402</v>
      </c>
      <c r="G3475" s="5">
        <v>0.020075308158994</v>
      </c>
      <c r="H3475" s="5">
        <v>5.92011547088623</v>
      </c>
      <c r="I3475" t="s">
        <v>57</v>
      </c>
    </row>
    <row r="3476" spans="1:9">
      <c r="A3476" s="4" t="s">
        <v>7005</v>
      </c>
      <c r="B3476" s="4" t="s">
        <v>7006</v>
      </c>
      <c r="C3476" s="4" t="s">
        <v>41</v>
      </c>
      <c r="D3476" s="2">
        <f>351599936/(10^6)</f>
        <v>351.599936</v>
      </c>
      <c r="E3476" s="5" t="s">
        <v>86</v>
      </c>
      <c r="F3476" s="5">
        <v>6.43811845779419</v>
      </c>
      <c r="G3476" s="5">
        <v>84.938362121582</v>
      </c>
      <c r="H3476" s="5" t="s">
        <v>86</v>
      </c>
      <c r="I3476" t="s">
        <v>57</v>
      </c>
    </row>
    <row r="3477" spans="1:9">
      <c r="A3477" s="4" t="s">
        <v>7007</v>
      </c>
      <c r="B3477" s="4" t="s">
        <v>7008</v>
      </c>
      <c r="C3477" s="4" t="s">
        <v>43</v>
      </c>
      <c r="D3477" s="2">
        <f>351447616/(10^6)</f>
        <v>351.447616</v>
      </c>
      <c r="E3477" s="5" t="s">
        <v>86</v>
      </c>
      <c r="F3477" s="5">
        <v>1.07547616958618</v>
      </c>
      <c r="G3477" s="5" t="s">
        <v>86</v>
      </c>
      <c r="H3477" s="5" t="s">
        <v>86</v>
      </c>
      <c r="I3477" t="s">
        <v>57</v>
      </c>
    </row>
    <row r="3478" spans="1:9">
      <c r="A3478" s="4" t="s">
        <v>7009</v>
      </c>
      <c r="B3478" s="4" t="s">
        <v>7010</v>
      </c>
      <c r="C3478" s="4" t="s">
        <v>31</v>
      </c>
      <c r="D3478" s="2">
        <f>350895936/(10^6)</f>
        <v>350.895936</v>
      </c>
      <c r="E3478" s="5">
        <v>9.51298809051514</v>
      </c>
      <c r="F3478" s="5">
        <v>1.06403720378876</v>
      </c>
      <c r="G3478" s="5">
        <v>0.392111986875534</v>
      </c>
      <c r="H3478" s="5">
        <v>17.9523658752441</v>
      </c>
      <c r="I3478" t="s">
        <v>57</v>
      </c>
    </row>
    <row r="3479" spans="1:9">
      <c r="A3479" s="4" t="s">
        <v>7011</v>
      </c>
      <c r="B3479" s="4" t="s">
        <v>7012</v>
      </c>
      <c r="C3479" s="4" t="s">
        <v>41</v>
      </c>
      <c r="D3479" s="2">
        <f>349918912/(10^6)</f>
        <v>349.918912</v>
      </c>
      <c r="E3479" s="5" t="s">
        <v>86</v>
      </c>
      <c r="F3479" s="5">
        <v>0.575656175613403</v>
      </c>
      <c r="G3479" s="5">
        <v>1.19460320472717</v>
      </c>
      <c r="H3479" s="5">
        <v>11.9709539413452</v>
      </c>
      <c r="I3479" t="s">
        <v>57</v>
      </c>
    </row>
    <row r="3480" spans="1:9">
      <c r="A3480" s="4" t="s">
        <v>7013</v>
      </c>
      <c r="B3480" s="4" t="s">
        <v>7014</v>
      </c>
      <c r="C3480" s="4" t="s">
        <v>27</v>
      </c>
      <c r="D3480" s="2">
        <f>349492160/(10^6)</f>
        <v>349.49216</v>
      </c>
      <c r="E3480" s="5">
        <v>23.0931205749512</v>
      </c>
      <c r="F3480" s="5">
        <v>0.652463436126709</v>
      </c>
      <c r="G3480" s="5">
        <v>1.01084876060486</v>
      </c>
      <c r="H3480" s="5">
        <v>5.67989110946655</v>
      </c>
      <c r="I3480" t="s">
        <v>57</v>
      </c>
    </row>
    <row r="3481" spans="1:9">
      <c r="A3481" s="4" t="s">
        <v>7015</v>
      </c>
      <c r="B3481" s="4" t="s">
        <v>7016</v>
      </c>
      <c r="C3481" s="4" t="s">
        <v>31</v>
      </c>
      <c r="D3481" s="2">
        <f>349469280/(10^6)</f>
        <v>349.46928</v>
      </c>
      <c r="E3481" s="5">
        <v>10.2647800445557</v>
      </c>
      <c r="F3481" s="5">
        <v>1.70566284656525</v>
      </c>
      <c r="G3481" s="5">
        <v>0.238195523619652</v>
      </c>
      <c r="H3481" s="5">
        <v>4.69977331161499</v>
      </c>
      <c r="I3481" t="s">
        <v>57</v>
      </c>
    </row>
    <row r="3482" spans="1:9">
      <c r="A3482" s="4" t="s">
        <v>7017</v>
      </c>
      <c r="B3482" s="4" t="s">
        <v>7018</v>
      </c>
      <c r="C3482" s="4" t="s">
        <v>43</v>
      </c>
      <c r="D3482" s="2">
        <f>349379712/(10^6)</f>
        <v>349.379712</v>
      </c>
      <c r="E3482" s="5">
        <v>3.41826796531677</v>
      </c>
      <c r="F3482" s="5">
        <v>0.368999063968658</v>
      </c>
      <c r="G3482" s="5">
        <v>1.66149008274078</v>
      </c>
      <c r="H3482" s="5" t="s">
        <v>86</v>
      </c>
      <c r="I3482" t="s">
        <v>57</v>
      </c>
    </row>
    <row r="3483" spans="1:9">
      <c r="A3483" s="4" t="s">
        <v>7019</v>
      </c>
      <c r="B3483" s="4" t="s">
        <v>7020</v>
      </c>
      <c r="C3483" s="4" t="s">
        <v>49</v>
      </c>
      <c r="D3483" s="2">
        <f>349312512/(10^6)</f>
        <v>349.312512</v>
      </c>
      <c r="E3483" s="5">
        <v>32.296760559082</v>
      </c>
      <c r="F3483" s="5">
        <v>0.24900758266449</v>
      </c>
      <c r="G3483" s="5" t="s">
        <v>86</v>
      </c>
      <c r="H3483" s="5" t="s">
        <v>86</v>
      </c>
      <c r="I3483" t="s">
        <v>57</v>
      </c>
    </row>
    <row r="3484" spans="1:9">
      <c r="A3484" s="4" t="s">
        <v>7021</v>
      </c>
      <c r="B3484" s="4" t="s">
        <v>7022</v>
      </c>
      <c r="C3484" s="4" t="s">
        <v>33</v>
      </c>
      <c r="D3484" s="2">
        <f>349227648/(10^6)</f>
        <v>349.227648</v>
      </c>
      <c r="E3484" s="5">
        <v>4.72556447982788</v>
      </c>
      <c r="F3484" s="5" t="s">
        <v>86</v>
      </c>
      <c r="G3484" s="5">
        <v>0.283166348934174</v>
      </c>
      <c r="H3484" s="5">
        <v>6.74854135513306</v>
      </c>
      <c r="I3484" t="s">
        <v>57</v>
      </c>
    </row>
    <row r="3485" spans="1:9">
      <c r="A3485" s="4" t="s">
        <v>7023</v>
      </c>
      <c r="B3485" s="4" t="s">
        <v>7024</v>
      </c>
      <c r="C3485" s="4" t="s">
        <v>43</v>
      </c>
      <c r="D3485" s="2">
        <f>349187328/(10^6)</f>
        <v>349.187328</v>
      </c>
      <c r="E3485" s="5">
        <v>9.33425521850586</v>
      </c>
      <c r="F3485" s="5">
        <v>2.3209707736969</v>
      </c>
      <c r="G3485" s="5">
        <v>0.355159729719162</v>
      </c>
      <c r="H3485" s="5">
        <v>5.28860139846802</v>
      </c>
      <c r="I3485" t="s">
        <v>57</v>
      </c>
    </row>
    <row r="3486" spans="1:9">
      <c r="A3486" s="4" t="s">
        <v>7025</v>
      </c>
      <c r="B3486" s="4" t="s">
        <v>7026</v>
      </c>
      <c r="C3486" s="4" t="s">
        <v>43</v>
      </c>
      <c r="D3486" s="2">
        <f>349187328/(10^6)</f>
        <v>349.187328</v>
      </c>
      <c r="E3486" s="5">
        <v>9.33425521850586</v>
      </c>
      <c r="F3486" s="5">
        <v>2.3209707736969</v>
      </c>
      <c r="G3486" s="5">
        <v>0.355159729719162</v>
      </c>
      <c r="H3486" s="5">
        <v>5.28860139846802</v>
      </c>
      <c r="I3486" t="s">
        <v>57</v>
      </c>
    </row>
    <row r="3487" spans="1:9">
      <c r="A3487" s="4" t="s">
        <v>7027</v>
      </c>
      <c r="B3487" s="4" t="s">
        <v>7028</v>
      </c>
      <c r="C3487" s="4" t="s">
        <v>27</v>
      </c>
      <c r="D3487" s="2">
        <f>348465472/(10^6)</f>
        <v>348.465472</v>
      </c>
      <c r="E3487" s="5" t="s">
        <v>86</v>
      </c>
      <c r="F3487" s="5">
        <v>0.410340279340744</v>
      </c>
      <c r="G3487" s="5">
        <v>0.233665481209755</v>
      </c>
      <c r="H3487" s="5">
        <v>2.58578634262085</v>
      </c>
      <c r="I3487" t="s">
        <v>57</v>
      </c>
    </row>
    <row r="3488" spans="1:9">
      <c r="A3488" s="4" t="s">
        <v>7029</v>
      </c>
      <c r="B3488" s="4" t="s">
        <v>7030</v>
      </c>
      <c r="C3488" s="4" t="s">
        <v>41</v>
      </c>
      <c r="D3488" s="2">
        <f>347978688/(10^6)</f>
        <v>347.978688</v>
      </c>
      <c r="E3488" s="5" t="s">
        <v>86</v>
      </c>
      <c r="F3488" s="5" t="s">
        <v>86</v>
      </c>
      <c r="G3488" s="5" t="s">
        <v>86</v>
      </c>
      <c r="H3488" s="5" t="s">
        <v>86</v>
      </c>
      <c r="I3488" t="s">
        <v>57</v>
      </c>
    </row>
    <row r="3489" spans="1:9">
      <c r="A3489" s="4" t="s">
        <v>7031</v>
      </c>
      <c r="B3489" s="4" t="s">
        <v>7032</v>
      </c>
      <c r="C3489" s="4" t="s">
        <v>41</v>
      </c>
      <c r="D3489" s="2">
        <f>347406016/(10^6)</f>
        <v>347.406016</v>
      </c>
      <c r="E3489" s="5" t="s">
        <v>86</v>
      </c>
      <c r="F3489" s="5">
        <v>0.749241471290588</v>
      </c>
      <c r="G3489" s="5">
        <v>0.034713722765446</v>
      </c>
      <c r="H3489" s="5">
        <v>7.9456844329834</v>
      </c>
      <c r="I3489" t="s">
        <v>57</v>
      </c>
    </row>
    <row r="3490" spans="1:9">
      <c r="A3490" s="4" t="s">
        <v>7033</v>
      </c>
      <c r="B3490" s="4" t="s">
        <v>7034</v>
      </c>
      <c r="C3490" s="4" t="s">
        <v>41</v>
      </c>
      <c r="D3490" s="2">
        <f>346859104/(10^6)</f>
        <v>346.859104</v>
      </c>
      <c r="E3490" s="5" t="s">
        <v>86</v>
      </c>
      <c r="F3490" s="5" t="s">
        <v>86</v>
      </c>
      <c r="G3490" s="5">
        <v>331.376068115234</v>
      </c>
      <c r="H3490" s="5" t="s">
        <v>86</v>
      </c>
      <c r="I3490" t="s">
        <v>57</v>
      </c>
    </row>
    <row r="3491" spans="1:9">
      <c r="A3491" s="4" t="s">
        <v>7035</v>
      </c>
      <c r="B3491" s="4" t="s">
        <v>7036</v>
      </c>
      <c r="C3491" s="4" t="s">
        <v>27</v>
      </c>
      <c r="D3491" s="2">
        <f>346368224/(10^6)</f>
        <v>346.368224</v>
      </c>
      <c r="E3491" s="5">
        <v>2.14132833480835</v>
      </c>
      <c r="F3491" s="5">
        <v>0.321177989244461</v>
      </c>
      <c r="G3491" s="5">
        <v>0.37326180934906</v>
      </c>
      <c r="H3491" s="5">
        <v>1.72227907180786</v>
      </c>
      <c r="I3491" t="s">
        <v>57</v>
      </c>
    </row>
    <row r="3492" spans="1:9">
      <c r="A3492" s="4" t="s">
        <v>7037</v>
      </c>
      <c r="B3492" s="4" t="s">
        <v>7038</v>
      </c>
      <c r="C3492" s="4" t="s">
        <v>41</v>
      </c>
      <c r="D3492" s="2">
        <f>346021216/(10^6)</f>
        <v>346.021216</v>
      </c>
      <c r="E3492" s="5" t="s">
        <v>86</v>
      </c>
      <c r="F3492" s="5">
        <v>6.33600234985352</v>
      </c>
      <c r="G3492" s="5">
        <v>2.74653053283691</v>
      </c>
      <c r="H3492" s="5">
        <v>75.9477920532227</v>
      </c>
      <c r="I3492" t="s">
        <v>57</v>
      </c>
    </row>
    <row r="3493" spans="1:9">
      <c r="A3493" s="4" t="s">
        <v>7039</v>
      </c>
      <c r="B3493" s="4" t="s">
        <v>7040</v>
      </c>
      <c r="C3493" s="4" t="s">
        <v>37</v>
      </c>
      <c r="D3493" s="2">
        <f>346020160/(10^6)</f>
        <v>346.02016</v>
      </c>
      <c r="E3493" s="5">
        <v>6.88156938552856</v>
      </c>
      <c r="F3493" s="5" t="s">
        <v>86</v>
      </c>
      <c r="G3493" s="5">
        <v>0.183882057666779</v>
      </c>
      <c r="H3493" s="5">
        <v>6.56557559967041</v>
      </c>
      <c r="I3493" t="s">
        <v>57</v>
      </c>
    </row>
    <row r="3494" spans="1:9">
      <c r="A3494" s="4" t="s">
        <v>7041</v>
      </c>
      <c r="B3494" s="4" t="s">
        <v>7042</v>
      </c>
      <c r="C3494" s="4" t="s">
        <v>49</v>
      </c>
      <c r="D3494" s="2">
        <f>345812512/(10^6)</f>
        <v>345.812512</v>
      </c>
      <c r="E3494" s="5">
        <v>109.339515686035</v>
      </c>
      <c r="F3494" s="5">
        <v>1.27081382274628</v>
      </c>
      <c r="G3494" s="5" t="s">
        <v>86</v>
      </c>
      <c r="H3494" s="5" t="s">
        <v>86</v>
      </c>
      <c r="I3494" t="s">
        <v>57</v>
      </c>
    </row>
    <row r="3495" spans="1:9">
      <c r="A3495" s="4" t="s">
        <v>7043</v>
      </c>
      <c r="B3495" s="4" t="s">
        <v>7044</v>
      </c>
      <c r="C3495" s="4" t="s">
        <v>41</v>
      </c>
      <c r="D3495" s="2">
        <f>345303840/(10^6)</f>
        <v>345.30384</v>
      </c>
      <c r="E3495" s="5" t="s">
        <v>86</v>
      </c>
      <c r="F3495" s="5">
        <v>2.35801267623901</v>
      </c>
      <c r="G3495" s="5" t="s">
        <v>86</v>
      </c>
      <c r="H3495" s="5" t="s">
        <v>86</v>
      </c>
      <c r="I3495" t="s">
        <v>57</v>
      </c>
    </row>
    <row r="3496" spans="1:9">
      <c r="A3496" s="4" t="s">
        <v>7045</v>
      </c>
      <c r="B3496" s="4" t="s">
        <v>7046</v>
      </c>
      <c r="C3496" s="4" t="s">
        <v>51</v>
      </c>
      <c r="D3496" s="2">
        <f>344876576/(10^6)</f>
        <v>344.876576</v>
      </c>
      <c r="E3496" s="5" t="s">
        <v>86</v>
      </c>
      <c r="F3496" s="5">
        <v>5.76781749725342</v>
      </c>
      <c r="G3496" s="5">
        <v>2.83401441574097</v>
      </c>
      <c r="H3496" s="5" t="s">
        <v>86</v>
      </c>
      <c r="I3496" t="s">
        <v>57</v>
      </c>
    </row>
    <row r="3497" spans="1:9">
      <c r="A3497" s="4" t="s">
        <v>7047</v>
      </c>
      <c r="B3497" s="4" t="s">
        <v>7048</v>
      </c>
      <c r="C3497" s="4" t="s">
        <v>41</v>
      </c>
      <c r="D3497" s="2">
        <f>344581280/(10^6)</f>
        <v>344.58128</v>
      </c>
      <c r="E3497" s="5" t="s">
        <v>86</v>
      </c>
      <c r="F3497" s="5">
        <v>1.25183582305908</v>
      </c>
      <c r="G3497" s="5" t="s">
        <v>86</v>
      </c>
      <c r="H3497" s="5" t="s">
        <v>86</v>
      </c>
      <c r="I3497" t="s">
        <v>57</v>
      </c>
    </row>
    <row r="3498" spans="1:9">
      <c r="A3498" s="4" t="s">
        <v>7049</v>
      </c>
      <c r="B3498" s="4" t="s">
        <v>7050</v>
      </c>
      <c r="C3498" s="4" t="s">
        <v>47</v>
      </c>
      <c r="D3498" s="2">
        <f>344186400/(10^6)</f>
        <v>344.1864</v>
      </c>
      <c r="E3498" s="5">
        <v>8.15061378479004</v>
      </c>
      <c r="F3498" s="5">
        <v>1.15746593475342</v>
      </c>
      <c r="G3498" s="5">
        <v>0.337597459554672</v>
      </c>
      <c r="H3498" s="5">
        <v>4.63503789901733</v>
      </c>
      <c r="I3498" t="s">
        <v>57</v>
      </c>
    </row>
    <row r="3499" spans="1:9">
      <c r="A3499" s="4" t="s">
        <v>7051</v>
      </c>
      <c r="B3499" s="4" t="s">
        <v>7052</v>
      </c>
      <c r="C3499" s="4" t="s">
        <v>51</v>
      </c>
      <c r="D3499" s="2">
        <f>343336832/(10^6)</f>
        <v>343.336832</v>
      </c>
      <c r="E3499" s="5" t="s">
        <v>86</v>
      </c>
      <c r="F3499" s="5">
        <v>2.7336847782135</v>
      </c>
      <c r="G3499" s="5">
        <v>2.20426797866821</v>
      </c>
      <c r="H3499" s="5" t="s">
        <v>86</v>
      </c>
      <c r="I3499" t="s">
        <v>57</v>
      </c>
    </row>
    <row r="3500" spans="1:9">
      <c r="A3500" s="4" t="s">
        <v>7053</v>
      </c>
      <c r="B3500" s="4" t="s">
        <v>7054</v>
      </c>
      <c r="C3500" s="4" t="s">
        <v>41</v>
      </c>
      <c r="D3500" s="2">
        <f>342426816/(10^6)</f>
        <v>342.426816</v>
      </c>
      <c r="E3500" s="5">
        <v>6.79965257644653</v>
      </c>
      <c r="F3500" s="5">
        <v>1.50045597553253</v>
      </c>
      <c r="G3500" s="5">
        <v>0.293113142251968</v>
      </c>
      <c r="H3500" s="5" t="s">
        <v>86</v>
      </c>
      <c r="I3500" t="s">
        <v>57</v>
      </c>
    </row>
    <row r="3501" spans="1:9">
      <c r="A3501" s="4" t="s">
        <v>7055</v>
      </c>
      <c r="B3501" s="4" t="s">
        <v>7056</v>
      </c>
      <c r="C3501" s="4" t="s">
        <v>49</v>
      </c>
      <c r="D3501" s="2">
        <f>342375008/(10^6)</f>
        <v>342.375008</v>
      </c>
      <c r="E3501" s="5" t="s">
        <v>86</v>
      </c>
      <c r="F3501" s="5">
        <v>0.299974381923676</v>
      </c>
      <c r="G3501" s="5" t="s">
        <v>86</v>
      </c>
      <c r="H3501" s="5" t="s">
        <v>86</v>
      </c>
      <c r="I3501" t="s">
        <v>57</v>
      </c>
    </row>
    <row r="3502" spans="1:9">
      <c r="A3502" s="4" t="s">
        <v>7057</v>
      </c>
      <c r="B3502" s="4" t="s">
        <v>7058</v>
      </c>
      <c r="C3502" s="4" t="s">
        <v>51</v>
      </c>
      <c r="D3502" s="2">
        <f>341929152/(10^6)</f>
        <v>341.929152</v>
      </c>
      <c r="E3502" s="5">
        <v>14.2885293960571</v>
      </c>
      <c r="F3502" s="5">
        <v>6.10947847366333</v>
      </c>
      <c r="G3502" s="5">
        <v>1.05493140220642</v>
      </c>
      <c r="H3502" s="5">
        <v>7.14852428436279</v>
      </c>
      <c r="I3502" t="s">
        <v>57</v>
      </c>
    </row>
    <row r="3503" spans="1:9">
      <c r="A3503" s="4" t="s">
        <v>7059</v>
      </c>
      <c r="B3503" s="4" t="s">
        <v>7060</v>
      </c>
      <c r="C3503" s="4" t="s">
        <v>41</v>
      </c>
      <c r="D3503" s="2">
        <f>341137760/(10^6)</f>
        <v>341.13776</v>
      </c>
      <c r="E3503" s="5" t="s">
        <v>86</v>
      </c>
      <c r="F3503" s="5">
        <v>19.4860458374023</v>
      </c>
      <c r="G3503" s="5">
        <v>1.23481249809265</v>
      </c>
      <c r="H3503" s="5" t="s">
        <v>86</v>
      </c>
      <c r="I3503" t="s">
        <v>57</v>
      </c>
    </row>
    <row r="3504" spans="1:9">
      <c r="A3504" s="4" t="s">
        <v>7061</v>
      </c>
      <c r="B3504" s="4" t="s">
        <v>7062</v>
      </c>
      <c r="C3504" s="4" t="s">
        <v>51</v>
      </c>
      <c r="D3504" s="2">
        <f>340214080/(10^6)</f>
        <v>340.21408</v>
      </c>
      <c r="E3504" s="5" t="s">
        <v>86</v>
      </c>
      <c r="F3504" s="5" t="s">
        <v>86</v>
      </c>
      <c r="G3504" s="5">
        <v>1.75655293464661</v>
      </c>
      <c r="H3504" s="5">
        <v>69.1395645141602</v>
      </c>
      <c r="I3504" t="s">
        <v>57</v>
      </c>
    </row>
    <row r="3505" spans="1:9">
      <c r="A3505" s="4" t="s">
        <v>7063</v>
      </c>
      <c r="B3505" s="4" t="s">
        <v>7064</v>
      </c>
      <c r="C3505" s="4" t="s">
        <v>41</v>
      </c>
      <c r="D3505" s="2">
        <f>340097824/(10^6)</f>
        <v>340.097824</v>
      </c>
      <c r="E3505" s="5" t="s">
        <v>86</v>
      </c>
      <c r="F3505" s="5">
        <v>4.86644840240479</v>
      </c>
      <c r="G3505" s="5">
        <v>2.5119833946228</v>
      </c>
      <c r="H3505" s="5">
        <v>26.0337371826172</v>
      </c>
      <c r="I3505" t="s">
        <v>57</v>
      </c>
    </row>
    <row r="3506" spans="1:9">
      <c r="A3506" s="4" t="s">
        <v>7065</v>
      </c>
      <c r="B3506" s="4" t="s">
        <v>7066</v>
      </c>
      <c r="C3506" s="4" t="s">
        <v>49</v>
      </c>
      <c r="D3506" s="2">
        <f>338444992/(10^6)</f>
        <v>338.444992</v>
      </c>
      <c r="E3506" s="5" t="s">
        <v>86</v>
      </c>
      <c r="F3506" s="5">
        <v>0.298378199338913</v>
      </c>
      <c r="G3506" s="5" t="s">
        <v>86</v>
      </c>
      <c r="H3506" s="5" t="s">
        <v>86</v>
      </c>
      <c r="I3506" t="s">
        <v>57</v>
      </c>
    </row>
    <row r="3507" spans="1:9">
      <c r="A3507" s="4" t="s">
        <v>7067</v>
      </c>
      <c r="B3507" s="4" t="s">
        <v>7068</v>
      </c>
      <c r="C3507" s="4" t="s">
        <v>33</v>
      </c>
      <c r="D3507" s="2">
        <f>338392640/(10^6)</f>
        <v>338.39264</v>
      </c>
      <c r="E3507" s="5">
        <v>17.4259700775146</v>
      </c>
      <c r="F3507" s="5">
        <v>1.66144514083862</v>
      </c>
      <c r="G3507" s="5">
        <v>2.23393201828003</v>
      </c>
      <c r="H3507" s="5">
        <v>7.2711181640625</v>
      </c>
      <c r="I3507" t="s">
        <v>57</v>
      </c>
    </row>
    <row r="3508" spans="1:9">
      <c r="A3508" s="4" t="s">
        <v>7069</v>
      </c>
      <c r="B3508" s="4" t="s">
        <v>7070</v>
      </c>
      <c r="C3508" s="4" t="s">
        <v>43</v>
      </c>
      <c r="D3508" s="2">
        <f>338230784/(10^6)</f>
        <v>338.230784</v>
      </c>
      <c r="E3508" s="5">
        <v>9.48866653442383</v>
      </c>
      <c r="F3508" s="5">
        <v>1.4417359828949</v>
      </c>
      <c r="G3508" s="5">
        <v>2.1005117893219</v>
      </c>
      <c r="H3508" s="5" t="s">
        <v>86</v>
      </c>
      <c r="I3508" t="s">
        <v>57</v>
      </c>
    </row>
    <row r="3509" spans="1:9">
      <c r="A3509" s="4" t="s">
        <v>7071</v>
      </c>
      <c r="B3509" s="4" t="s">
        <v>7072</v>
      </c>
      <c r="C3509" s="4" t="s">
        <v>41</v>
      </c>
      <c r="D3509" s="2">
        <f>337961856/(10^6)</f>
        <v>337.961856</v>
      </c>
      <c r="E3509" s="5">
        <v>36.7857131958008</v>
      </c>
      <c r="F3509" s="5">
        <v>17.1084136962891</v>
      </c>
      <c r="G3509" s="5">
        <v>7.35443210601807</v>
      </c>
      <c r="H3509" s="5">
        <v>27.7369003295898</v>
      </c>
      <c r="I3509" t="s">
        <v>57</v>
      </c>
    </row>
    <row r="3510" spans="1:9">
      <c r="A3510" s="4" t="s">
        <v>7073</v>
      </c>
      <c r="B3510" s="4" t="s">
        <v>7074</v>
      </c>
      <c r="C3510" s="4" t="s">
        <v>43</v>
      </c>
      <c r="D3510" s="2">
        <f>337943648/(10^6)</f>
        <v>337.943648</v>
      </c>
      <c r="E3510" s="5">
        <v>6.22223520278931</v>
      </c>
      <c r="F3510" s="5">
        <v>0.664609670639038</v>
      </c>
      <c r="G3510" s="5">
        <v>1.46523988246918</v>
      </c>
      <c r="H3510" s="5" t="s">
        <v>86</v>
      </c>
      <c r="I3510" t="s">
        <v>57</v>
      </c>
    </row>
    <row r="3511" spans="1:9">
      <c r="A3511" s="4" t="s">
        <v>7075</v>
      </c>
      <c r="B3511" s="4" t="s">
        <v>7076</v>
      </c>
      <c r="C3511" s="4" t="s">
        <v>41</v>
      </c>
      <c r="D3511" s="2">
        <f>336236096/(10^6)</f>
        <v>336.236096</v>
      </c>
      <c r="E3511" s="5" t="s">
        <v>86</v>
      </c>
      <c r="F3511" s="5">
        <v>3.35265421867371</v>
      </c>
      <c r="G3511" s="5">
        <v>3.16687369346619</v>
      </c>
      <c r="H3511" s="5" t="s">
        <v>86</v>
      </c>
      <c r="I3511" t="s">
        <v>57</v>
      </c>
    </row>
    <row r="3512" spans="1:9">
      <c r="A3512" s="4" t="s">
        <v>7077</v>
      </c>
      <c r="B3512" s="4" t="s">
        <v>7078</v>
      </c>
      <c r="C3512" s="4" t="s">
        <v>41</v>
      </c>
      <c r="D3512" s="2">
        <f>336169760/(10^6)</f>
        <v>336.16976</v>
      </c>
      <c r="E3512" s="5">
        <v>4.17220163345337</v>
      </c>
      <c r="F3512" s="5">
        <v>0.523503661155701</v>
      </c>
      <c r="G3512" s="5">
        <v>6.01720666885376</v>
      </c>
      <c r="H3512" s="5" t="s">
        <v>86</v>
      </c>
      <c r="I3512" t="s">
        <v>57</v>
      </c>
    </row>
    <row r="3513" spans="1:9">
      <c r="A3513" s="4" t="s">
        <v>7079</v>
      </c>
      <c r="B3513" s="4" t="s">
        <v>7080</v>
      </c>
      <c r="C3513" s="4" t="s">
        <v>39</v>
      </c>
      <c r="D3513" s="2">
        <f>334514496/(10^6)</f>
        <v>334.514496</v>
      </c>
      <c r="E3513" s="5">
        <v>22.3975162506104</v>
      </c>
      <c r="F3513" s="5">
        <v>2.09068274497986</v>
      </c>
      <c r="G3513" s="5">
        <v>4.00176334381104</v>
      </c>
      <c r="H3513" s="5">
        <v>13.5682353973389</v>
      </c>
      <c r="I3513" t="s">
        <v>57</v>
      </c>
    </row>
    <row r="3514" spans="1:9">
      <c r="A3514" s="4" t="s">
        <v>7081</v>
      </c>
      <c r="B3514" s="4" t="s">
        <v>7082</v>
      </c>
      <c r="C3514" s="4" t="s">
        <v>39</v>
      </c>
      <c r="D3514" s="2">
        <f>334514496/(10^6)</f>
        <v>334.514496</v>
      </c>
      <c r="E3514" s="5">
        <v>22.3975162506104</v>
      </c>
      <c r="F3514" s="5">
        <v>2.09068274497986</v>
      </c>
      <c r="G3514" s="5">
        <v>4.00176334381104</v>
      </c>
      <c r="H3514" s="5">
        <v>13.5682353973389</v>
      </c>
      <c r="I3514" t="s">
        <v>57</v>
      </c>
    </row>
    <row r="3515" spans="1:9">
      <c r="A3515" s="4" t="s">
        <v>7083</v>
      </c>
      <c r="B3515" s="4" t="s">
        <v>7084</v>
      </c>
      <c r="C3515" s="4" t="s">
        <v>37</v>
      </c>
      <c r="D3515" s="2">
        <f>334446240/(10^6)</f>
        <v>334.44624</v>
      </c>
      <c r="E3515" s="5" t="s">
        <v>86</v>
      </c>
      <c r="F3515" s="5">
        <v>0.495475918054581</v>
      </c>
      <c r="G3515" s="5">
        <v>0.181074500083923</v>
      </c>
      <c r="H3515" s="5">
        <v>31.4813804626465</v>
      </c>
      <c r="I3515" t="s">
        <v>57</v>
      </c>
    </row>
    <row r="3516" spans="1:9">
      <c r="A3516" s="4" t="s">
        <v>7085</v>
      </c>
      <c r="B3516" s="4" t="s">
        <v>7086</v>
      </c>
      <c r="C3516" s="4" t="s">
        <v>43</v>
      </c>
      <c r="D3516" s="2">
        <f>334130208/(10^6)</f>
        <v>334.130208</v>
      </c>
      <c r="E3516" s="5">
        <v>10.3676567077637</v>
      </c>
      <c r="F3516" s="5">
        <v>1.0046581029892</v>
      </c>
      <c r="G3516" s="5">
        <v>1.88202083110809</v>
      </c>
      <c r="H3516" s="5" t="s">
        <v>86</v>
      </c>
      <c r="I3516" t="s">
        <v>57</v>
      </c>
    </row>
    <row r="3517" spans="1:9">
      <c r="A3517" s="4" t="s">
        <v>7087</v>
      </c>
      <c r="B3517" s="4" t="s">
        <v>7088</v>
      </c>
      <c r="C3517" s="4" t="s">
        <v>43</v>
      </c>
      <c r="D3517" s="2">
        <f>334130208/(10^6)</f>
        <v>334.130208</v>
      </c>
      <c r="E3517" s="5">
        <v>10.3676567077637</v>
      </c>
      <c r="F3517" s="5">
        <v>1.0046581029892</v>
      </c>
      <c r="G3517" s="5">
        <v>1.88202083110809</v>
      </c>
      <c r="H3517" s="5" t="s">
        <v>86</v>
      </c>
      <c r="I3517" t="s">
        <v>57</v>
      </c>
    </row>
    <row r="3518" spans="1:9">
      <c r="A3518" s="4" t="s">
        <v>7089</v>
      </c>
      <c r="B3518" s="4" t="s">
        <v>7090</v>
      </c>
      <c r="C3518" s="4" t="s">
        <v>43</v>
      </c>
      <c r="D3518" s="2">
        <f>333585344/(10^6)</f>
        <v>333.585344</v>
      </c>
      <c r="E3518" s="5">
        <v>5.17934274673462</v>
      </c>
      <c r="F3518" s="5">
        <v>0.402406483888626</v>
      </c>
      <c r="G3518" s="5">
        <v>0.608738481998444</v>
      </c>
      <c r="H3518" s="5" t="s">
        <v>86</v>
      </c>
      <c r="I3518" t="s">
        <v>57</v>
      </c>
    </row>
    <row r="3519" spans="1:9">
      <c r="A3519" s="4" t="s">
        <v>7091</v>
      </c>
      <c r="B3519" s="4" t="s">
        <v>7092</v>
      </c>
      <c r="C3519" s="4" t="s">
        <v>51</v>
      </c>
      <c r="D3519" s="2">
        <f>333344352/(10^6)</f>
        <v>333.344352</v>
      </c>
      <c r="E3519" s="5">
        <v>29.3838748931885</v>
      </c>
      <c r="F3519" s="5">
        <v>2.9863269329071</v>
      </c>
      <c r="G3519" s="5">
        <v>3.66005563735962</v>
      </c>
      <c r="H3519" s="5">
        <v>33.7033309936523</v>
      </c>
      <c r="I3519" t="s">
        <v>57</v>
      </c>
    </row>
    <row r="3520" spans="1:9">
      <c r="A3520" s="4" t="s">
        <v>7093</v>
      </c>
      <c r="B3520" s="4" t="s">
        <v>7094</v>
      </c>
      <c r="C3520" s="4" t="s">
        <v>27</v>
      </c>
      <c r="D3520" s="2">
        <f>332588672/(10^6)</f>
        <v>332.588672</v>
      </c>
      <c r="E3520" s="5" t="s">
        <v>86</v>
      </c>
      <c r="F3520" s="5">
        <v>0.12132390588522</v>
      </c>
      <c r="G3520" s="5">
        <v>0.032031547278166</v>
      </c>
      <c r="H3520" s="5">
        <v>5.15728521347046</v>
      </c>
      <c r="I3520" t="s">
        <v>57</v>
      </c>
    </row>
    <row r="3521" spans="1:9">
      <c r="A3521" s="4" t="s">
        <v>7095</v>
      </c>
      <c r="B3521" s="4" t="s">
        <v>7096</v>
      </c>
      <c r="C3521" s="4" t="s">
        <v>33</v>
      </c>
      <c r="D3521" s="2">
        <f>332411808/(10^6)</f>
        <v>332.411808</v>
      </c>
      <c r="E3521" s="5">
        <v>11.2478837966919</v>
      </c>
      <c r="F3521" s="5">
        <v>1.75130593776703</v>
      </c>
      <c r="G3521" s="5">
        <v>2.30447340011597</v>
      </c>
      <c r="H3521" s="5">
        <v>6.96140336990356</v>
      </c>
      <c r="I3521" t="s">
        <v>57</v>
      </c>
    </row>
    <row r="3522" spans="1:9">
      <c r="A3522" s="4" t="s">
        <v>7097</v>
      </c>
      <c r="B3522" s="4" t="s">
        <v>7098</v>
      </c>
      <c r="C3522" s="4" t="s">
        <v>43</v>
      </c>
      <c r="D3522" s="2">
        <f>331201216/(10^6)</f>
        <v>331.201216</v>
      </c>
      <c r="E3522" s="5">
        <v>6.34065914154053</v>
      </c>
      <c r="F3522" s="5">
        <v>0.676928460597992</v>
      </c>
      <c r="G3522" s="5">
        <v>1.15450978279114</v>
      </c>
      <c r="H3522" s="5" t="s">
        <v>86</v>
      </c>
      <c r="I3522" t="s">
        <v>57</v>
      </c>
    </row>
    <row r="3523" spans="1:9">
      <c r="A3523" s="4" t="s">
        <v>7099</v>
      </c>
      <c r="B3523" s="4" t="s">
        <v>7100</v>
      </c>
      <c r="C3523" s="4" t="s">
        <v>43</v>
      </c>
      <c r="D3523" s="2">
        <f>330888416/(10^6)</f>
        <v>330.888416</v>
      </c>
      <c r="E3523" s="5">
        <v>6.70198917388916</v>
      </c>
      <c r="F3523" s="5">
        <v>0.798858404159546</v>
      </c>
      <c r="G3523" s="5">
        <v>1.79375839233398</v>
      </c>
      <c r="H3523" s="5" t="s">
        <v>86</v>
      </c>
      <c r="I3523" t="s">
        <v>57</v>
      </c>
    </row>
    <row r="3524" spans="1:9">
      <c r="A3524" s="4" t="s">
        <v>7101</v>
      </c>
      <c r="B3524" s="4" t="s">
        <v>7102</v>
      </c>
      <c r="C3524" s="4" t="s">
        <v>31</v>
      </c>
      <c r="D3524" s="2">
        <f>330719744/(10^6)</f>
        <v>330.719744</v>
      </c>
      <c r="E3524" s="5">
        <v>10.3081312179565</v>
      </c>
      <c r="F3524" s="5">
        <v>1.10136044025421</v>
      </c>
      <c r="G3524" s="5">
        <v>0.455957442522049</v>
      </c>
      <c r="H3524" s="5">
        <v>5.94234991073608</v>
      </c>
      <c r="I3524" t="s">
        <v>57</v>
      </c>
    </row>
    <row r="3525" spans="1:9">
      <c r="A3525" s="4" t="s">
        <v>7103</v>
      </c>
      <c r="B3525" s="4" t="s">
        <v>7104</v>
      </c>
      <c r="C3525" s="4" t="s">
        <v>47</v>
      </c>
      <c r="D3525" s="2">
        <f>330243872/(10^6)</f>
        <v>330.243872</v>
      </c>
      <c r="E3525" s="5" t="s">
        <v>86</v>
      </c>
      <c r="F3525" s="5">
        <v>2.88850784301758</v>
      </c>
      <c r="G3525" s="5">
        <v>2.02126169204712</v>
      </c>
      <c r="H3525" s="5">
        <v>11.8630075454712</v>
      </c>
      <c r="I3525" t="s">
        <v>57</v>
      </c>
    </row>
    <row r="3526" spans="1:9">
      <c r="A3526" s="4" t="s">
        <v>7105</v>
      </c>
      <c r="B3526" s="4" t="s">
        <v>7106</v>
      </c>
      <c r="C3526" s="4" t="s">
        <v>49</v>
      </c>
      <c r="D3526" s="2">
        <f>329820000/(10^6)</f>
        <v>329.82</v>
      </c>
      <c r="E3526" s="5" t="s">
        <v>86</v>
      </c>
      <c r="F3526" s="5" t="s">
        <v>86</v>
      </c>
      <c r="G3526" s="5" t="s">
        <v>86</v>
      </c>
      <c r="H3526" s="5" t="s">
        <v>86</v>
      </c>
      <c r="I3526" t="s">
        <v>57</v>
      </c>
    </row>
    <row r="3527" spans="1:9">
      <c r="A3527" s="4" t="s">
        <v>7107</v>
      </c>
      <c r="B3527" s="4" t="s">
        <v>7108</v>
      </c>
      <c r="C3527" s="4" t="s">
        <v>43</v>
      </c>
      <c r="D3527" s="2">
        <f>329270880/(10^6)</f>
        <v>329.27088</v>
      </c>
      <c r="E3527" s="5">
        <v>7.20901679992676</v>
      </c>
      <c r="F3527" s="5">
        <v>0.661017119884491</v>
      </c>
      <c r="G3527" s="5">
        <v>1.43966352939606</v>
      </c>
      <c r="H3527" s="5" t="s">
        <v>86</v>
      </c>
      <c r="I3527" t="s">
        <v>57</v>
      </c>
    </row>
    <row r="3528" spans="1:9">
      <c r="A3528" s="4" t="s">
        <v>7109</v>
      </c>
      <c r="B3528" s="4" t="s">
        <v>7110</v>
      </c>
      <c r="C3528" s="4" t="s">
        <v>41</v>
      </c>
      <c r="D3528" s="2">
        <f>328709760/(10^6)</f>
        <v>328.70976</v>
      </c>
      <c r="E3528" s="5" t="s">
        <v>86</v>
      </c>
      <c r="F3528" s="5">
        <v>1.1837283372879</v>
      </c>
      <c r="G3528" s="5" t="s">
        <v>86</v>
      </c>
      <c r="H3528" s="5" t="s">
        <v>86</v>
      </c>
      <c r="I3528" t="s">
        <v>57</v>
      </c>
    </row>
    <row r="3529" spans="1:9">
      <c r="A3529" s="4" t="s">
        <v>7111</v>
      </c>
      <c r="B3529" s="4" t="s">
        <v>7112</v>
      </c>
      <c r="C3529" s="4" t="s">
        <v>51</v>
      </c>
      <c r="D3529" s="2">
        <f>328296544/(10^6)</f>
        <v>328.296544</v>
      </c>
      <c r="E3529" s="5" t="s">
        <v>86</v>
      </c>
      <c r="F3529" s="5">
        <v>2.04455804824829</v>
      </c>
      <c r="G3529" s="5">
        <v>0.896079003810883</v>
      </c>
      <c r="H3529" s="5">
        <v>16.1426696777344</v>
      </c>
      <c r="I3529" t="s">
        <v>57</v>
      </c>
    </row>
    <row r="3530" spans="1:9">
      <c r="A3530" s="4" t="s">
        <v>7113</v>
      </c>
      <c r="B3530" s="4" t="s">
        <v>7114</v>
      </c>
      <c r="C3530" s="4" t="s">
        <v>41</v>
      </c>
      <c r="D3530" s="2">
        <f>328226016/(10^6)</f>
        <v>328.226016</v>
      </c>
      <c r="E3530" s="5" t="s">
        <v>86</v>
      </c>
      <c r="F3530" s="5">
        <v>3.86463928222656</v>
      </c>
      <c r="G3530" s="5">
        <v>7.82899045944214</v>
      </c>
      <c r="H3530" s="5" t="s">
        <v>86</v>
      </c>
      <c r="I3530" t="s">
        <v>57</v>
      </c>
    </row>
    <row r="3531" spans="1:9">
      <c r="A3531" s="4" t="s">
        <v>7115</v>
      </c>
      <c r="B3531" s="4" t="s">
        <v>7116</v>
      </c>
      <c r="C3531" s="4" t="s">
        <v>41</v>
      </c>
      <c r="D3531" s="2">
        <f>327303936/(10^6)</f>
        <v>327.303936</v>
      </c>
      <c r="E3531" s="5" t="s">
        <v>86</v>
      </c>
      <c r="F3531" s="5">
        <v>2.83784699440002</v>
      </c>
      <c r="G3531" s="5" t="s">
        <v>86</v>
      </c>
      <c r="H3531" s="5" t="s">
        <v>86</v>
      </c>
      <c r="I3531" t="s">
        <v>57</v>
      </c>
    </row>
    <row r="3532" spans="1:9">
      <c r="A3532" s="4" t="s">
        <v>7117</v>
      </c>
      <c r="B3532" s="4" t="s">
        <v>7118</v>
      </c>
      <c r="C3532" s="4" t="s">
        <v>31</v>
      </c>
      <c r="D3532" s="2">
        <f>327001728/(10^6)</f>
        <v>327.001728</v>
      </c>
      <c r="E3532" s="5" t="s">
        <v>86</v>
      </c>
      <c r="F3532" s="5">
        <v>5.41197347640991</v>
      </c>
      <c r="G3532" s="5">
        <v>1.04248917102814</v>
      </c>
      <c r="H3532" s="5" t="s">
        <v>86</v>
      </c>
      <c r="I3532" t="s">
        <v>57</v>
      </c>
    </row>
    <row r="3533" spans="1:9">
      <c r="A3533" s="4" t="s">
        <v>7119</v>
      </c>
      <c r="B3533" s="4" t="s">
        <v>7120</v>
      </c>
      <c r="C3533" s="4" t="s">
        <v>41</v>
      </c>
      <c r="D3533" s="2">
        <f>326299296/(10^6)</f>
        <v>326.299296</v>
      </c>
      <c r="E3533" s="5" t="s">
        <v>86</v>
      </c>
      <c r="F3533" s="5">
        <v>1.09959232807159</v>
      </c>
      <c r="G3533" s="5">
        <v>0.174409508705139</v>
      </c>
      <c r="H3533" s="5">
        <v>10.4166078567505</v>
      </c>
      <c r="I3533" t="s">
        <v>57</v>
      </c>
    </row>
    <row r="3534" spans="1:9">
      <c r="A3534" s="4" t="s">
        <v>7121</v>
      </c>
      <c r="B3534" s="4" t="s">
        <v>7122</v>
      </c>
      <c r="C3534" s="4" t="s">
        <v>47</v>
      </c>
      <c r="D3534" s="2">
        <f>325550272/(10^6)</f>
        <v>325.550272</v>
      </c>
      <c r="E3534" s="5">
        <v>19.8837413787842</v>
      </c>
      <c r="F3534" s="5">
        <v>1.11558938026428</v>
      </c>
      <c r="G3534" s="5">
        <v>1.22502171993256</v>
      </c>
      <c r="H3534" s="5">
        <v>4.35998153686523</v>
      </c>
      <c r="I3534" t="s">
        <v>57</v>
      </c>
    </row>
    <row r="3535" spans="1:9">
      <c r="A3535" s="4" t="s">
        <v>7123</v>
      </c>
      <c r="B3535" s="4" t="s">
        <v>7124</v>
      </c>
      <c r="C3535" s="4" t="s">
        <v>35</v>
      </c>
      <c r="D3535" s="2">
        <f>324595040/(10^6)</f>
        <v>324.59504</v>
      </c>
      <c r="E3535" s="5">
        <v>10.6575965881348</v>
      </c>
      <c r="F3535" s="5">
        <v>0.96734219789505</v>
      </c>
      <c r="G3535" s="5">
        <v>0.198716074228287</v>
      </c>
      <c r="H3535" s="5">
        <v>6.8417329788208</v>
      </c>
      <c r="I3535" t="s">
        <v>57</v>
      </c>
    </row>
    <row r="3536" spans="1:9">
      <c r="A3536" s="4" t="s">
        <v>7125</v>
      </c>
      <c r="B3536" s="4" t="s">
        <v>7126</v>
      </c>
      <c r="C3536" s="4" t="s">
        <v>43</v>
      </c>
      <c r="D3536" s="2">
        <f>324512800/(10^6)</f>
        <v>324.5128</v>
      </c>
      <c r="E3536" s="5">
        <v>8.87757587432861</v>
      </c>
      <c r="F3536" s="5">
        <v>1.05946254730225</v>
      </c>
      <c r="G3536" s="5">
        <v>2.43745732307434</v>
      </c>
      <c r="H3536" s="5" t="s">
        <v>86</v>
      </c>
      <c r="I3536" t="s">
        <v>57</v>
      </c>
    </row>
    <row r="3537" spans="1:9">
      <c r="A3537" s="4" t="s">
        <v>7127</v>
      </c>
      <c r="B3537" s="4" t="s">
        <v>7128</v>
      </c>
      <c r="C3537" s="4" t="s">
        <v>43</v>
      </c>
      <c r="D3537" s="2">
        <f>324495552/(10^6)</f>
        <v>324.495552</v>
      </c>
      <c r="E3537" s="5">
        <v>9.9709939956665</v>
      </c>
      <c r="F3537" s="5">
        <v>0.577424287796021</v>
      </c>
      <c r="G3537" s="5">
        <v>1.18251526355743</v>
      </c>
      <c r="H3537" s="5" t="s">
        <v>86</v>
      </c>
      <c r="I3537" t="s">
        <v>57</v>
      </c>
    </row>
    <row r="3538" spans="1:9">
      <c r="A3538" s="4" t="s">
        <v>7129</v>
      </c>
      <c r="B3538" s="4" t="s">
        <v>7130</v>
      </c>
      <c r="C3538" s="4" t="s">
        <v>37</v>
      </c>
      <c r="D3538" s="2">
        <f>324265312/(10^6)</f>
        <v>324.265312</v>
      </c>
      <c r="E3538" s="5">
        <v>1719.39990234375</v>
      </c>
      <c r="F3538" s="5">
        <v>2.67597770690918</v>
      </c>
      <c r="G3538" s="5">
        <v>0.209961429238319</v>
      </c>
      <c r="H3538" s="5">
        <v>8.63260555267334</v>
      </c>
      <c r="I3538" t="s">
        <v>57</v>
      </c>
    </row>
    <row r="3539" spans="1:9">
      <c r="A3539" s="4" t="s">
        <v>7131</v>
      </c>
      <c r="B3539" s="4" t="s">
        <v>7132</v>
      </c>
      <c r="C3539" s="4" t="s">
        <v>49</v>
      </c>
      <c r="D3539" s="2">
        <f>322483200/(10^6)</f>
        <v>322.4832</v>
      </c>
      <c r="E3539" s="5">
        <v>109.66968536377</v>
      </c>
      <c r="F3539" s="5">
        <v>15.4231739044189</v>
      </c>
      <c r="G3539" s="5" t="s">
        <v>86</v>
      </c>
      <c r="H3539" s="5" t="s">
        <v>86</v>
      </c>
      <c r="I3539" t="s">
        <v>57</v>
      </c>
    </row>
    <row r="3540" spans="1:9">
      <c r="A3540" s="4" t="s">
        <v>7133</v>
      </c>
      <c r="B3540" s="4" t="s">
        <v>7134</v>
      </c>
      <c r="C3540" s="4" t="s">
        <v>41</v>
      </c>
      <c r="D3540" s="2">
        <f>322165600/(10^6)</f>
        <v>322.1656</v>
      </c>
      <c r="E3540" s="5" t="s">
        <v>86</v>
      </c>
      <c r="F3540" s="5">
        <v>4.53290319442749</v>
      </c>
      <c r="G3540" s="5">
        <v>4.16909551620483</v>
      </c>
      <c r="H3540" s="5" t="s">
        <v>86</v>
      </c>
      <c r="I3540" t="s">
        <v>57</v>
      </c>
    </row>
    <row r="3541" spans="1:9">
      <c r="A3541" s="4" t="s">
        <v>7135</v>
      </c>
      <c r="B3541" s="4" t="s">
        <v>7136</v>
      </c>
      <c r="C3541" s="4" t="s">
        <v>41</v>
      </c>
      <c r="D3541" s="2">
        <f>321727296/(10^6)</f>
        <v>321.727296</v>
      </c>
      <c r="E3541" s="5" t="s">
        <v>86</v>
      </c>
      <c r="F3541" s="5">
        <v>13.4584884643555</v>
      </c>
      <c r="G3541" s="5">
        <v>51.9246597290039</v>
      </c>
      <c r="H3541" s="5" t="s">
        <v>86</v>
      </c>
      <c r="I3541" t="s">
        <v>57</v>
      </c>
    </row>
    <row r="3542" spans="1:9">
      <c r="A3542" s="4" t="s">
        <v>7137</v>
      </c>
      <c r="B3542" s="4" t="s">
        <v>7138</v>
      </c>
      <c r="C3542" s="4" t="s">
        <v>49</v>
      </c>
      <c r="D3542" s="2">
        <f>319506336/(10^6)</f>
        <v>319.506336</v>
      </c>
      <c r="E3542" s="5" t="s">
        <v>86</v>
      </c>
      <c r="F3542" s="5">
        <v>1.04546511173248</v>
      </c>
      <c r="G3542" s="5" t="s">
        <v>86</v>
      </c>
      <c r="H3542" s="5" t="s">
        <v>86</v>
      </c>
      <c r="I3542" t="s">
        <v>57</v>
      </c>
    </row>
    <row r="3543" spans="1:9">
      <c r="A3543" s="4" t="s">
        <v>7139</v>
      </c>
      <c r="B3543" s="4" t="s">
        <v>7140</v>
      </c>
      <c r="C3543" s="4" t="s">
        <v>41</v>
      </c>
      <c r="D3543" s="2">
        <f>318818336/(10^6)</f>
        <v>318.818336</v>
      </c>
      <c r="E3543" s="5" t="s">
        <v>86</v>
      </c>
      <c r="F3543" s="5">
        <v>4.42712593078613</v>
      </c>
      <c r="G3543" s="5">
        <v>19.6015548706055</v>
      </c>
      <c r="H3543" s="5" t="s">
        <v>86</v>
      </c>
      <c r="I3543" t="s">
        <v>57</v>
      </c>
    </row>
    <row r="3544" spans="1:9">
      <c r="A3544" s="4" t="s">
        <v>7141</v>
      </c>
      <c r="B3544" s="4" t="s">
        <v>7142</v>
      </c>
      <c r="C3544" s="4" t="s">
        <v>41</v>
      </c>
      <c r="D3544" s="2">
        <f>318165056/(10^6)</f>
        <v>318.165056</v>
      </c>
      <c r="E3544" s="5" t="s">
        <v>86</v>
      </c>
      <c r="F3544" s="5">
        <v>2.28936290740967</v>
      </c>
      <c r="G3544" s="5">
        <v>9.19866180419922</v>
      </c>
      <c r="H3544" s="5" t="s">
        <v>86</v>
      </c>
      <c r="I3544" t="s">
        <v>57</v>
      </c>
    </row>
    <row r="3545" spans="1:9">
      <c r="A3545" s="4" t="s">
        <v>7143</v>
      </c>
      <c r="B3545" s="4" t="s">
        <v>7144</v>
      </c>
      <c r="C3545" s="4" t="s">
        <v>43</v>
      </c>
      <c r="D3545" s="2">
        <f>317779680/(10^6)</f>
        <v>317.77968</v>
      </c>
      <c r="E3545" s="5">
        <v>10.3114757537842</v>
      </c>
      <c r="F3545" s="5">
        <v>0.967778503894806</v>
      </c>
      <c r="G3545" s="5">
        <v>1.90753221511841</v>
      </c>
      <c r="H3545" s="5" t="s">
        <v>86</v>
      </c>
      <c r="I3545" t="s">
        <v>57</v>
      </c>
    </row>
    <row r="3546" spans="1:9">
      <c r="A3546" s="4" t="s">
        <v>7145</v>
      </c>
      <c r="B3546" s="4" t="s">
        <v>7146</v>
      </c>
      <c r="C3546" s="4" t="s">
        <v>39</v>
      </c>
      <c r="D3546" s="2">
        <f>316769408/(10^6)</f>
        <v>316.769408</v>
      </c>
      <c r="E3546" s="5">
        <v>10.7431936264038</v>
      </c>
      <c r="F3546" s="5">
        <v>1.18162727355957</v>
      </c>
      <c r="G3546" s="5">
        <v>0.196497693657875</v>
      </c>
      <c r="H3546" s="5">
        <v>5.65204429626465</v>
      </c>
      <c r="I3546" t="s">
        <v>57</v>
      </c>
    </row>
    <row r="3547" spans="1:9">
      <c r="A3547" s="4" t="s">
        <v>7147</v>
      </c>
      <c r="B3547" s="4" t="s">
        <v>7148</v>
      </c>
      <c r="C3547" s="4" t="s">
        <v>41</v>
      </c>
      <c r="D3547" s="2">
        <f>316509504/(10^6)</f>
        <v>316.509504</v>
      </c>
      <c r="E3547" s="5" t="s">
        <v>86</v>
      </c>
      <c r="F3547" s="5" t="s">
        <v>86</v>
      </c>
      <c r="G3547" s="5">
        <v>4.28844261169434</v>
      </c>
      <c r="H3547" s="5" t="s">
        <v>86</v>
      </c>
      <c r="I3547" t="s">
        <v>57</v>
      </c>
    </row>
    <row r="3548" spans="1:9">
      <c r="A3548" s="4" t="s">
        <v>7149</v>
      </c>
      <c r="B3548" s="4" t="s">
        <v>7150</v>
      </c>
      <c r="C3548" s="4" t="s">
        <v>35</v>
      </c>
      <c r="D3548" s="2">
        <f>316259808/(10^6)</f>
        <v>316.259808</v>
      </c>
      <c r="E3548" s="5">
        <v>19.1993370056152</v>
      </c>
      <c r="F3548" s="5">
        <v>0.984328329563141</v>
      </c>
      <c r="G3548" s="5">
        <v>0.182992905378342</v>
      </c>
      <c r="H3548" s="5">
        <v>6.55275869369507</v>
      </c>
      <c r="I3548" t="s">
        <v>57</v>
      </c>
    </row>
    <row r="3549" spans="1:9">
      <c r="A3549" s="4" t="s">
        <v>7151</v>
      </c>
      <c r="B3549" s="4" t="s">
        <v>7152</v>
      </c>
      <c r="C3549" s="4" t="s">
        <v>43</v>
      </c>
      <c r="D3549" s="2">
        <f>315938528/(10^6)</f>
        <v>315.938528</v>
      </c>
      <c r="E3549" s="5">
        <v>7.17167329788208</v>
      </c>
      <c r="F3549" s="5">
        <v>0.948742687702179</v>
      </c>
      <c r="G3549" s="5">
        <v>2.34313130378723</v>
      </c>
      <c r="H3549" s="5" t="s">
        <v>86</v>
      </c>
      <c r="I3549" t="s">
        <v>57</v>
      </c>
    </row>
    <row r="3550" spans="1:9">
      <c r="A3550" s="4" t="s">
        <v>7153</v>
      </c>
      <c r="B3550" s="4" t="s">
        <v>7154</v>
      </c>
      <c r="C3550" s="4" t="s">
        <v>49</v>
      </c>
      <c r="D3550" s="2">
        <f>315720736/(10^6)</f>
        <v>315.720736</v>
      </c>
      <c r="E3550" s="5">
        <v>477.505035400391</v>
      </c>
      <c r="F3550" s="5">
        <v>0.320499897003174</v>
      </c>
      <c r="G3550" s="5" t="s">
        <v>86</v>
      </c>
      <c r="H3550" s="5" t="s">
        <v>86</v>
      </c>
      <c r="I3550" t="s">
        <v>57</v>
      </c>
    </row>
    <row r="3551" spans="1:9">
      <c r="A3551" s="4" t="s">
        <v>7155</v>
      </c>
      <c r="B3551" s="4" t="s">
        <v>7156</v>
      </c>
      <c r="C3551" s="4" t="s">
        <v>51</v>
      </c>
      <c r="D3551" s="2">
        <f>315191552/(10^6)</f>
        <v>315.191552</v>
      </c>
      <c r="E3551" s="5" t="s">
        <v>86</v>
      </c>
      <c r="F3551" s="5">
        <v>5.42075729370117</v>
      </c>
      <c r="G3551" s="5">
        <v>4.427490234375</v>
      </c>
      <c r="H3551" s="5" t="s">
        <v>86</v>
      </c>
      <c r="I3551" t="s">
        <v>57</v>
      </c>
    </row>
    <row r="3552" spans="1:9">
      <c r="A3552" s="4" t="s">
        <v>7157</v>
      </c>
      <c r="B3552" s="4" t="s">
        <v>7158</v>
      </c>
      <c r="C3552" s="4" t="s">
        <v>49</v>
      </c>
      <c r="D3552" s="2">
        <f>314707488/(10^6)</f>
        <v>314.707488</v>
      </c>
      <c r="E3552" s="5">
        <v>985.000061035156</v>
      </c>
      <c r="F3552" s="5">
        <v>0.332253247499466</v>
      </c>
      <c r="G3552" s="5" t="s">
        <v>86</v>
      </c>
      <c r="H3552" s="5" t="s">
        <v>86</v>
      </c>
      <c r="I3552" t="s">
        <v>57</v>
      </c>
    </row>
    <row r="3553" spans="1:9">
      <c r="A3553" s="4" t="s">
        <v>7159</v>
      </c>
      <c r="B3553" s="4" t="s">
        <v>7160</v>
      </c>
      <c r="C3553" s="4" t="s">
        <v>43</v>
      </c>
      <c r="D3553" s="2">
        <f>314704576/(10^6)</f>
        <v>314.704576</v>
      </c>
      <c r="E3553" s="5">
        <v>5.93718528747559</v>
      </c>
      <c r="F3553" s="5">
        <v>1.07872605323792</v>
      </c>
      <c r="G3553" s="5">
        <v>1.5232949256897</v>
      </c>
      <c r="H3553" s="5" t="s">
        <v>86</v>
      </c>
      <c r="I3553" t="s">
        <v>57</v>
      </c>
    </row>
    <row r="3554" spans="1:9">
      <c r="A3554" s="4" t="s">
        <v>7161</v>
      </c>
      <c r="B3554" s="4" t="s">
        <v>7162</v>
      </c>
      <c r="C3554" s="4" t="s">
        <v>49</v>
      </c>
      <c r="D3554" s="2">
        <f>313734368/(10^6)</f>
        <v>313.734368</v>
      </c>
      <c r="E3554" s="5" t="s">
        <v>86</v>
      </c>
      <c r="F3554" s="5" t="s">
        <v>86</v>
      </c>
      <c r="G3554" s="5" t="s">
        <v>86</v>
      </c>
      <c r="H3554" s="5" t="s">
        <v>86</v>
      </c>
      <c r="I3554" t="s">
        <v>57</v>
      </c>
    </row>
    <row r="3555" spans="1:9">
      <c r="A3555" s="4" t="s">
        <v>7163</v>
      </c>
      <c r="B3555" s="4" t="s">
        <v>7164</v>
      </c>
      <c r="C3555" s="4" t="s">
        <v>43</v>
      </c>
      <c r="D3555" s="2">
        <f>313411200/(10^6)</f>
        <v>313.4112</v>
      </c>
      <c r="E3555" s="5">
        <v>8.95463562011719</v>
      </c>
      <c r="F3555" s="5">
        <v>10.144983291626</v>
      </c>
      <c r="G3555" s="5">
        <v>0.530447959899902</v>
      </c>
      <c r="H3555" s="5">
        <v>6.82131671905518</v>
      </c>
      <c r="I3555" t="s">
        <v>57</v>
      </c>
    </row>
    <row r="3556" spans="1:9">
      <c r="A3556" s="4" t="s">
        <v>7165</v>
      </c>
      <c r="B3556" s="4" t="s">
        <v>7166</v>
      </c>
      <c r="C3556" s="4" t="s">
        <v>51</v>
      </c>
      <c r="D3556" s="2">
        <f>312656864/(10^6)</f>
        <v>312.656864</v>
      </c>
      <c r="E3556" s="5" t="s">
        <v>86</v>
      </c>
      <c r="F3556" s="5">
        <v>3.34084320068359</v>
      </c>
      <c r="G3556" s="5" t="s">
        <v>86</v>
      </c>
      <c r="H3556" s="5" t="s">
        <v>86</v>
      </c>
      <c r="I3556" t="s">
        <v>57</v>
      </c>
    </row>
    <row r="3557" spans="1:9">
      <c r="A3557" s="4" t="s">
        <v>7167</v>
      </c>
      <c r="B3557" s="4" t="s">
        <v>7168</v>
      </c>
      <c r="C3557" s="4" t="s">
        <v>41</v>
      </c>
      <c r="D3557" s="2">
        <f>311128224/(10^6)</f>
        <v>311.128224</v>
      </c>
      <c r="E3557" s="5" t="s">
        <v>86</v>
      </c>
      <c r="F3557" s="5">
        <v>2.14498972892761</v>
      </c>
      <c r="G3557" s="5" t="s">
        <v>86</v>
      </c>
      <c r="H3557" s="5" t="s">
        <v>86</v>
      </c>
      <c r="I3557" t="s">
        <v>57</v>
      </c>
    </row>
    <row r="3558" spans="1:9">
      <c r="A3558" s="4" t="s">
        <v>7169</v>
      </c>
      <c r="B3558" s="4" t="s">
        <v>7170</v>
      </c>
      <c r="C3558" s="4" t="s">
        <v>41</v>
      </c>
      <c r="D3558" s="2">
        <f>311098464/(10^6)</f>
        <v>311.098464</v>
      </c>
      <c r="E3558" s="5" t="s">
        <v>86</v>
      </c>
      <c r="F3558" s="5">
        <v>1.436687707901</v>
      </c>
      <c r="G3558" s="5">
        <v>2.41634678840637</v>
      </c>
      <c r="H3558" s="5" t="s">
        <v>86</v>
      </c>
      <c r="I3558" t="s">
        <v>57</v>
      </c>
    </row>
    <row r="3559" spans="1:9">
      <c r="A3559" s="4" t="s">
        <v>7171</v>
      </c>
      <c r="B3559" s="4" t="s">
        <v>7172</v>
      </c>
      <c r="C3559" s="4" t="s">
        <v>41</v>
      </c>
      <c r="D3559" s="2">
        <f>310881920/(10^6)</f>
        <v>310.88192</v>
      </c>
      <c r="E3559" s="5" t="s">
        <v>86</v>
      </c>
      <c r="F3559" s="5">
        <v>6.67519474029541</v>
      </c>
      <c r="G3559" s="5">
        <v>8.80257892608643</v>
      </c>
      <c r="H3559" s="5" t="s">
        <v>86</v>
      </c>
      <c r="I3559" t="s">
        <v>57</v>
      </c>
    </row>
    <row r="3560" spans="1:9">
      <c r="A3560" s="4" t="s">
        <v>7173</v>
      </c>
      <c r="B3560" s="4" t="s">
        <v>7174</v>
      </c>
      <c r="C3560" s="4" t="s">
        <v>49</v>
      </c>
      <c r="D3560" s="2">
        <f>310800512/(10^6)</f>
        <v>310.800512</v>
      </c>
      <c r="E3560" s="5" t="s">
        <v>86</v>
      </c>
      <c r="F3560" s="5">
        <v>1.43338692188263</v>
      </c>
      <c r="G3560" s="5" t="s">
        <v>86</v>
      </c>
      <c r="H3560" s="5" t="s">
        <v>86</v>
      </c>
      <c r="I3560" t="s">
        <v>57</v>
      </c>
    </row>
    <row r="3561" spans="1:9">
      <c r="A3561" s="4" t="s">
        <v>7175</v>
      </c>
      <c r="B3561" s="4" t="s">
        <v>7176</v>
      </c>
      <c r="C3561" s="4" t="s">
        <v>43</v>
      </c>
      <c r="D3561" s="2">
        <f>310537856/(10^6)</f>
        <v>310.537856</v>
      </c>
      <c r="E3561" s="5" t="s">
        <v>86</v>
      </c>
      <c r="F3561" s="5">
        <v>3.65635824203491</v>
      </c>
      <c r="G3561" s="5" t="s">
        <v>86</v>
      </c>
      <c r="H3561" s="5" t="s">
        <v>86</v>
      </c>
      <c r="I3561" t="s">
        <v>57</v>
      </c>
    </row>
    <row r="3562" spans="1:9">
      <c r="A3562" s="4" t="s">
        <v>7177</v>
      </c>
      <c r="B3562" s="4" t="s">
        <v>7178</v>
      </c>
      <c r="C3562" s="4" t="s">
        <v>35</v>
      </c>
      <c r="D3562" s="2">
        <f>310374272/(10^6)</f>
        <v>310.374272</v>
      </c>
      <c r="E3562" s="5">
        <v>12.166054725647</v>
      </c>
      <c r="F3562" s="5">
        <v>0.695777535438538</v>
      </c>
      <c r="G3562" s="5">
        <v>0.239188119769096</v>
      </c>
      <c r="H3562" s="5">
        <v>7.18826913833618</v>
      </c>
      <c r="I3562" t="s">
        <v>57</v>
      </c>
    </row>
    <row r="3563" spans="1:9">
      <c r="A3563" s="4" t="s">
        <v>7179</v>
      </c>
      <c r="B3563" s="4" t="s">
        <v>7180</v>
      </c>
      <c r="C3563" s="4" t="s">
        <v>35</v>
      </c>
      <c r="D3563" s="2">
        <f>310374272/(10^6)</f>
        <v>310.374272</v>
      </c>
      <c r="E3563" s="5">
        <v>12.166054725647</v>
      </c>
      <c r="F3563" s="5">
        <v>0.695777535438538</v>
      </c>
      <c r="G3563" s="5">
        <v>0.239188119769096</v>
      </c>
      <c r="H3563" s="5">
        <v>7.18826913833618</v>
      </c>
      <c r="I3563" t="s">
        <v>57</v>
      </c>
    </row>
    <row r="3564" spans="1:9">
      <c r="A3564" s="4" t="s">
        <v>7181</v>
      </c>
      <c r="B3564" s="4" t="s">
        <v>7182</v>
      </c>
      <c r="C3564" s="4" t="s">
        <v>41</v>
      </c>
      <c r="D3564" s="2">
        <f>310221952/(10^6)</f>
        <v>310.221952</v>
      </c>
      <c r="E3564" s="5" t="s">
        <v>86</v>
      </c>
      <c r="F3564" s="5">
        <v>2.57004404067993</v>
      </c>
      <c r="G3564" s="5" t="s">
        <v>86</v>
      </c>
      <c r="H3564" s="5" t="s">
        <v>86</v>
      </c>
      <c r="I3564" t="s">
        <v>57</v>
      </c>
    </row>
    <row r="3565" spans="1:9">
      <c r="A3565" s="4" t="s">
        <v>7183</v>
      </c>
      <c r="B3565" s="4" t="s">
        <v>7184</v>
      </c>
      <c r="C3565" s="4" t="s">
        <v>49</v>
      </c>
      <c r="D3565" s="2">
        <f>309292512/(10^6)</f>
        <v>309.292512</v>
      </c>
      <c r="E3565" s="5">
        <v>34.8058776855469</v>
      </c>
      <c r="F3565" s="5">
        <v>0.295455247163773</v>
      </c>
      <c r="G3565" s="5" t="s">
        <v>86</v>
      </c>
      <c r="H3565" s="5" t="s">
        <v>86</v>
      </c>
      <c r="I3565" t="s">
        <v>57</v>
      </c>
    </row>
    <row r="3566" spans="1:9">
      <c r="A3566" s="4" t="s">
        <v>7185</v>
      </c>
      <c r="B3566" s="4" t="s">
        <v>7186</v>
      </c>
      <c r="C3566" s="4" t="s">
        <v>43</v>
      </c>
      <c r="D3566" s="2">
        <f>307298688/(10^6)</f>
        <v>307.298688</v>
      </c>
      <c r="E3566" s="5">
        <v>20.9014511108398</v>
      </c>
      <c r="F3566" s="5">
        <v>0.74698007106781</v>
      </c>
      <c r="G3566" s="5">
        <v>1.47067987918854</v>
      </c>
      <c r="H3566" s="5" t="s">
        <v>86</v>
      </c>
      <c r="I3566" t="s">
        <v>57</v>
      </c>
    </row>
    <row r="3567" spans="1:9">
      <c r="A3567" s="4" t="s">
        <v>7187</v>
      </c>
      <c r="B3567" s="4" t="s">
        <v>7188</v>
      </c>
      <c r="C3567" s="4" t="s">
        <v>49</v>
      </c>
      <c r="D3567" s="2">
        <f>307280160/(10^6)</f>
        <v>307.28016</v>
      </c>
      <c r="E3567" s="5" t="s">
        <v>86</v>
      </c>
      <c r="F3567" s="5" t="s">
        <v>86</v>
      </c>
      <c r="G3567" s="5" t="s">
        <v>86</v>
      </c>
      <c r="H3567" s="5" t="s">
        <v>86</v>
      </c>
      <c r="I3567" t="s">
        <v>57</v>
      </c>
    </row>
    <row r="3568" spans="1:9">
      <c r="A3568" s="4" t="s">
        <v>7189</v>
      </c>
      <c r="B3568" s="4" t="s">
        <v>7190</v>
      </c>
      <c r="C3568" s="4" t="s">
        <v>51</v>
      </c>
      <c r="D3568" s="2">
        <f>307226528/(10^6)</f>
        <v>307.226528</v>
      </c>
      <c r="E3568" s="5">
        <v>28.0163917541504</v>
      </c>
      <c r="F3568" s="5" t="s">
        <v>86</v>
      </c>
      <c r="G3568" s="5">
        <v>0.736381113529205</v>
      </c>
      <c r="H3568" s="5">
        <v>9.62214374542236</v>
      </c>
      <c r="I3568" t="s">
        <v>57</v>
      </c>
    </row>
    <row r="3569" spans="1:9">
      <c r="A3569" s="4" t="s">
        <v>7191</v>
      </c>
      <c r="B3569" s="4" t="s">
        <v>7192</v>
      </c>
      <c r="C3569" s="4" t="s">
        <v>41</v>
      </c>
      <c r="D3569" s="2">
        <f>306832000/(10^6)</f>
        <v>306.832</v>
      </c>
      <c r="E3569" s="5" t="s">
        <v>86</v>
      </c>
      <c r="F3569" s="5">
        <v>36.0170745849609</v>
      </c>
      <c r="G3569" s="5">
        <v>7.3419623374939</v>
      </c>
      <c r="H3569" s="5" t="s">
        <v>86</v>
      </c>
      <c r="I3569" t="s">
        <v>57</v>
      </c>
    </row>
    <row r="3570" spans="1:9">
      <c r="A3570" s="4" t="s">
        <v>7193</v>
      </c>
      <c r="B3570" s="4" t="s">
        <v>7194</v>
      </c>
      <c r="C3570" s="4" t="s">
        <v>51</v>
      </c>
      <c r="D3570" s="2">
        <f>305789184/(10^6)</f>
        <v>305.789184</v>
      </c>
      <c r="E3570" s="5">
        <v>179.66667175293</v>
      </c>
      <c r="F3570" s="5">
        <v>11.1891794204712</v>
      </c>
      <c r="G3570" s="5">
        <v>7.47555446624756</v>
      </c>
      <c r="H3570" s="5">
        <v>40.9825782775879</v>
      </c>
      <c r="I3570" t="s">
        <v>57</v>
      </c>
    </row>
    <row r="3571" spans="1:9">
      <c r="A3571" s="4" t="s">
        <v>7195</v>
      </c>
      <c r="B3571" s="4" t="s">
        <v>7196</v>
      </c>
      <c r="C3571" s="4" t="s">
        <v>49</v>
      </c>
      <c r="D3571" s="2">
        <f>305761504/(10^6)</f>
        <v>305.761504</v>
      </c>
      <c r="E3571" s="5" t="s">
        <v>86</v>
      </c>
      <c r="F3571" s="5" t="s">
        <v>86</v>
      </c>
      <c r="G3571" s="5" t="s">
        <v>86</v>
      </c>
      <c r="H3571" s="5" t="s">
        <v>86</v>
      </c>
      <c r="I3571" t="s">
        <v>57</v>
      </c>
    </row>
    <row r="3572" spans="1:9">
      <c r="A3572" s="4" t="s">
        <v>7197</v>
      </c>
      <c r="B3572" s="4" t="s">
        <v>7198</v>
      </c>
      <c r="C3572" s="4" t="s">
        <v>41</v>
      </c>
      <c r="D3572" s="2">
        <f>305477280/(10^6)</f>
        <v>305.47728</v>
      </c>
      <c r="E3572" s="5" t="s">
        <v>86</v>
      </c>
      <c r="F3572" s="5">
        <v>13.3246774673462</v>
      </c>
      <c r="G3572" s="5">
        <v>9.68408679962158</v>
      </c>
      <c r="H3572" s="5" t="s">
        <v>86</v>
      </c>
      <c r="I3572" t="s">
        <v>57</v>
      </c>
    </row>
    <row r="3573" spans="1:9">
      <c r="A3573" s="4" t="s">
        <v>7199</v>
      </c>
      <c r="B3573" s="4" t="s">
        <v>7200</v>
      </c>
      <c r="C3573" s="4" t="s">
        <v>51</v>
      </c>
      <c r="D3573" s="2">
        <f>305472160/(10^6)</f>
        <v>305.47216</v>
      </c>
      <c r="E3573" s="5" t="s">
        <v>86</v>
      </c>
      <c r="F3573" s="5">
        <v>3.18050861358643</v>
      </c>
      <c r="G3573" s="5">
        <v>1.7919225692749</v>
      </c>
      <c r="H3573" s="5" t="s">
        <v>86</v>
      </c>
      <c r="I3573" t="s">
        <v>57</v>
      </c>
    </row>
    <row r="3574" spans="1:9">
      <c r="A3574" s="4" t="s">
        <v>7201</v>
      </c>
      <c r="B3574" s="4" t="s">
        <v>7202</v>
      </c>
      <c r="C3574" s="4" t="s">
        <v>49</v>
      </c>
      <c r="D3574" s="2">
        <f>304637504/(10^6)</f>
        <v>304.637504</v>
      </c>
      <c r="E3574" s="5" t="s">
        <v>86</v>
      </c>
      <c r="F3574" s="5">
        <v>0.300649493932724</v>
      </c>
      <c r="G3574" s="5" t="s">
        <v>86</v>
      </c>
      <c r="H3574" s="5" t="s">
        <v>86</v>
      </c>
      <c r="I3574" t="s">
        <v>57</v>
      </c>
    </row>
    <row r="3575" spans="1:9">
      <c r="A3575" s="4" t="s">
        <v>7203</v>
      </c>
      <c r="B3575" s="4" t="s">
        <v>7204</v>
      </c>
      <c r="C3575" s="4" t="s">
        <v>37</v>
      </c>
      <c r="D3575" s="2">
        <f>304273760/(10^6)</f>
        <v>304.27376</v>
      </c>
      <c r="E3575" s="5">
        <v>8.50685977935791</v>
      </c>
      <c r="F3575" s="5">
        <v>0.438996702432632</v>
      </c>
      <c r="G3575" s="5">
        <v>0.156290024518967</v>
      </c>
      <c r="H3575" s="5">
        <v>5.17923450469971</v>
      </c>
      <c r="I3575" t="s">
        <v>57</v>
      </c>
    </row>
    <row r="3576" spans="1:9">
      <c r="A3576" s="4" t="s">
        <v>7205</v>
      </c>
      <c r="B3576" s="4" t="s">
        <v>7206</v>
      </c>
      <c r="C3576" s="4" t="s">
        <v>43</v>
      </c>
      <c r="D3576" s="2">
        <f>302743872/(10^6)</f>
        <v>302.743872</v>
      </c>
      <c r="E3576" s="5">
        <v>7.96130132675171</v>
      </c>
      <c r="F3576" s="5">
        <v>1.22630059719086</v>
      </c>
      <c r="G3576" s="5">
        <v>2.61605286598206</v>
      </c>
      <c r="H3576" s="5" t="s">
        <v>86</v>
      </c>
      <c r="I3576" t="s">
        <v>57</v>
      </c>
    </row>
    <row r="3577" spans="1:9">
      <c r="A3577" s="4" t="s">
        <v>7207</v>
      </c>
      <c r="B3577" s="4" t="s">
        <v>7208</v>
      </c>
      <c r="C3577" s="4" t="s">
        <v>47</v>
      </c>
      <c r="D3577" s="2">
        <f>301791680/(10^6)</f>
        <v>301.79168</v>
      </c>
      <c r="E3577" s="5">
        <v>3.86197590827942</v>
      </c>
      <c r="F3577" s="5">
        <v>1.30104470252991</v>
      </c>
      <c r="G3577" s="5">
        <v>0.172458529472351</v>
      </c>
      <c r="H3577" s="5">
        <v>2.61715078353882</v>
      </c>
      <c r="I3577" t="s">
        <v>57</v>
      </c>
    </row>
    <row r="3578" spans="1:9">
      <c r="A3578" s="4" t="s">
        <v>7209</v>
      </c>
      <c r="B3578" s="4" t="s">
        <v>7210</v>
      </c>
      <c r="C3578" s="4" t="s">
        <v>31</v>
      </c>
      <c r="D3578" s="2">
        <f>301791648/(10^6)</f>
        <v>301.791648</v>
      </c>
      <c r="E3578" s="5">
        <v>2.59699892997742</v>
      </c>
      <c r="F3578" s="5">
        <v>0.20947439968586</v>
      </c>
      <c r="G3578" s="5">
        <v>0.067707814276218</v>
      </c>
      <c r="H3578" s="5" t="s">
        <v>86</v>
      </c>
      <c r="I3578" t="s">
        <v>57</v>
      </c>
    </row>
    <row r="3579" spans="1:9">
      <c r="A3579" s="4" t="s">
        <v>7211</v>
      </c>
      <c r="B3579" s="4" t="s">
        <v>7212</v>
      </c>
      <c r="C3579" s="4" t="s">
        <v>41</v>
      </c>
      <c r="D3579" s="2">
        <f>301091232/(10^6)</f>
        <v>301.091232</v>
      </c>
      <c r="E3579" s="5">
        <v>12.1353569030762</v>
      </c>
      <c r="F3579" s="5">
        <v>1.52605843544006</v>
      </c>
      <c r="G3579" s="5">
        <v>1.52257311344147</v>
      </c>
      <c r="H3579" s="5">
        <v>8.34074211120605</v>
      </c>
      <c r="I3579" t="s">
        <v>57</v>
      </c>
    </row>
    <row r="3580" spans="1:9">
      <c r="A3580" s="4" t="s">
        <v>7213</v>
      </c>
      <c r="B3580" s="4" t="s">
        <v>7214</v>
      </c>
      <c r="C3580" s="4" t="s">
        <v>41</v>
      </c>
      <c r="D3580" s="2">
        <f>300988608/(10^6)</f>
        <v>300.988608</v>
      </c>
      <c r="E3580" s="5" t="s">
        <v>86</v>
      </c>
      <c r="F3580" s="5">
        <v>3.92739844322205</v>
      </c>
      <c r="G3580" s="5">
        <v>5.53558015823364</v>
      </c>
      <c r="H3580" s="5">
        <v>94.649299621582</v>
      </c>
      <c r="I3580" t="s">
        <v>57</v>
      </c>
    </row>
    <row r="3581" spans="1:9">
      <c r="A3581" s="4" t="s">
        <v>7215</v>
      </c>
      <c r="B3581" s="4" t="s">
        <v>7216</v>
      </c>
      <c r="C3581" s="4" t="s">
        <v>27</v>
      </c>
      <c r="D3581" s="2">
        <f>300757856/(10^6)</f>
        <v>300.757856</v>
      </c>
      <c r="E3581" s="5">
        <v>40.1596641540527</v>
      </c>
      <c r="F3581" s="5">
        <v>0.749848961830139</v>
      </c>
      <c r="G3581" s="5">
        <v>0.722283065319061</v>
      </c>
      <c r="H3581" s="5">
        <v>7.73654651641846</v>
      </c>
      <c r="I3581" t="s">
        <v>57</v>
      </c>
    </row>
    <row r="3582" spans="1:9">
      <c r="A3582" s="4" t="s">
        <v>7217</v>
      </c>
      <c r="B3582" s="4" t="s">
        <v>7218</v>
      </c>
      <c r="C3582" s="4" t="s">
        <v>49</v>
      </c>
      <c r="D3582" s="2">
        <f>300453504/(10^6)</f>
        <v>300.453504</v>
      </c>
      <c r="E3582" s="5" t="s">
        <v>86</v>
      </c>
      <c r="F3582" s="5">
        <v>0.985583543777466</v>
      </c>
      <c r="G3582" s="5" t="s">
        <v>86</v>
      </c>
      <c r="H3582" s="5" t="s">
        <v>86</v>
      </c>
      <c r="I3582" t="s">
        <v>57</v>
      </c>
    </row>
    <row r="3583" spans="1:9">
      <c r="A3583" s="4" t="s">
        <v>7219</v>
      </c>
      <c r="B3583" s="4" t="s">
        <v>7220</v>
      </c>
      <c r="C3583" s="4" t="s">
        <v>33</v>
      </c>
      <c r="D3583" s="2">
        <f>300036096/(10^6)</f>
        <v>300.036096</v>
      </c>
      <c r="E3583" s="5" t="s">
        <v>86</v>
      </c>
      <c r="F3583" s="5">
        <v>1.97509133815765</v>
      </c>
      <c r="G3583" s="5">
        <v>6.01226568222046</v>
      </c>
      <c r="H3583" s="5" t="s">
        <v>86</v>
      </c>
      <c r="I3583" t="s">
        <v>57</v>
      </c>
    </row>
    <row r="3584" spans="1:9">
      <c r="A3584" s="4" t="s">
        <v>7221</v>
      </c>
      <c r="B3584" s="4" t="s">
        <v>7222</v>
      </c>
      <c r="C3584" s="4" t="s">
        <v>51</v>
      </c>
      <c r="D3584" s="2">
        <f>298342848/(10^6)</f>
        <v>298.342848</v>
      </c>
      <c r="E3584" s="5" t="s">
        <v>86</v>
      </c>
      <c r="F3584" s="5" t="s">
        <v>86</v>
      </c>
      <c r="G3584" s="5">
        <v>0.066962853074074</v>
      </c>
      <c r="H3584" s="5">
        <v>7.4539475440979</v>
      </c>
      <c r="I3584" t="s">
        <v>57</v>
      </c>
    </row>
    <row r="3585" spans="1:9">
      <c r="A3585" s="4" t="s">
        <v>7223</v>
      </c>
      <c r="B3585" s="4" t="s">
        <v>7224</v>
      </c>
      <c r="C3585" s="4" t="s">
        <v>43</v>
      </c>
      <c r="D3585" s="2">
        <f>298033152/(10^6)</f>
        <v>298.033152</v>
      </c>
      <c r="E3585" s="5">
        <v>15.4098491668701</v>
      </c>
      <c r="F3585" s="5">
        <v>1.56636273860931</v>
      </c>
      <c r="G3585" s="5">
        <v>1.16940653324127</v>
      </c>
      <c r="H3585" s="5" t="s">
        <v>86</v>
      </c>
      <c r="I3585" t="s">
        <v>57</v>
      </c>
    </row>
    <row r="3586" spans="1:9">
      <c r="A3586" s="4" t="s">
        <v>7225</v>
      </c>
      <c r="B3586" s="4" t="s">
        <v>7226</v>
      </c>
      <c r="C3586" s="4" t="s">
        <v>31</v>
      </c>
      <c r="D3586" s="2">
        <f>297922048/(10^6)</f>
        <v>297.922048</v>
      </c>
      <c r="E3586" s="5">
        <v>7.14157056808472</v>
      </c>
      <c r="F3586" s="5" t="s">
        <v>86</v>
      </c>
      <c r="G3586" s="5">
        <v>0.289107441902161</v>
      </c>
      <c r="H3586" s="5">
        <v>9.20827960968018</v>
      </c>
      <c r="I3586" t="s">
        <v>57</v>
      </c>
    </row>
    <row r="3587" spans="1:9">
      <c r="A3587" s="4" t="s">
        <v>7227</v>
      </c>
      <c r="B3587" s="4" t="s">
        <v>7228</v>
      </c>
      <c r="C3587" s="4" t="s">
        <v>49</v>
      </c>
      <c r="D3587" s="2">
        <f>297448640/(10^6)</f>
        <v>297.44864</v>
      </c>
      <c r="E3587" s="5">
        <v>34.1106605529785</v>
      </c>
      <c r="F3587" s="5">
        <v>1.2634562253952</v>
      </c>
      <c r="G3587" s="5" t="s">
        <v>86</v>
      </c>
      <c r="H3587" s="5" t="s">
        <v>86</v>
      </c>
      <c r="I3587" t="s">
        <v>57</v>
      </c>
    </row>
    <row r="3588" spans="1:9">
      <c r="A3588" s="4" t="s">
        <v>7229</v>
      </c>
      <c r="B3588" s="4" t="s">
        <v>7230</v>
      </c>
      <c r="C3588" s="4" t="s">
        <v>41</v>
      </c>
      <c r="D3588" s="2">
        <f>297297280/(10^6)</f>
        <v>297.29728</v>
      </c>
      <c r="E3588" s="5" t="s">
        <v>86</v>
      </c>
      <c r="F3588" s="5">
        <v>5.32174730300903</v>
      </c>
      <c r="G3588" s="5">
        <v>864.232238769531</v>
      </c>
      <c r="H3588" s="5" t="s">
        <v>86</v>
      </c>
      <c r="I3588" t="s">
        <v>57</v>
      </c>
    </row>
    <row r="3589" spans="1:9">
      <c r="A3589" s="4" t="s">
        <v>7231</v>
      </c>
      <c r="B3589" s="4" t="s">
        <v>7232</v>
      </c>
      <c r="C3589" s="4" t="s">
        <v>27</v>
      </c>
      <c r="D3589" s="2">
        <f>297156576/(10^6)</f>
        <v>297.156576</v>
      </c>
      <c r="E3589" s="5">
        <v>4.10208606719971</v>
      </c>
      <c r="F3589" s="5">
        <v>0.535417795181274</v>
      </c>
      <c r="G3589" s="5">
        <v>0.094852514564991</v>
      </c>
      <c r="H3589" s="5">
        <v>2.13443779945373</v>
      </c>
      <c r="I3589" t="s">
        <v>57</v>
      </c>
    </row>
    <row r="3590" spans="1:9">
      <c r="A3590" s="4" t="s">
        <v>7233</v>
      </c>
      <c r="B3590" s="4" t="s">
        <v>7234</v>
      </c>
      <c r="C3590" s="4" t="s">
        <v>47</v>
      </c>
      <c r="D3590" s="2">
        <f>296630272/(10^6)</f>
        <v>296.630272</v>
      </c>
      <c r="E3590" s="5">
        <v>0.930686831474304</v>
      </c>
      <c r="F3590" s="5" t="s">
        <v>86</v>
      </c>
      <c r="G3590" s="5">
        <v>0.060564786195755</v>
      </c>
      <c r="H3590" s="5">
        <v>3.96903443336487</v>
      </c>
      <c r="I3590" t="s">
        <v>57</v>
      </c>
    </row>
    <row r="3591" spans="1:9">
      <c r="A3591" s="4" t="s">
        <v>7235</v>
      </c>
      <c r="B3591" s="4" t="s">
        <v>7236</v>
      </c>
      <c r="C3591" s="4" t="s">
        <v>47</v>
      </c>
      <c r="D3591" s="2">
        <f>296627872/(10^6)</f>
        <v>296.627872</v>
      </c>
      <c r="E3591" s="5">
        <v>8.03059673309326</v>
      </c>
      <c r="F3591" s="5">
        <v>0.924335598945618</v>
      </c>
      <c r="G3591" s="5">
        <v>0.349724620580673</v>
      </c>
      <c r="H3591" s="5">
        <v>2.50825333595276</v>
      </c>
      <c r="I3591" t="s">
        <v>57</v>
      </c>
    </row>
    <row r="3592" spans="1:9">
      <c r="A3592" s="4" t="s">
        <v>7237</v>
      </c>
      <c r="B3592" s="4" t="s">
        <v>7238</v>
      </c>
      <c r="C3592" s="4" t="s">
        <v>31</v>
      </c>
      <c r="D3592" s="2">
        <f>296428096/(10^6)</f>
        <v>296.428096</v>
      </c>
      <c r="E3592" s="5">
        <v>7.5811824798584</v>
      </c>
      <c r="F3592" s="5">
        <v>1.148730635643</v>
      </c>
      <c r="G3592" s="5">
        <v>0.362134337425232</v>
      </c>
      <c r="H3592" s="5">
        <v>4.44685554504395</v>
      </c>
      <c r="I3592" t="s">
        <v>57</v>
      </c>
    </row>
    <row r="3593" spans="1:9">
      <c r="A3593" s="4" t="s">
        <v>7239</v>
      </c>
      <c r="B3593" s="4" t="s">
        <v>7240</v>
      </c>
      <c r="C3593" s="4" t="s">
        <v>43</v>
      </c>
      <c r="D3593" s="2">
        <f>296242912/(10^6)</f>
        <v>296.242912</v>
      </c>
      <c r="E3593" s="5">
        <v>6.61946487426758</v>
      </c>
      <c r="F3593" s="5">
        <v>3.12463092803955</v>
      </c>
      <c r="G3593" s="5">
        <v>0.651834309101105</v>
      </c>
      <c r="H3593" s="5">
        <v>8.39069747924805</v>
      </c>
      <c r="I3593" t="s">
        <v>57</v>
      </c>
    </row>
    <row r="3594" spans="1:9">
      <c r="A3594" s="4" t="s">
        <v>7241</v>
      </c>
      <c r="B3594" s="4" t="s">
        <v>7242</v>
      </c>
      <c r="C3594" s="4" t="s">
        <v>51</v>
      </c>
      <c r="D3594" s="2">
        <f>294964736/(10^6)</f>
        <v>294.964736</v>
      </c>
      <c r="E3594" s="5" t="s">
        <v>86</v>
      </c>
      <c r="F3594" s="5">
        <v>1.900550365448</v>
      </c>
      <c r="G3594" s="5">
        <v>2.4438943862915</v>
      </c>
      <c r="H3594" s="5">
        <v>336.257568359375</v>
      </c>
      <c r="I3594" t="s">
        <v>57</v>
      </c>
    </row>
    <row r="3595" spans="1:9">
      <c r="A3595" s="4" t="s">
        <v>7243</v>
      </c>
      <c r="B3595" s="4" t="s">
        <v>7244</v>
      </c>
      <c r="C3595" s="4" t="s">
        <v>51</v>
      </c>
      <c r="D3595" s="2">
        <f>294524608/(10^6)</f>
        <v>294.524608</v>
      </c>
      <c r="E3595" s="5">
        <v>27.2727279663086</v>
      </c>
      <c r="F3595" s="5">
        <v>7.89843130111694</v>
      </c>
      <c r="G3595" s="5">
        <v>8.54034614562988</v>
      </c>
      <c r="H3595" s="5">
        <v>18.6882419586182</v>
      </c>
      <c r="I3595" t="s">
        <v>57</v>
      </c>
    </row>
    <row r="3596" spans="1:9">
      <c r="A3596" s="4" t="s">
        <v>7245</v>
      </c>
      <c r="B3596" s="4" t="s">
        <v>7246</v>
      </c>
      <c r="C3596" s="4" t="s">
        <v>41</v>
      </c>
      <c r="D3596" s="2">
        <f>294506624/(10^6)</f>
        <v>294.506624</v>
      </c>
      <c r="E3596" s="5" t="s">
        <v>86</v>
      </c>
      <c r="F3596" s="5">
        <v>7.69364023208618</v>
      </c>
      <c r="G3596" s="5">
        <v>4.95872068405151</v>
      </c>
      <c r="H3596" s="5" t="s">
        <v>86</v>
      </c>
      <c r="I3596" t="s">
        <v>57</v>
      </c>
    </row>
    <row r="3597" spans="1:9">
      <c r="A3597" s="4" t="s">
        <v>7247</v>
      </c>
      <c r="B3597" s="4" t="s">
        <v>7248</v>
      </c>
      <c r="C3597" s="4" t="s">
        <v>31</v>
      </c>
      <c r="D3597" s="2">
        <f>293757408/(10^6)</f>
        <v>293.757408</v>
      </c>
      <c r="E3597" s="5">
        <v>19.1842937469482</v>
      </c>
      <c r="F3597" s="5">
        <v>0.973761022090912</v>
      </c>
      <c r="G3597" s="5">
        <v>0.541529417037964</v>
      </c>
      <c r="H3597" s="5">
        <v>6.12888193130493</v>
      </c>
      <c r="I3597" t="s">
        <v>57</v>
      </c>
    </row>
    <row r="3598" spans="1:9">
      <c r="A3598" s="4" t="s">
        <v>7249</v>
      </c>
      <c r="B3598" s="4" t="s">
        <v>7250</v>
      </c>
      <c r="C3598" s="4" t="s">
        <v>43</v>
      </c>
      <c r="D3598" s="2">
        <f>293579424/(10^6)</f>
        <v>293.579424</v>
      </c>
      <c r="E3598" s="5">
        <v>6.18231821060181</v>
      </c>
      <c r="F3598" s="5">
        <v>0.592659473419189</v>
      </c>
      <c r="G3598" s="5">
        <v>1.3598061800003</v>
      </c>
      <c r="H3598" s="5" t="s">
        <v>86</v>
      </c>
      <c r="I3598" t="s">
        <v>57</v>
      </c>
    </row>
    <row r="3599" spans="1:9">
      <c r="A3599" s="4" t="s">
        <v>7251</v>
      </c>
      <c r="B3599" s="4" t="s">
        <v>7252</v>
      </c>
      <c r="C3599" s="4" t="s">
        <v>51</v>
      </c>
      <c r="D3599" s="2">
        <f>293427584/(10^6)</f>
        <v>293.427584</v>
      </c>
      <c r="E3599" s="5" t="s">
        <v>86</v>
      </c>
      <c r="F3599" s="5" t="s">
        <v>86</v>
      </c>
      <c r="G3599" s="5">
        <v>1.67179930210114</v>
      </c>
      <c r="H3599" s="5" t="s">
        <v>86</v>
      </c>
      <c r="I3599" t="s">
        <v>57</v>
      </c>
    </row>
    <row r="3600" spans="1:9">
      <c r="A3600" s="4" t="s">
        <v>7253</v>
      </c>
      <c r="B3600" s="4" t="s">
        <v>7254</v>
      </c>
      <c r="C3600" s="4" t="s">
        <v>41</v>
      </c>
      <c r="D3600" s="2">
        <f>293248288/(10^6)</f>
        <v>293.248288</v>
      </c>
      <c r="E3600" s="5" t="s">
        <v>86</v>
      </c>
      <c r="F3600" s="5">
        <v>31.8302402496338</v>
      </c>
      <c r="G3600" s="5">
        <v>5.38269472122192</v>
      </c>
      <c r="H3600" s="5" t="s">
        <v>86</v>
      </c>
      <c r="I3600" t="s">
        <v>57</v>
      </c>
    </row>
    <row r="3601" spans="1:9">
      <c r="A3601" s="4" t="s">
        <v>7255</v>
      </c>
      <c r="B3601" s="4" t="s">
        <v>7256</v>
      </c>
      <c r="C3601" s="4" t="s">
        <v>49</v>
      </c>
      <c r="D3601" s="2">
        <f>293100000/(10^6)</f>
        <v>293.1</v>
      </c>
      <c r="E3601" s="5" t="s">
        <v>86</v>
      </c>
      <c r="F3601" s="5" t="s">
        <v>86</v>
      </c>
      <c r="G3601" s="5" t="s">
        <v>86</v>
      </c>
      <c r="H3601" s="5" t="s">
        <v>86</v>
      </c>
      <c r="I3601" t="s">
        <v>57</v>
      </c>
    </row>
    <row r="3602" spans="1:9">
      <c r="A3602" s="4" t="s">
        <v>7257</v>
      </c>
      <c r="B3602" s="4" t="s">
        <v>7258</v>
      </c>
      <c r="C3602" s="4" t="s">
        <v>31</v>
      </c>
      <c r="D3602" s="2">
        <f>292725728/(10^6)</f>
        <v>292.725728</v>
      </c>
      <c r="E3602" s="5" t="s">
        <v>86</v>
      </c>
      <c r="F3602" s="5">
        <v>3.27091765403748</v>
      </c>
      <c r="G3602" s="5">
        <v>1.72501873970032</v>
      </c>
      <c r="H3602" s="5" t="s">
        <v>86</v>
      </c>
      <c r="I3602" t="s">
        <v>57</v>
      </c>
    </row>
    <row r="3603" spans="1:9">
      <c r="A3603" s="4" t="s">
        <v>7259</v>
      </c>
      <c r="B3603" s="4" t="s">
        <v>7260</v>
      </c>
      <c r="C3603" s="4" t="s">
        <v>41</v>
      </c>
      <c r="D3603" s="2">
        <f>292490880/(10^6)</f>
        <v>292.49088</v>
      </c>
      <c r="E3603" s="5">
        <v>14.7315196990967</v>
      </c>
      <c r="F3603" s="5">
        <v>0.86281543970108</v>
      </c>
      <c r="G3603" s="5">
        <v>0.485134065151215</v>
      </c>
      <c r="H3603" s="5">
        <v>7.23507928848267</v>
      </c>
      <c r="I3603" t="s">
        <v>57</v>
      </c>
    </row>
    <row r="3604" spans="1:9">
      <c r="A3604" s="4" t="s">
        <v>7261</v>
      </c>
      <c r="B3604" s="4" t="s">
        <v>7262</v>
      </c>
      <c r="C3604" s="4" t="s">
        <v>47</v>
      </c>
      <c r="D3604" s="2">
        <f>292484032/(10^6)</f>
        <v>292.484032</v>
      </c>
      <c r="E3604" s="5">
        <v>8.18638801574707</v>
      </c>
      <c r="F3604" s="5">
        <v>0.809836268424988</v>
      </c>
      <c r="G3604" s="5">
        <v>0.423692375421524</v>
      </c>
      <c r="H3604" s="5">
        <v>6.19643545150757</v>
      </c>
      <c r="I3604" t="s">
        <v>57</v>
      </c>
    </row>
    <row r="3605" spans="1:9">
      <c r="A3605" s="4" t="s">
        <v>7263</v>
      </c>
      <c r="B3605" s="4" t="s">
        <v>7264</v>
      </c>
      <c r="C3605" s="4" t="s">
        <v>41</v>
      </c>
      <c r="D3605" s="2">
        <f>291838240/(10^6)</f>
        <v>291.83824</v>
      </c>
      <c r="E3605" s="5">
        <v>20.0279121398926</v>
      </c>
      <c r="F3605" s="5">
        <v>2.90601205825806</v>
      </c>
      <c r="G3605" s="5">
        <v>6.26979923248291</v>
      </c>
      <c r="H3605" s="5">
        <v>10.1673145294189</v>
      </c>
      <c r="I3605" t="s">
        <v>57</v>
      </c>
    </row>
    <row r="3606" spans="1:9">
      <c r="A3606" s="4" t="s">
        <v>7265</v>
      </c>
      <c r="B3606" s="4" t="s">
        <v>7266</v>
      </c>
      <c r="C3606" s="4" t="s">
        <v>41</v>
      </c>
      <c r="D3606" s="2">
        <f>291824096/(10^6)</f>
        <v>291.824096</v>
      </c>
      <c r="E3606" s="5" t="s">
        <v>86</v>
      </c>
      <c r="F3606" s="5">
        <v>8.28815650939941</v>
      </c>
      <c r="G3606" s="5">
        <v>192.965255737305</v>
      </c>
      <c r="H3606" s="5" t="s">
        <v>86</v>
      </c>
      <c r="I3606" t="s">
        <v>57</v>
      </c>
    </row>
    <row r="3607" spans="1:9">
      <c r="A3607" s="4" t="s">
        <v>7267</v>
      </c>
      <c r="B3607" s="4" t="s">
        <v>7268</v>
      </c>
      <c r="C3607" s="4" t="s">
        <v>43</v>
      </c>
      <c r="D3607" s="2">
        <f>291285312/(10^6)</f>
        <v>291.285312</v>
      </c>
      <c r="E3607" s="5">
        <v>11.6080961227417</v>
      </c>
      <c r="F3607" s="5">
        <v>0.642859578132629</v>
      </c>
      <c r="G3607" s="5">
        <v>0.575359284877777</v>
      </c>
      <c r="H3607" s="5" t="s">
        <v>86</v>
      </c>
      <c r="I3607" t="s">
        <v>57</v>
      </c>
    </row>
    <row r="3608" spans="1:9">
      <c r="A3608" s="4" t="s">
        <v>7269</v>
      </c>
      <c r="B3608" s="4" t="s">
        <v>7270</v>
      </c>
      <c r="C3608" s="4" t="s">
        <v>43</v>
      </c>
      <c r="D3608" s="2">
        <f>291016000/(10^6)</f>
        <v>291.016</v>
      </c>
      <c r="E3608" s="5">
        <v>8.62682437896729</v>
      </c>
      <c r="F3608" s="5">
        <v>0.732751607894897</v>
      </c>
      <c r="G3608" s="5">
        <v>1.764235496521</v>
      </c>
      <c r="H3608" s="5" t="s">
        <v>86</v>
      </c>
      <c r="I3608" t="s">
        <v>57</v>
      </c>
    </row>
    <row r="3609" spans="1:9">
      <c r="A3609" s="4" t="s">
        <v>7271</v>
      </c>
      <c r="B3609" s="4" t="s">
        <v>7272</v>
      </c>
      <c r="C3609" s="4" t="s">
        <v>41</v>
      </c>
      <c r="D3609" s="2">
        <f>291002112/(10^6)</f>
        <v>291.002112</v>
      </c>
      <c r="E3609" s="5">
        <v>16.2285938262939</v>
      </c>
      <c r="F3609" s="5">
        <v>1.57852375507355</v>
      </c>
      <c r="G3609" s="5">
        <v>1.01683580875397</v>
      </c>
      <c r="H3609" s="5">
        <v>10.1874713897705</v>
      </c>
      <c r="I3609" t="s">
        <v>57</v>
      </c>
    </row>
    <row r="3610" spans="1:9">
      <c r="A3610" s="4" t="s">
        <v>7273</v>
      </c>
      <c r="B3610" s="4" t="s">
        <v>7274</v>
      </c>
      <c r="C3610" s="4" t="s">
        <v>47</v>
      </c>
      <c r="D3610" s="2">
        <f>290834368/(10^6)</f>
        <v>290.834368</v>
      </c>
      <c r="E3610" s="5">
        <v>10.4390249252319</v>
      </c>
      <c r="F3610" s="5">
        <v>3.7549295425415</v>
      </c>
      <c r="G3610" s="5">
        <v>0.978033483028412</v>
      </c>
      <c r="H3610" s="5">
        <v>7.47546291351318</v>
      </c>
      <c r="I3610" t="s">
        <v>57</v>
      </c>
    </row>
    <row r="3611" spans="1:9">
      <c r="A3611" s="4" t="s">
        <v>7275</v>
      </c>
      <c r="B3611" s="4" t="s">
        <v>7276</v>
      </c>
      <c r="C3611" s="4" t="s">
        <v>41</v>
      </c>
      <c r="D3611" s="2">
        <f>290506976/(10^6)</f>
        <v>290.506976</v>
      </c>
      <c r="E3611" s="5">
        <v>83.3788986206055</v>
      </c>
      <c r="F3611" s="5">
        <v>25.7348690032959</v>
      </c>
      <c r="G3611" s="5">
        <v>12.2662172317505</v>
      </c>
      <c r="H3611" s="5">
        <v>266.470062255859</v>
      </c>
      <c r="I3611" t="s">
        <v>57</v>
      </c>
    </row>
    <row r="3612" spans="1:9">
      <c r="A3612" s="4" t="s">
        <v>7277</v>
      </c>
      <c r="B3612" s="4" t="s">
        <v>7278</v>
      </c>
      <c r="C3612" s="4" t="s">
        <v>35</v>
      </c>
      <c r="D3612" s="2">
        <f>289650816/(10^6)</f>
        <v>289.650816</v>
      </c>
      <c r="E3612" s="5" t="s">
        <v>86</v>
      </c>
      <c r="F3612" s="5">
        <v>2.31047630310059</v>
      </c>
      <c r="G3612" s="5">
        <v>1.49644362926483</v>
      </c>
      <c r="H3612" s="5" t="s">
        <v>86</v>
      </c>
      <c r="I3612" t="s">
        <v>57</v>
      </c>
    </row>
    <row r="3613" spans="1:9">
      <c r="A3613" s="4" t="s">
        <v>7279</v>
      </c>
      <c r="B3613" s="4" t="s">
        <v>7280</v>
      </c>
      <c r="C3613" s="4" t="s">
        <v>41</v>
      </c>
      <c r="D3613" s="2">
        <f>289347584/(10^6)</f>
        <v>289.347584</v>
      </c>
      <c r="E3613" s="5" t="s">
        <v>86</v>
      </c>
      <c r="F3613" s="5">
        <v>5.65553951263428</v>
      </c>
      <c r="G3613" s="5">
        <v>4.99926376342773</v>
      </c>
      <c r="H3613" s="5" t="s">
        <v>86</v>
      </c>
      <c r="I3613" t="s">
        <v>57</v>
      </c>
    </row>
    <row r="3614" spans="1:9">
      <c r="A3614" s="4" t="s">
        <v>7281</v>
      </c>
      <c r="B3614" s="4" t="s">
        <v>7282</v>
      </c>
      <c r="C3614" s="4" t="s">
        <v>41</v>
      </c>
      <c r="D3614" s="2">
        <f>287831584/(10^6)</f>
        <v>287.831584</v>
      </c>
      <c r="E3614" s="5" t="s">
        <v>86</v>
      </c>
      <c r="F3614" s="5">
        <v>4.42232704162598</v>
      </c>
      <c r="G3614" s="5" t="s">
        <v>86</v>
      </c>
      <c r="H3614" s="5" t="s">
        <v>86</v>
      </c>
      <c r="I3614" t="s">
        <v>57</v>
      </c>
    </row>
    <row r="3615" spans="1:9">
      <c r="A3615" s="4" t="s">
        <v>7283</v>
      </c>
      <c r="B3615" s="4" t="s">
        <v>7284</v>
      </c>
      <c r="C3615" s="4" t="s">
        <v>51</v>
      </c>
      <c r="D3615" s="2">
        <f>287747232/(10^6)</f>
        <v>287.747232</v>
      </c>
      <c r="E3615" s="5" t="s">
        <v>86</v>
      </c>
      <c r="F3615" s="5">
        <v>7.4350733757019</v>
      </c>
      <c r="G3615" s="5">
        <v>1.01720440387726</v>
      </c>
      <c r="H3615" s="5">
        <v>83.4325637817383</v>
      </c>
      <c r="I3615" t="s">
        <v>57</v>
      </c>
    </row>
    <row r="3616" spans="1:9">
      <c r="A3616" s="4" t="s">
        <v>7285</v>
      </c>
      <c r="B3616" s="4" t="s">
        <v>7286</v>
      </c>
      <c r="C3616" s="4" t="s">
        <v>43</v>
      </c>
      <c r="D3616" s="2">
        <f>287251680/(10^6)</f>
        <v>287.25168</v>
      </c>
      <c r="E3616" s="5">
        <v>8.36551761627197</v>
      </c>
      <c r="F3616" s="5">
        <v>0.967103481292725</v>
      </c>
      <c r="G3616" s="5">
        <v>1.86421871185303</v>
      </c>
      <c r="H3616" s="5" t="s">
        <v>86</v>
      </c>
      <c r="I3616" t="s">
        <v>57</v>
      </c>
    </row>
    <row r="3617" spans="1:9">
      <c r="A3617" s="4" t="s">
        <v>7287</v>
      </c>
      <c r="B3617" s="4" t="s">
        <v>7288</v>
      </c>
      <c r="C3617" s="4" t="s">
        <v>41</v>
      </c>
      <c r="D3617" s="2">
        <f>286663200/(10^6)</f>
        <v>286.6632</v>
      </c>
      <c r="E3617" s="5" t="s">
        <v>86</v>
      </c>
      <c r="F3617" s="5">
        <v>3.65686655044556</v>
      </c>
      <c r="G3617" s="5">
        <v>4.58222246170044</v>
      </c>
      <c r="H3617" s="5" t="s">
        <v>86</v>
      </c>
      <c r="I3617" t="s">
        <v>57</v>
      </c>
    </row>
    <row r="3618" spans="1:9">
      <c r="A3618" s="4" t="s">
        <v>7289</v>
      </c>
      <c r="B3618" s="4" t="s">
        <v>7290</v>
      </c>
      <c r="C3618" s="4" t="s">
        <v>31</v>
      </c>
      <c r="D3618" s="2">
        <f>286117920/(10^6)</f>
        <v>286.11792</v>
      </c>
      <c r="E3618" s="5">
        <v>9.56917190551758</v>
      </c>
      <c r="F3618" s="5">
        <v>0.746152877807617</v>
      </c>
      <c r="G3618" s="5">
        <v>0.389824688434601</v>
      </c>
      <c r="H3618" s="5">
        <v>12.1343069076538</v>
      </c>
      <c r="I3618" t="s">
        <v>57</v>
      </c>
    </row>
    <row r="3619" spans="1:9">
      <c r="A3619" s="4" t="s">
        <v>7291</v>
      </c>
      <c r="B3619" s="4" t="s">
        <v>7292</v>
      </c>
      <c r="C3619" s="4" t="s">
        <v>31</v>
      </c>
      <c r="D3619" s="2">
        <f>286117920/(10^6)</f>
        <v>286.11792</v>
      </c>
      <c r="E3619" s="5">
        <v>9.56917190551758</v>
      </c>
      <c r="F3619" s="5">
        <v>0.746152877807617</v>
      </c>
      <c r="G3619" s="5">
        <v>0.389824688434601</v>
      </c>
      <c r="H3619" s="5">
        <v>12.1343069076538</v>
      </c>
      <c r="I3619" t="s">
        <v>57</v>
      </c>
    </row>
    <row r="3620" spans="1:9">
      <c r="A3620" s="4" t="s">
        <v>7293</v>
      </c>
      <c r="B3620" s="4" t="s">
        <v>7294</v>
      </c>
      <c r="C3620" s="4" t="s">
        <v>41</v>
      </c>
      <c r="D3620" s="2">
        <f>285943296/(10^6)</f>
        <v>285.943296</v>
      </c>
      <c r="E3620" s="5" t="s">
        <v>86</v>
      </c>
      <c r="F3620" s="5">
        <v>1.23549616336823</v>
      </c>
      <c r="G3620" s="5">
        <v>4.3880615234375</v>
      </c>
      <c r="H3620" s="5" t="s">
        <v>86</v>
      </c>
      <c r="I3620" t="s">
        <v>57</v>
      </c>
    </row>
    <row r="3621" spans="1:9">
      <c r="A3621" s="4" t="s">
        <v>7295</v>
      </c>
      <c r="B3621" s="4" t="s">
        <v>7296</v>
      </c>
      <c r="C3621" s="4" t="s">
        <v>41</v>
      </c>
      <c r="D3621" s="2">
        <f>285609824/(10^6)</f>
        <v>285.609824</v>
      </c>
      <c r="E3621" s="5" t="s">
        <v>86</v>
      </c>
      <c r="F3621" s="5">
        <v>3.02653908729553</v>
      </c>
      <c r="G3621" s="5">
        <v>43.2815322875977</v>
      </c>
      <c r="H3621" s="5" t="s">
        <v>86</v>
      </c>
      <c r="I3621" t="s">
        <v>57</v>
      </c>
    </row>
    <row r="3622" spans="1:9">
      <c r="A3622" s="4" t="s">
        <v>7297</v>
      </c>
      <c r="B3622" s="4" t="s">
        <v>7298</v>
      </c>
      <c r="C3622" s="4" t="s">
        <v>43</v>
      </c>
      <c r="D3622" s="2">
        <f>284993632/(10^6)</f>
        <v>284.993632</v>
      </c>
      <c r="E3622" s="5">
        <v>6.41293525695801</v>
      </c>
      <c r="F3622" s="5">
        <v>0.827567219734192</v>
      </c>
      <c r="G3622" s="5">
        <v>1.49896359443665</v>
      </c>
      <c r="H3622" s="5" t="s">
        <v>86</v>
      </c>
      <c r="I3622" t="s">
        <v>57</v>
      </c>
    </row>
    <row r="3623" spans="1:9">
      <c r="A3623" s="4" t="s">
        <v>7299</v>
      </c>
      <c r="B3623" s="4" t="s">
        <v>7300</v>
      </c>
      <c r="C3623" s="4" t="s">
        <v>51</v>
      </c>
      <c r="D3623" s="2">
        <f>284876928/(10^6)</f>
        <v>284.876928</v>
      </c>
      <c r="E3623" s="5">
        <v>19.544303894043</v>
      </c>
      <c r="F3623" s="5">
        <v>3.64354681968689</v>
      </c>
      <c r="G3623" s="5">
        <v>2.6705801486969</v>
      </c>
      <c r="H3623" s="5">
        <v>15.8863430023193</v>
      </c>
      <c r="I3623" t="s">
        <v>57</v>
      </c>
    </row>
    <row r="3624" spans="1:9">
      <c r="A3624" s="4" t="s">
        <v>7301</v>
      </c>
      <c r="B3624" s="4" t="s">
        <v>7302</v>
      </c>
      <c r="C3624" s="4" t="s">
        <v>35</v>
      </c>
      <c r="D3624" s="2">
        <f>283880960/(10^6)</f>
        <v>283.88096</v>
      </c>
      <c r="E3624" s="5">
        <v>959.06396484375</v>
      </c>
      <c r="F3624" s="5">
        <v>4.45420742034912</v>
      </c>
      <c r="G3624" s="5">
        <v>3.33646368980408</v>
      </c>
      <c r="H3624" s="5">
        <v>1233.90808105469</v>
      </c>
      <c r="I3624" t="s">
        <v>57</v>
      </c>
    </row>
    <row r="3625" spans="1:9">
      <c r="A3625" s="4" t="s">
        <v>7303</v>
      </c>
      <c r="B3625" s="4" t="s">
        <v>7304</v>
      </c>
      <c r="C3625" s="4" t="s">
        <v>43</v>
      </c>
      <c r="D3625" s="2">
        <f>283480032/(10^6)</f>
        <v>283.480032</v>
      </c>
      <c r="E3625" s="5">
        <v>5.05291032791138</v>
      </c>
      <c r="F3625" s="5">
        <v>0.560104489326477</v>
      </c>
      <c r="G3625" s="5">
        <v>0.844183921813965</v>
      </c>
      <c r="H3625" s="5" t="s">
        <v>86</v>
      </c>
      <c r="I3625" t="s">
        <v>57</v>
      </c>
    </row>
    <row r="3626" spans="1:9">
      <c r="A3626" s="4" t="s">
        <v>7305</v>
      </c>
      <c r="B3626" s="4" t="s">
        <v>7306</v>
      </c>
      <c r="C3626" s="4" t="s">
        <v>51</v>
      </c>
      <c r="D3626" s="2">
        <f>283232096/(10^6)</f>
        <v>283.232096</v>
      </c>
      <c r="E3626" s="5" t="s">
        <v>86</v>
      </c>
      <c r="F3626" s="5" t="s">
        <v>86</v>
      </c>
      <c r="G3626" s="5">
        <v>0.950075387954712</v>
      </c>
      <c r="H3626" s="5" t="s">
        <v>86</v>
      </c>
      <c r="I3626" t="s">
        <v>57</v>
      </c>
    </row>
    <row r="3627" spans="1:9">
      <c r="A3627" s="4" t="s">
        <v>7307</v>
      </c>
      <c r="B3627" s="4" t="s">
        <v>7308</v>
      </c>
      <c r="C3627" s="4" t="s">
        <v>41</v>
      </c>
      <c r="D3627" s="2">
        <f>283047232/(10^6)</f>
        <v>283.047232</v>
      </c>
      <c r="E3627" s="5">
        <v>11.4290914535522</v>
      </c>
      <c r="F3627" s="5">
        <v>0.539029777050018</v>
      </c>
      <c r="G3627" s="5" t="s">
        <v>86</v>
      </c>
      <c r="H3627" s="5" t="s">
        <v>86</v>
      </c>
      <c r="I3627" t="s">
        <v>57</v>
      </c>
    </row>
    <row r="3628" spans="1:9">
      <c r="A3628" s="4" t="s">
        <v>7309</v>
      </c>
      <c r="B3628" s="4" t="s">
        <v>7310</v>
      </c>
      <c r="C3628" s="4" t="s">
        <v>43</v>
      </c>
      <c r="D3628" s="2">
        <f>282962944/(10^6)</f>
        <v>282.962944</v>
      </c>
      <c r="E3628" s="5">
        <v>19.4572124481201</v>
      </c>
      <c r="F3628" s="5">
        <v>16.6853199005127</v>
      </c>
      <c r="G3628" s="5">
        <v>4.57341814041138</v>
      </c>
      <c r="H3628" s="5">
        <v>12.7429056167603</v>
      </c>
      <c r="I3628" t="s">
        <v>57</v>
      </c>
    </row>
    <row r="3629" spans="1:9">
      <c r="A3629" s="4" t="s">
        <v>7311</v>
      </c>
      <c r="B3629" s="4" t="s">
        <v>7312</v>
      </c>
      <c r="C3629" s="4" t="s">
        <v>43</v>
      </c>
      <c r="D3629" s="2">
        <f>282926400/(10^6)</f>
        <v>282.9264</v>
      </c>
      <c r="E3629" s="5" t="s">
        <v>86</v>
      </c>
      <c r="F3629" s="5">
        <v>1.08644700050354</v>
      </c>
      <c r="G3629" s="5">
        <v>1.1263610124588</v>
      </c>
      <c r="H3629" s="5" t="s">
        <v>86</v>
      </c>
      <c r="I3629" t="s">
        <v>57</v>
      </c>
    </row>
    <row r="3630" spans="1:9">
      <c r="A3630" s="4" t="s">
        <v>7313</v>
      </c>
      <c r="B3630" s="4" t="s">
        <v>7314</v>
      </c>
      <c r="C3630" s="4" t="s">
        <v>43</v>
      </c>
      <c r="D3630" s="2">
        <f>282194848/(10^6)</f>
        <v>282.194848</v>
      </c>
      <c r="E3630" s="5" t="s">
        <v>86</v>
      </c>
      <c r="F3630" s="5" t="s">
        <v>86</v>
      </c>
      <c r="G3630" s="5" t="s">
        <v>86</v>
      </c>
      <c r="H3630" s="5" t="s">
        <v>86</v>
      </c>
      <c r="I3630" t="s">
        <v>57</v>
      </c>
    </row>
    <row r="3631" spans="1:9">
      <c r="A3631" s="4" t="s">
        <v>7315</v>
      </c>
      <c r="B3631" s="4" t="s">
        <v>7316</v>
      </c>
      <c r="C3631" s="4" t="s">
        <v>51</v>
      </c>
      <c r="D3631" s="2">
        <f>282089024/(10^6)</f>
        <v>282.089024</v>
      </c>
      <c r="E3631" s="5" t="s">
        <v>86</v>
      </c>
      <c r="F3631" s="5">
        <v>1.41838383674622</v>
      </c>
      <c r="G3631" s="5">
        <v>0.24917796254158</v>
      </c>
      <c r="H3631" s="5">
        <v>6.4946813583374</v>
      </c>
      <c r="I3631" t="s">
        <v>57</v>
      </c>
    </row>
    <row r="3632" spans="1:9">
      <c r="A3632" s="4" t="s">
        <v>7317</v>
      </c>
      <c r="B3632" s="4" t="s">
        <v>7318</v>
      </c>
      <c r="C3632" s="4" t="s">
        <v>47</v>
      </c>
      <c r="D3632" s="2">
        <f>281586048/(10^6)</f>
        <v>281.586048</v>
      </c>
      <c r="E3632" s="5">
        <v>13.9608583450317</v>
      </c>
      <c r="F3632" s="5">
        <v>5.21180582046509</v>
      </c>
      <c r="G3632" s="5">
        <v>0.452276766300201</v>
      </c>
      <c r="H3632" s="5">
        <v>4.77961254119873</v>
      </c>
      <c r="I3632" t="s">
        <v>57</v>
      </c>
    </row>
    <row r="3633" spans="1:9">
      <c r="A3633" s="4" t="s">
        <v>7319</v>
      </c>
      <c r="B3633" s="4" t="s">
        <v>7320</v>
      </c>
      <c r="C3633" s="4" t="s">
        <v>43</v>
      </c>
      <c r="D3633" s="2">
        <f>281437376/(10^6)</f>
        <v>281.437376</v>
      </c>
      <c r="E3633" s="5" t="s">
        <v>86</v>
      </c>
      <c r="F3633" s="5">
        <v>0.845365464687347</v>
      </c>
      <c r="G3633" s="5" t="s">
        <v>86</v>
      </c>
      <c r="H3633" s="5" t="s">
        <v>86</v>
      </c>
      <c r="I3633" t="s">
        <v>57</v>
      </c>
    </row>
    <row r="3634" spans="1:9">
      <c r="A3634" s="4" t="s">
        <v>7321</v>
      </c>
      <c r="B3634" s="4" t="s">
        <v>7322</v>
      </c>
      <c r="C3634" s="4" t="s">
        <v>31</v>
      </c>
      <c r="D3634" s="2">
        <f>280966464/(10^6)</f>
        <v>280.966464</v>
      </c>
      <c r="E3634" s="5">
        <v>5.97119998931885</v>
      </c>
      <c r="F3634" s="5">
        <v>1.63227081298828</v>
      </c>
      <c r="G3634" s="5">
        <v>0.295173346996307</v>
      </c>
      <c r="H3634" s="5">
        <v>2.93109965324402</v>
      </c>
      <c r="I3634" t="s">
        <v>57</v>
      </c>
    </row>
    <row r="3635" spans="1:9">
      <c r="A3635" s="4" t="s">
        <v>7323</v>
      </c>
      <c r="B3635" s="4" t="s">
        <v>7324</v>
      </c>
      <c r="C3635" s="4" t="s">
        <v>35</v>
      </c>
      <c r="D3635" s="2">
        <f>280947104/(10^6)</f>
        <v>280.947104</v>
      </c>
      <c r="E3635" s="5" t="s">
        <v>86</v>
      </c>
      <c r="F3635" s="5">
        <v>11.7315464019775</v>
      </c>
      <c r="G3635" s="5">
        <v>3.46448636054993</v>
      </c>
      <c r="H3635" s="5">
        <v>118.516410827637</v>
      </c>
      <c r="I3635" t="s">
        <v>57</v>
      </c>
    </row>
    <row r="3636" spans="1:9">
      <c r="A3636" s="4" t="s">
        <v>7325</v>
      </c>
      <c r="B3636" s="4" t="s">
        <v>7326</v>
      </c>
      <c r="C3636" s="4" t="s">
        <v>43</v>
      </c>
      <c r="D3636" s="2">
        <f>280828800/(10^6)</f>
        <v>280.8288</v>
      </c>
      <c r="E3636" s="5" t="s">
        <v>86</v>
      </c>
      <c r="F3636" s="5">
        <v>1.29578995704651</v>
      </c>
      <c r="G3636" s="5" t="s">
        <v>86</v>
      </c>
      <c r="H3636" s="5" t="s">
        <v>86</v>
      </c>
      <c r="I3636" t="s">
        <v>57</v>
      </c>
    </row>
    <row r="3637" spans="1:9">
      <c r="A3637" s="4" t="s">
        <v>7327</v>
      </c>
      <c r="B3637" s="4" t="s">
        <v>7328</v>
      </c>
      <c r="C3637" s="4" t="s">
        <v>37</v>
      </c>
      <c r="D3637" s="2">
        <f>280693216/(10^6)</f>
        <v>280.693216</v>
      </c>
      <c r="E3637" s="5">
        <v>14.3003807067871</v>
      </c>
      <c r="F3637" s="5">
        <v>1.72881162166596</v>
      </c>
      <c r="G3637" s="5">
        <v>1.40751874446869</v>
      </c>
      <c r="H3637" s="5">
        <v>8.19645881652832</v>
      </c>
      <c r="I3637" t="s">
        <v>57</v>
      </c>
    </row>
    <row r="3638" spans="1:9">
      <c r="A3638" s="4" t="s">
        <v>7329</v>
      </c>
      <c r="B3638" s="4" t="s">
        <v>7330</v>
      </c>
      <c r="C3638" s="4" t="s">
        <v>27</v>
      </c>
      <c r="D3638" s="2">
        <f>280429152/(10^6)</f>
        <v>280.429152</v>
      </c>
      <c r="E3638" s="5">
        <v>4.91980981826782</v>
      </c>
      <c r="F3638" s="5">
        <v>0.163816213607788</v>
      </c>
      <c r="G3638" s="5">
        <v>0.366926699876785</v>
      </c>
      <c r="H3638" s="5">
        <v>2.74562978744507</v>
      </c>
      <c r="I3638" t="s">
        <v>57</v>
      </c>
    </row>
    <row r="3639" spans="1:9">
      <c r="A3639" s="4" t="s">
        <v>7331</v>
      </c>
      <c r="B3639" s="4" t="s">
        <v>7332</v>
      </c>
      <c r="C3639" s="4" t="s">
        <v>51</v>
      </c>
      <c r="D3639" s="2">
        <f>279807520/(10^6)</f>
        <v>279.80752</v>
      </c>
      <c r="E3639" s="5">
        <v>94.1883773803711</v>
      </c>
      <c r="F3639" s="5">
        <v>23.1648044586182</v>
      </c>
      <c r="G3639" s="5">
        <v>3.89749240875244</v>
      </c>
      <c r="H3639" s="5">
        <v>33.1326751708984</v>
      </c>
      <c r="I3639" t="s">
        <v>57</v>
      </c>
    </row>
    <row r="3640" spans="1:9">
      <c r="A3640" s="4" t="s">
        <v>7333</v>
      </c>
      <c r="B3640" s="4" t="s">
        <v>7334</v>
      </c>
      <c r="C3640" s="4" t="s">
        <v>47</v>
      </c>
      <c r="D3640" s="2">
        <f>278965376/(10^6)</f>
        <v>278.965376</v>
      </c>
      <c r="E3640" s="5">
        <v>11.9614706039429</v>
      </c>
      <c r="F3640" s="5">
        <v>1.1371945142746</v>
      </c>
      <c r="G3640" s="5">
        <v>0.659241020679474</v>
      </c>
      <c r="H3640" s="5">
        <v>7.13116693496704</v>
      </c>
      <c r="I3640" t="s">
        <v>57</v>
      </c>
    </row>
    <row r="3641" spans="1:9">
      <c r="A3641" s="4" t="s">
        <v>7335</v>
      </c>
      <c r="B3641" s="4" t="s">
        <v>7336</v>
      </c>
      <c r="C3641" s="4" t="s">
        <v>31</v>
      </c>
      <c r="D3641" s="2">
        <f>278769088/(10^6)</f>
        <v>278.769088</v>
      </c>
      <c r="E3641" s="5">
        <v>4.31795024871826</v>
      </c>
      <c r="F3641" s="5">
        <v>0.431570470333099</v>
      </c>
      <c r="G3641" s="5">
        <v>0.15246918797493</v>
      </c>
      <c r="H3641" s="5">
        <v>2.78095555305481</v>
      </c>
      <c r="I3641" t="s">
        <v>57</v>
      </c>
    </row>
    <row r="3642" spans="1:9">
      <c r="A3642" s="4" t="s">
        <v>7337</v>
      </c>
      <c r="B3642" s="4" t="s">
        <v>7338</v>
      </c>
      <c r="C3642" s="4" t="s">
        <v>41</v>
      </c>
      <c r="D3642" s="2">
        <f>278415488/(10^6)</f>
        <v>278.415488</v>
      </c>
      <c r="E3642" s="5" t="s">
        <v>86</v>
      </c>
      <c r="F3642" s="5">
        <v>3.09846997261047</v>
      </c>
      <c r="G3642" s="5" t="s">
        <v>86</v>
      </c>
      <c r="H3642" s="5" t="s">
        <v>86</v>
      </c>
      <c r="I3642" t="s">
        <v>57</v>
      </c>
    </row>
    <row r="3643" spans="1:9">
      <c r="A3643" s="4" t="s">
        <v>7339</v>
      </c>
      <c r="B3643" s="4" t="s">
        <v>7340</v>
      </c>
      <c r="C3643" s="4" t="s">
        <v>47</v>
      </c>
      <c r="D3643" s="2">
        <f>278192032/(10^6)</f>
        <v>278.192032</v>
      </c>
      <c r="E3643" s="5">
        <v>7.773756980896</v>
      </c>
      <c r="F3643" s="5">
        <v>0.44373831152916</v>
      </c>
      <c r="G3643" s="5">
        <v>0.053424287587404</v>
      </c>
      <c r="H3643" s="5">
        <v>24.675817489624</v>
      </c>
      <c r="I3643" t="s">
        <v>57</v>
      </c>
    </row>
    <row r="3644" spans="1:9">
      <c r="A3644" s="4" t="s">
        <v>7341</v>
      </c>
      <c r="B3644" s="4" t="s">
        <v>7342</v>
      </c>
      <c r="C3644" s="4" t="s">
        <v>37</v>
      </c>
      <c r="D3644" s="2">
        <f>278012288/(10^6)</f>
        <v>278.012288</v>
      </c>
      <c r="E3644" s="5">
        <v>6.28251218795776</v>
      </c>
      <c r="F3644" s="5">
        <v>0.569074749946594</v>
      </c>
      <c r="G3644" s="5">
        <v>0.155658721923828</v>
      </c>
      <c r="H3644" s="5">
        <v>119.322898864746</v>
      </c>
      <c r="I3644" t="s">
        <v>57</v>
      </c>
    </row>
    <row r="3645" spans="1:9">
      <c r="A3645" s="4" t="s">
        <v>7343</v>
      </c>
      <c r="B3645" s="4" t="s">
        <v>7344</v>
      </c>
      <c r="C3645" s="4" t="s">
        <v>51</v>
      </c>
      <c r="D3645" s="2">
        <f>277460384/(10^6)</f>
        <v>277.460384</v>
      </c>
      <c r="E3645" s="5" t="s">
        <v>86</v>
      </c>
      <c r="F3645" s="5" t="s">
        <v>86</v>
      </c>
      <c r="G3645" s="5">
        <v>0.965196132659912</v>
      </c>
      <c r="H3645" s="5">
        <v>11.008487701416</v>
      </c>
      <c r="I3645" t="s">
        <v>57</v>
      </c>
    </row>
    <row r="3646" spans="1:9">
      <c r="A3646" s="4" t="s">
        <v>7345</v>
      </c>
      <c r="B3646" s="4" t="s">
        <v>7346</v>
      </c>
      <c r="C3646" s="4" t="s">
        <v>47</v>
      </c>
      <c r="D3646" s="2">
        <f>277216256/(10^6)</f>
        <v>277.216256</v>
      </c>
      <c r="E3646" s="5">
        <v>12.6021642684937</v>
      </c>
      <c r="F3646" s="5">
        <v>1.22228121757507</v>
      </c>
      <c r="G3646" s="5">
        <v>1.01157462596893</v>
      </c>
      <c r="H3646" s="5">
        <v>10.7115316390991</v>
      </c>
      <c r="I3646" t="s">
        <v>57</v>
      </c>
    </row>
    <row r="3647" spans="1:9">
      <c r="A3647" s="4" t="s">
        <v>7347</v>
      </c>
      <c r="B3647" s="4" t="s">
        <v>7348</v>
      </c>
      <c r="C3647" s="4" t="s">
        <v>31</v>
      </c>
      <c r="D3647" s="2">
        <f>277191456/(10^6)</f>
        <v>277.191456</v>
      </c>
      <c r="E3647" s="5">
        <v>8.62004947662354</v>
      </c>
      <c r="F3647" s="5">
        <v>0.941069722175598</v>
      </c>
      <c r="G3647" s="5">
        <v>0.380308151245117</v>
      </c>
      <c r="H3647" s="5">
        <v>6.46593999862671</v>
      </c>
      <c r="I3647" t="s">
        <v>57</v>
      </c>
    </row>
    <row r="3648" spans="1:9">
      <c r="A3648" s="4" t="s">
        <v>7349</v>
      </c>
      <c r="B3648" s="4" t="s">
        <v>7350</v>
      </c>
      <c r="C3648" s="4" t="s">
        <v>41</v>
      </c>
      <c r="D3648" s="2">
        <f>277105888/(10^6)</f>
        <v>277.105888</v>
      </c>
      <c r="E3648" s="5" t="s">
        <v>86</v>
      </c>
      <c r="F3648" s="5">
        <v>2.19934034347534</v>
      </c>
      <c r="G3648" s="5">
        <v>204.255508422852</v>
      </c>
      <c r="H3648" s="5" t="s">
        <v>86</v>
      </c>
      <c r="I3648" t="s">
        <v>57</v>
      </c>
    </row>
    <row r="3649" spans="1:9">
      <c r="A3649" s="4" t="s">
        <v>7351</v>
      </c>
      <c r="B3649" s="4" t="s">
        <v>7352</v>
      </c>
      <c r="C3649" s="4" t="s">
        <v>43</v>
      </c>
      <c r="D3649" s="2">
        <f>276483840/(10^6)</f>
        <v>276.48384</v>
      </c>
      <c r="E3649" s="5">
        <v>14.7282886505127</v>
      </c>
      <c r="F3649" s="5">
        <v>0.311739802360535</v>
      </c>
      <c r="G3649" s="5">
        <v>0.492959946393967</v>
      </c>
      <c r="H3649" s="5" t="s">
        <v>86</v>
      </c>
      <c r="I3649" t="s">
        <v>57</v>
      </c>
    </row>
    <row r="3650" spans="1:9">
      <c r="A3650" s="4" t="s">
        <v>7353</v>
      </c>
      <c r="B3650" s="4" t="s">
        <v>7354</v>
      </c>
      <c r="C3650" s="4" t="s">
        <v>43</v>
      </c>
      <c r="D3650" s="2">
        <f>276110592/(10^6)</f>
        <v>276.110592</v>
      </c>
      <c r="E3650" s="5">
        <v>63.6986312866211</v>
      </c>
      <c r="F3650" s="5">
        <v>8.6282320022583</v>
      </c>
      <c r="G3650" s="5">
        <v>11.3022003173828</v>
      </c>
      <c r="H3650" s="5" t="s">
        <v>86</v>
      </c>
      <c r="I3650" t="s">
        <v>57</v>
      </c>
    </row>
    <row r="3651" spans="1:9">
      <c r="A3651" s="4" t="s">
        <v>7355</v>
      </c>
      <c r="B3651" s="4" t="s">
        <v>7356</v>
      </c>
      <c r="C3651" s="4" t="s">
        <v>43</v>
      </c>
      <c r="D3651" s="2">
        <f>276052608/(10^6)</f>
        <v>276.052608</v>
      </c>
      <c r="E3651" s="5">
        <v>6.88283967971802</v>
      </c>
      <c r="F3651" s="5">
        <v>0.67962372303009</v>
      </c>
      <c r="G3651" s="5">
        <v>1.73241126537323</v>
      </c>
      <c r="H3651" s="5" t="s">
        <v>86</v>
      </c>
      <c r="I3651" t="s">
        <v>57</v>
      </c>
    </row>
    <row r="3652" spans="1:9">
      <c r="A3652" s="4" t="s">
        <v>7357</v>
      </c>
      <c r="B3652" s="4" t="s">
        <v>7358</v>
      </c>
      <c r="C3652" s="4" t="s">
        <v>43</v>
      </c>
      <c r="D3652" s="2">
        <f>276050016/(10^6)</f>
        <v>276.050016</v>
      </c>
      <c r="E3652" s="5">
        <v>5.83593416213989</v>
      </c>
      <c r="F3652" s="5">
        <v>0.654738068580627</v>
      </c>
      <c r="G3652" s="5">
        <v>1.31717729568481</v>
      </c>
      <c r="H3652" s="5" t="s">
        <v>86</v>
      </c>
      <c r="I3652" t="s">
        <v>57</v>
      </c>
    </row>
    <row r="3653" spans="1:9">
      <c r="A3653" s="4" t="s">
        <v>7359</v>
      </c>
      <c r="B3653" s="4" t="s">
        <v>7360</v>
      </c>
      <c r="C3653" s="4" t="s">
        <v>43</v>
      </c>
      <c r="D3653" s="2">
        <f>275672032/(10^6)</f>
        <v>275.672032</v>
      </c>
      <c r="E3653" s="5">
        <v>13.7415218353271</v>
      </c>
      <c r="F3653" s="5">
        <v>0.399404495954514</v>
      </c>
      <c r="G3653" s="5">
        <v>0.238830775022507</v>
      </c>
      <c r="H3653" s="5">
        <v>9.79528617858887</v>
      </c>
      <c r="I3653" t="s">
        <v>57</v>
      </c>
    </row>
    <row r="3654" spans="1:9">
      <c r="A3654" s="4" t="s">
        <v>7361</v>
      </c>
      <c r="B3654" s="4" t="s">
        <v>7362</v>
      </c>
      <c r="C3654" s="4" t="s">
        <v>43</v>
      </c>
      <c r="D3654" s="2">
        <f>275302016/(10^6)</f>
        <v>275.302016</v>
      </c>
      <c r="E3654" s="5">
        <v>24.4223518371582</v>
      </c>
      <c r="F3654" s="5">
        <v>0.666047275066376</v>
      </c>
      <c r="G3654" s="5">
        <v>4.13977432250977</v>
      </c>
      <c r="H3654" s="5" t="s">
        <v>86</v>
      </c>
      <c r="I3654" t="s">
        <v>57</v>
      </c>
    </row>
    <row r="3655" spans="1:9">
      <c r="A3655" s="4" t="s">
        <v>7363</v>
      </c>
      <c r="B3655" s="4" t="s">
        <v>7364</v>
      </c>
      <c r="C3655" s="4" t="s">
        <v>49</v>
      </c>
      <c r="D3655" s="2">
        <f>275240000/(10^6)</f>
        <v>275.24</v>
      </c>
      <c r="E3655" s="5">
        <v>47.1562347412109</v>
      </c>
      <c r="F3655" s="5">
        <v>0.287293016910553</v>
      </c>
      <c r="G3655" s="5" t="s">
        <v>86</v>
      </c>
      <c r="H3655" s="5" t="s">
        <v>86</v>
      </c>
      <c r="I3655" t="s">
        <v>57</v>
      </c>
    </row>
    <row r="3656" spans="1:9">
      <c r="A3656" s="4" t="s">
        <v>7365</v>
      </c>
      <c r="B3656" s="4" t="s">
        <v>7366</v>
      </c>
      <c r="C3656" s="4" t="s">
        <v>43</v>
      </c>
      <c r="D3656" s="2">
        <f>274639424/(10^6)</f>
        <v>274.639424</v>
      </c>
      <c r="E3656" s="5">
        <v>18.1859245300293</v>
      </c>
      <c r="F3656" s="5">
        <v>5.05514717102051</v>
      </c>
      <c r="G3656" s="5">
        <v>6.93505382537842</v>
      </c>
      <c r="H3656" s="5">
        <v>25.086950302124</v>
      </c>
      <c r="I3656" t="s">
        <v>57</v>
      </c>
    </row>
    <row r="3657" spans="1:9">
      <c r="A3657" s="4" t="s">
        <v>7367</v>
      </c>
      <c r="B3657" s="4" t="s">
        <v>7368</v>
      </c>
      <c r="C3657" s="4" t="s">
        <v>43</v>
      </c>
      <c r="D3657" s="2">
        <f>274447520/(10^6)</f>
        <v>274.44752</v>
      </c>
      <c r="E3657" s="5">
        <v>3.30994558334351</v>
      </c>
      <c r="F3657" s="5">
        <v>5.15912771224976</v>
      </c>
      <c r="G3657" s="5">
        <v>0.897039175033569</v>
      </c>
      <c r="H3657" s="5">
        <v>1.86922442913055</v>
      </c>
      <c r="I3657" t="s">
        <v>57</v>
      </c>
    </row>
    <row r="3658" spans="1:9">
      <c r="A3658" s="4" t="s">
        <v>7369</v>
      </c>
      <c r="B3658" s="4" t="s">
        <v>7370</v>
      </c>
      <c r="C3658" s="4" t="s">
        <v>27</v>
      </c>
      <c r="D3658" s="2">
        <f>273938080/(10^6)</f>
        <v>273.93808</v>
      </c>
      <c r="E3658" s="5">
        <v>1.98576498031616</v>
      </c>
      <c r="F3658" s="5">
        <v>0.149488836526871</v>
      </c>
      <c r="G3658" s="5">
        <v>0.26425763964653</v>
      </c>
      <c r="H3658" s="5">
        <v>3.12252235412598</v>
      </c>
      <c r="I3658" t="s">
        <v>57</v>
      </c>
    </row>
    <row r="3659" spans="1:9">
      <c r="A3659" s="4" t="s">
        <v>7371</v>
      </c>
      <c r="B3659" s="4" t="s">
        <v>7372</v>
      </c>
      <c r="C3659" s="4" t="s">
        <v>43</v>
      </c>
      <c r="D3659" s="2">
        <f>273881248/(10^6)</f>
        <v>273.881248</v>
      </c>
      <c r="E3659" s="5">
        <v>9.26285266876221</v>
      </c>
      <c r="F3659" s="5">
        <v>1.42221081256866</v>
      </c>
      <c r="G3659" s="5">
        <v>2.09238147735596</v>
      </c>
      <c r="H3659" s="5">
        <v>2.45703935623169</v>
      </c>
      <c r="I3659" t="s">
        <v>57</v>
      </c>
    </row>
    <row r="3660" spans="1:9">
      <c r="A3660" s="4" t="s">
        <v>7373</v>
      </c>
      <c r="B3660" s="4" t="s">
        <v>7374</v>
      </c>
      <c r="C3660" s="4" t="s">
        <v>41</v>
      </c>
      <c r="D3660" s="2">
        <f>273775584/(10^6)</f>
        <v>273.775584</v>
      </c>
      <c r="E3660" s="5" t="s">
        <v>86</v>
      </c>
      <c r="F3660" s="5">
        <v>2.18848443031311</v>
      </c>
      <c r="G3660" s="5" t="s">
        <v>86</v>
      </c>
      <c r="H3660" s="5" t="s">
        <v>86</v>
      </c>
      <c r="I3660" t="s">
        <v>57</v>
      </c>
    </row>
    <row r="3661" spans="1:9">
      <c r="A3661" s="4" t="s">
        <v>7375</v>
      </c>
      <c r="B3661" s="4" t="s">
        <v>7376</v>
      </c>
      <c r="C3661" s="4" t="s">
        <v>51</v>
      </c>
      <c r="D3661" s="2">
        <f>273650816/(10^6)</f>
        <v>273.650816</v>
      </c>
      <c r="E3661" s="5">
        <v>8.61165237426758</v>
      </c>
      <c r="F3661" s="5">
        <v>0.726088345050812</v>
      </c>
      <c r="G3661" s="5">
        <v>0.220386162400246</v>
      </c>
      <c r="H3661" s="5">
        <v>4.57090091705322</v>
      </c>
      <c r="I3661" t="s">
        <v>57</v>
      </c>
    </row>
    <row r="3662" spans="1:9">
      <c r="A3662" s="4" t="s">
        <v>7377</v>
      </c>
      <c r="B3662" s="4" t="s">
        <v>7378</v>
      </c>
      <c r="C3662" s="4" t="s">
        <v>49</v>
      </c>
      <c r="D3662" s="2">
        <f>273623744/(10^6)</f>
        <v>273.623744</v>
      </c>
      <c r="E3662" s="5" t="s">
        <v>86</v>
      </c>
      <c r="F3662" s="5" t="s">
        <v>86</v>
      </c>
      <c r="G3662" s="5" t="s">
        <v>86</v>
      </c>
      <c r="H3662" s="5" t="s">
        <v>86</v>
      </c>
      <c r="I3662" t="s">
        <v>57</v>
      </c>
    </row>
    <row r="3663" spans="1:9">
      <c r="A3663" s="4" t="s">
        <v>7379</v>
      </c>
      <c r="B3663" s="4" t="s">
        <v>7380</v>
      </c>
      <c r="C3663" s="4" t="s">
        <v>27</v>
      </c>
      <c r="D3663" s="2">
        <f>272875808/(10^6)</f>
        <v>272.875808</v>
      </c>
      <c r="E3663" s="5" t="s">
        <v>86</v>
      </c>
      <c r="F3663" s="5">
        <v>0.104173615574837</v>
      </c>
      <c r="G3663" s="5">
        <v>0.063031911849976</v>
      </c>
      <c r="H3663" s="5">
        <v>1.38473188877106</v>
      </c>
      <c r="I3663" t="s">
        <v>57</v>
      </c>
    </row>
    <row r="3664" spans="1:9">
      <c r="A3664" s="4" t="s">
        <v>7381</v>
      </c>
      <c r="B3664" s="4" t="s">
        <v>7382</v>
      </c>
      <c r="C3664" s="4" t="s">
        <v>27</v>
      </c>
      <c r="D3664" s="2">
        <f>271875744/(10^6)</f>
        <v>271.875744</v>
      </c>
      <c r="E3664" s="5" t="s">
        <v>86</v>
      </c>
      <c r="F3664" s="5">
        <v>0.288557231426239</v>
      </c>
      <c r="G3664" s="5">
        <v>0.894400656223297</v>
      </c>
      <c r="H3664" s="5">
        <v>9.9408073425293</v>
      </c>
      <c r="I3664" t="s">
        <v>57</v>
      </c>
    </row>
    <row r="3665" spans="1:9">
      <c r="A3665" s="4" t="s">
        <v>7383</v>
      </c>
      <c r="B3665" s="4" t="s">
        <v>7384</v>
      </c>
      <c r="C3665" s="4" t="s">
        <v>51</v>
      </c>
      <c r="D3665" s="2">
        <f>271141120/(10^6)</f>
        <v>271.14112</v>
      </c>
      <c r="E3665" s="5" t="s">
        <v>86</v>
      </c>
      <c r="F3665" s="5">
        <v>3.66603875160217</v>
      </c>
      <c r="G3665" s="5">
        <v>1.43566167354584</v>
      </c>
      <c r="H3665" s="5" t="s">
        <v>86</v>
      </c>
      <c r="I3665" t="s">
        <v>57</v>
      </c>
    </row>
    <row r="3666" spans="1:9">
      <c r="A3666" s="4" t="s">
        <v>7385</v>
      </c>
      <c r="B3666" s="4" t="s">
        <v>7386</v>
      </c>
      <c r="C3666" s="4" t="s">
        <v>47</v>
      </c>
      <c r="D3666" s="2">
        <f>271110144/(10^6)</f>
        <v>271.110144</v>
      </c>
      <c r="E3666" s="5">
        <v>32.978328704834</v>
      </c>
      <c r="F3666" s="5">
        <v>1.49627792835236</v>
      </c>
      <c r="G3666" s="5">
        <v>1.18383455276489</v>
      </c>
      <c r="H3666" s="5">
        <v>14.2579803466797</v>
      </c>
      <c r="I3666" t="s">
        <v>57</v>
      </c>
    </row>
    <row r="3667" spans="1:9">
      <c r="A3667" s="4" t="s">
        <v>7387</v>
      </c>
      <c r="B3667" s="4" t="s">
        <v>7388</v>
      </c>
      <c r="C3667" s="4" t="s">
        <v>43</v>
      </c>
      <c r="D3667" s="2">
        <f>270611040/(10^6)</f>
        <v>270.61104</v>
      </c>
      <c r="E3667" s="5">
        <v>8.07837581634521</v>
      </c>
      <c r="F3667" s="5">
        <v>0.942359209060669</v>
      </c>
      <c r="G3667" s="5">
        <v>1.74862086772919</v>
      </c>
      <c r="H3667" s="5" t="s">
        <v>86</v>
      </c>
      <c r="I3667" t="s">
        <v>57</v>
      </c>
    </row>
    <row r="3668" spans="1:9">
      <c r="A3668" s="4" t="s">
        <v>7389</v>
      </c>
      <c r="B3668" s="4" t="s">
        <v>7390</v>
      </c>
      <c r="C3668" s="4" t="s">
        <v>47</v>
      </c>
      <c r="D3668" s="2">
        <f>270226272/(10^6)</f>
        <v>270.226272</v>
      </c>
      <c r="E3668" s="5">
        <v>20.5547428131104</v>
      </c>
      <c r="F3668" s="5">
        <v>9.56720161437988</v>
      </c>
      <c r="G3668" s="5">
        <v>2.22715020179748</v>
      </c>
      <c r="H3668" s="5">
        <v>16.6104640960693</v>
      </c>
      <c r="I3668" t="s">
        <v>57</v>
      </c>
    </row>
    <row r="3669" spans="1:9">
      <c r="A3669" s="4" t="s">
        <v>7391</v>
      </c>
      <c r="B3669" s="4" t="s">
        <v>7392</v>
      </c>
      <c r="C3669" s="4" t="s">
        <v>43</v>
      </c>
      <c r="D3669" s="2">
        <f>269897984/(10^6)</f>
        <v>269.897984</v>
      </c>
      <c r="E3669" s="5">
        <v>4.71977996826172</v>
      </c>
      <c r="F3669" s="5">
        <v>0.182024613022804</v>
      </c>
      <c r="G3669" s="5">
        <v>2.92307281494141</v>
      </c>
      <c r="H3669" s="5" t="s">
        <v>86</v>
      </c>
      <c r="I3669" t="s">
        <v>57</v>
      </c>
    </row>
    <row r="3670" spans="1:9">
      <c r="A3670" s="4" t="s">
        <v>7393</v>
      </c>
      <c r="B3670" s="4" t="s">
        <v>7394</v>
      </c>
      <c r="C3670" s="4" t="s">
        <v>43</v>
      </c>
      <c r="D3670" s="2">
        <f>269892672/(10^6)</f>
        <v>269.892672</v>
      </c>
      <c r="E3670" s="5">
        <v>10.5124883651733</v>
      </c>
      <c r="F3670" s="5">
        <v>0.565686404705048</v>
      </c>
      <c r="G3670" s="5">
        <v>1.37014758586884</v>
      </c>
      <c r="H3670" s="5" t="s">
        <v>86</v>
      </c>
      <c r="I3670" t="s">
        <v>57</v>
      </c>
    </row>
    <row r="3671" spans="1:9">
      <c r="A3671" s="4" t="s">
        <v>7395</v>
      </c>
      <c r="B3671" s="4" t="s">
        <v>7396</v>
      </c>
      <c r="C3671" s="4" t="s">
        <v>41</v>
      </c>
      <c r="D3671" s="2">
        <f>269785984/(10^6)</f>
        <v>269.785984</v>
      </c>
      <c r="E3671" s="5" t="s">
        <v>86</v>
      </c>
      <c r="F3671" s="5">
        <v>1.90751135349274</v>
      </c>
      <c r="G3671" s="5" t="s">
        <v>86</v>
      </c>
      <c r="H3671" s="5" t="s">
        <v>86</v>
      </c>
      <c r="I3671" t="s">
        <v>57</v>
      </c>
    </row>
    <row r="3672" spans="1:9">
      <c r="A3672" s="4" t="s">
        <v>7397</v>
      </c>
      <c r="B3672" s="4" t="s">
        <v>7398</v>
      </c>
      <c r="C3672" s="4" t="s">
        <v>43</v>
      </c>
      <c r="D3672" s="2">
        <f>269257824/(10^6)</f>
        <v>269.257824</v>
      </c>
      <c r="E3672" s="5">
        <v>5.1859884262085</v>
      </c>
      <c r="F3672" s="5">
        <v>0.487057775259018</v>
      </c>
      <c r="G3672" s="5">
        <v>2.61343622207642</v>
      </c>
      <c r="H3672" s="5" t="s">
        <v>86</v>
      </c>
      <c r="I3672" t="s">
        <v>57</v>
      </c>
    </row>
    <row r="3673" spans="1:9">
      <c r="A3673" s="4" t="s">
        <v>7399</v>
      </c>
      <c r="B3673" s="4" t="s">
        <v>7400</v>
      </c>
      <c r="C3673" s="4" t="s">
        <v>43</v>
      </c>
      <c r="D3673" s="2">
        <f>268415520/(10^6)</f>
        <v>268.41552</v>
      </c>
      <c r="E3673" s="5">
        <v>9.49049091339111</v>
      </c>
      <c r="F3673" s="5">
        <v>0.648125469684601</v>
      </c>
      <c r="G3673" s="5">
        <v>1.53295159339905</v>
      </c>
      <c r="H3673" s="5" t="s">
        <v>86</v>
      </c>
      <c r="I3673" t="s">
        <v>57</v>
      </c>
    </row>
    <row r="3674" spans="1:9">
      <c r="A3674" s="4" t="s">
        <v>7401</v>
      </c>
      <c r="B3674" s="4" t="s">
        <v>7402</v>
      </c>
      <c r="C3674" s="4" t="s">
        <v>43</v>
      </c>
      <c r="D3674" s="2">
        <f>268063808/(10^6)</f>
        <v>268.063808</v>
      </c>
      <c r="E3674" s="5">
        <v>6.61977195739746</v>
      </c>
      <c r="F3674" s="5">
        <v>0.870481967926025</v>
      </c>
      <c r="G3674" s="5">
        <v>1.45302414894104</v>
      </c>
      <c r="H3674" s="5" t="s">
        <v>86</v>
      </c>
      <c r="I3674" t="s">
        <v>57</v>
      </c>
    </row>
    <row r="3675" spans="1:9">
      <c r="A3675" s="4" t="s">
        <v>7403</v>
      </c>
      <c r="B3675" s="4" t="s">
        <v>7404</v>
      </c>
      <c r="C3675" s="4" t="s">
        <v>43</v>
      </c>
      <c r="D3675" s="2">
        <f>267570944/(10^6)</f>
        <v>267.570944</v>
      </c>
      <c r="E3675" s="5">
        <v>14.4759044647217</v>
      </c>
      <c r="F3675" s="5">
        <v>1.16226387023926</v>
      </c>
      <c r="G3675" s="5">
        <v>3.303626537323</v>
      </c>
      <c r="H3675" s="5" t="s">
        <v>86</v>
      </c>
      <c r="I3675" t="s">
        <v>57</v>
      </c>
    </row>
    <row r="3676" spans="1:9">
      <c r="A3676" s="4" t="s">
        <v>7405</v>
      </c>
      <c r="B3676" s="4" t="s">
        <v>7406</v>
      </c>
      <c r="C3676" s="4" t="s">
        <v>31</v>
      </c>
      <c r="D3676" s="2">
        <f>266746384/(10^6)</f>
        <v>266.746384</v>
      </c>
      <c r="E3676" s="5" t="s">
        <v>86</v>
      </c>
      <c r="F3676" s="5" t="s">
        <v>86</v>
      </c>
      <c r="G3676" s="5" t="s">
        <v>86</v>
      </c>
      <c r="H3676" s="5" t="s">
        <v>86</v>
      </c>
      <c r="I3676" t="s">
        <v>57</v>
      </c>
    </row>
    <row r="3677" spans="1:9">
      <c r="A3677" s="4" t="s">
        <v>7407</v>
      </c>
      <c r="B3677" s="4" t="s">
        <v>7408</v>
      </c>
      <c r="C3677" s="4" t="s">
        <v>43</v>
      </c>
      <c r="D3677" s="2">
        <f>266417280/(10^6)</f>
        <v>266.41728</v>
      </c>
      <c r="E3677" s="5">
        <v>10.3560075759888</v>
      </c>
      <c r="F3677" s="5">
        <v>0.890788614749908</v>
      </c>
      <c r="G3677" s="5">
        <v>2.4571533203125</v>
      </c>
      <c r="H3677" s="5" t="s">
        <v>86</v>
      </c>
      <c r="I3677" t="s">
        <v>57</v>
      </c>
    </row>
    <row r="3678" spans="1:9">
      <c r="A3678" s="4" t="s">
        <v>7409</v>
      </c>
      <c r="B3678" s="4" t="s">
        <v>7410</v>
      </c>
      <c r="C3678" s="4" t="s">
        <v>31</v>
      </c>
      <c r="D3678" s="2">
        <f>265605392/(10^6)</f>
        <v>265.605392</v>
      </c>
      <c r="E3678" s="5" t="s">
        <v>86</v>
      </c>
      <c r="F3678" s="5">
        <v>1.07892262935638</v>
      </c>
      <c r="G3678" s="5">
        <v>0.591068804264069</v>
      </c>
      <c r="H3678" s="5">
        <v>12.7493886947632</v>
      </c>
      <c r="I3678" t="s">
        <v>57</v>
      </c>
    </row>
    <row r="3679" spans="1:9">
      <c r="A3679" s="4" t="s">
        <v>7411</v>
      </c>
      <c r="B3679" s="4" t="s">
        <v>7412</v>
      </c>
      <c r="C3679" s="4" t="s">
        <v>41</v>
      </c>
      <c r="D3679" s="2">
        <f>265080112/(10^6)</f>
        <v>265.080112</v>
      </c>
      <c r="E3679" s="5" t="s">
        <v>86</v>
      </c>
      <c r="F3679" s="5">
        <v>6.95248079299927</v>
      </c>
      <c r="G3679" s="5">
        <v>5.83118057250977</v>
      </c>
      <c r="H3679" s="5" t="s">
        <v>86</v>
      </c>
      <c r="I3679" t="s">
        <v>57</v>
      </c>
    </row>
    <row r="3680" spans="1:9">
      <c r="A3680" s="4" t="s">
        <v>7413</v>
      </c>
      <c r="B3680" s="4" t="s">
        <v>7414</v>
      </c>
      <c r="C3680" s="4" t="s">
        <v>31</v>
      </c>
      <c r="D3680" s="2">
        <f>265052640/(10^6)</f>
        <v>265.05264</v>
      </c>
      <c r="E3680" s="5">
        <v>33.9981498718262</v>
      </c>
      <c r="F3680" s="5">
        <v>0.525693237781525</v>
      </c>
      <c r="G3680" s="5">
        <v>0.108734175562859</v>
      </c>
      <c r="H3680" s="5">
        <v>9.91779708862305</v>
      </c>
      <c r="I3680" t="s">
        <v>57</v>
      </c>
    </row>
    <row r="3681" spans="1:9">
      <c r="A3681" s="4" t="s">
        <v>7415</v>
      </c>
      <c r="B3681" s="4" t="s">
        <v>7416</v>
      </c>
      <c r="C3681" s="4" t="s">
        <v>41</v>
      </c>
      <c r="D3681" s="2">
        <f>264875920/(10^6)</f>
        <v>264.87592</v>
      </c>
      <c r="E3681" s="5" t="s">
        <v>86</v>
      </c>
      <c r="F3681" s="5" t="s">
        <v>86</v>
      </c>
      <c r="G3681" s="5" t="s">
        <v>86</v>
      </c>
      <c r="H3681" s="5" t="s">
        <v>86</v>
      </c>
      <c r="I3681" t="s">
        <v>57</v>
      </c>
    </row>
    <row r="3682" spans="1:9">
      <c r="A3682" s="4" t="s">
        <v>7417</v>
      </c>
      <c r="B3682" s="4" t="s">
        <v>7418</v>
      </c>
      <c r="C3682" s="4" t="s">
        <v>41</v>
      </c>
      <c r="D3682" s="2">
        <f>264654160/(10^6)</f>
        <v>264.65416</v>
      </c>
      <c r="E3682" s="5" t="s">
        <v>86</v>
      </c>
      <c r="F3682" s="5">
        <v>4.90087461471558</v>
      </c>
      <c r="G3682" s="5">
        <v>4.43410158157349</v>
      </c>
      <c r="H3682" s="5" t="s">
        <v>86</v>
      </c>
      <c r="I3682" t="s">
        <v>57</v>
      </c>
    </row>
    <row r="3683" spans="1:9">
      <c r="A3683" s="4" t="s">
        <v>7419</v>
      </c>
      <c r="B3683" s="4" t="s">
        <v>7420</v>
      </c>
      <c r="C3683" s="4" t="s">
        <v>41</v>
      </c>
      <c r="D3683" s="2">
        <f>264336480/(10^6)</f>
        <v>264.33648</v>
      </c>
      <c r="E3683" s="5" t="s">
        <v>86</v>
      </c>
      <c r="F3683" s="5">
        <v>44.9680023193359</v>
      </c>
      <c r="G3683" s="5">
        <v>4.09771108627319</v>
      </c>
      <c r="H3683" s="5" t="s">
        <v>86</v>
      </c>
      <c r="I3683" t="s">
        <v>57</v>
      </c>
    </row>
    <row r="3684" spans="1:9">
      <c r="A3684" s="4" t="s">
        <v>7421</v>
      </c>
      <c r="B3684" s="4" t="s">
        <v>7422</v>
      </c>
      <c r="C3684" s="4" t="s">
        <v>27</v>
      </c>
      <c r="D3684" s="2">
        <f>263913648/(10^6)</f>
        <v>263.913648</v>
      </c>
      <c r="E3684" s="5">
        <v>2.73463129997253</v>
      </c>
      <c r="F3684" s="5">
        <v>0.645931243896484</v>
      </c>
      <c r="G3684" s="5">
        <v>0.536565661430359</v>
      </c>
      <c r="H3684" s="5">
        <v>5.70553636550903</v>
      </c>
      <c r="I3684" t="s">
        <v>57</v>
      </c>
    </row>
    <row r="3685" spans="1:9">
      <c r="A3685" s="4" t="s">
        <v>7423</v>
      </c>
      <c r="B3685" s="4" t="s">
        <v>7424</v>
      </c>
      <c r="C3685" s="4" t="s">
        <v>47</v>
      </c>
      <c r="D3685" s="2">
        <f>263897504/(10^6)</f>
        <v>263.897504</v>
      </c>
      <c r="E3685" s="5">
        <v>6.24170017242432</v>
      </c>
      <c r="F3685" s="5">
        <v>0.905709743499756</v>
      </c>
      <c r="G3685" s="5">
        <v>0.239563271403313</v>
      </c>
      <c r="H3685" s="5">
        <v>4.93024110794067</v>
      </c>
      <c r="I3685" t="s">
        <v>57</v>
      </c>
    </row>
    <row r="3686" spans="1:9">
      <c r="A3686" s="4" t="s">
        <v>7425</v>
      </c>
      <c r="B3686" s="4" t="s">
        <v>7426</v>
      </c>
      <c r="C3686" s="4" t="s">
        <v>51</v>
      </c>
      <c r="D3686" s="2">
        <f>263477760/(10^6)</f>
        <v>263.47776</v>
      </c>
      <c r="E3686" s="5" t="s">
        <v>86</v>
      </c>
      <c r="F3686" s="5">
        <v>0.737004816532135</v>
      </c>
      <c r="G3686" s="5">
        <v>1.00953769683838</v>
      </c>
      <c r="H3686" s="5">
        <v>18.7267055511475</v>
      </c>
      <c r="I3686" t="s">
        <v>57</v>
      </c>
    </row>
    <row r="3687" spans="1:9">
      <c r="A3687" s="4" t="s">
        <v>7427</v>
      </c>
      <c r="B3687" s="4" t="s">
        <v>7428</v>
      </c>
      <c r="C3687" s="4" t="s">
        <v>49</v>
      </c>
      <c r="D3687" s="2">
        <f>263476848/(10^6)</f>
        <v>263.476848</v>
      </c>
      <c r="E3687" s="5" t="s">
        <v>86</v>
      </c>
      <c r="F3687" s="5">
        <v>2584.29809570312</v>
      </c>
      <c r="G3687" s="5" t="s">
        <v>86</v>
      </c>
      <c r="H3687" s="5" t="s">
        <v>86</v>
      </c>
      <c r="I3687" t="s">
        <v>57</v>
      </c>
    </row>
    <row r="3688" spans="1:9">
      <c r="A3688" s="4" t="s">
        <v>7429</v>
      </c>
      <c r="B3688" s="4" t="s">
        <v>7430</v>
      </c>
      <c r="C3688" s="4" t="s">
        <v>43</v>
      </c>
      <c r="D3688" s="2">
        <f>263106480/(10^6)</f>
        <v>263.10648</v>
      </c>
      <c r="E3688" s="5">
        <v>7.34179639816284</v>
      </c>
      <c r="F3688" s="5">
        <v>0.850005865097046</v>
      </c>
      <c r="G3688" s="5">
        <v>1.95914137363434</v>
      </c>
      <c r="H3688" s="5" t="s">
        <v>86</v>
      </c>
      <c r="I3688" t="s">
        <v>57</v>
      </c>
    </row>
    <row r="3689" spans="1:9">
      <c r="A3689" s="4" t="s">
        <v>7431</v>
      </c>
      <c r="B3689" s="4" t="s">
        <v>7432</v>
      </c>
      <c r="C3689" s="4" t="s">
        <v>41</v>
      </c>
      <c r="D3689" s="2">
        <f>262889664/(10^6)</f>
        <v>262.889664</v>
      </c>
      <c r="E3689" s="5" t="s">
        <v>86</v>
      </c>
      <c r="F3689" s="5">
        <v>1.36273992061615</v>
      </c>
      <c r="G3689" s="5" t="s">
        <v>86</v>
      </c>
      <c r="H3689" s="5" t="s">
        <v>86</v>
      </c>
      <c r="I3689" t="s">
        <v>57</v>
      </c>
    </row>
    <row r="3690" spans="1:9">
      <c r="A3690" s="4" t="s">
        <v>7433</v>
      </c>
      <c r="B3690" s="4" t="s">
        <v>7434</v>
      </c>
      <c r="C3690" s="4" t="s">
        <v>43</v>
      </c>
      <c r="D3690" s="2">
        <f>262403632/(10^6)</f>
        <v>262.403632</v>
      </c>
      <c r="E3690" s="5">
        <v>9.23239707946777</v>
      </c>
      <c r="F3690" s="5">
        <v>1.23880481719971</v>
      </c>
      <c r="G3690" s="5">
        <v>2.45534896850586</v>
      </c>
      <c r="H3690" s="5" t="s">
        <v>86</v>
      </c>
      <c r="I3690" t="s">
        <v>57</v>
      </c>
    </row>
    <row r="3691" spans="1:9">
      <c r="A3691" s="4" t="s">
        <v>7435</v>
      </c>
      <c r="B3691" s="4" t="s">
        <v>7436</v>
      </c>
      <c r="C3691" s="4" t="s">
        <v>43</v>
      </c>
      <c r="D3691" s="2">
        <f>262244640/(10^6)</f>
        <v>262.24464</v>
      </c>
      <c r="E3691" s="5">
        <v>8.62857246398926</v>
      </c>
      <c r="F3691" s="5">
        <v>1.07233262062073</v>
      </c>
      <c r="G3691" s="5">
        <v>2.47192764282227</v>
      </c>
      <c r="H3691" s="5" t="s">
        <v>86</v>
      </c>
      <c r="I3691" t="s">
        <v>57</v>
      </c>
    </row>
    <row r="3692" spans="1:9">
      <c r="A3692" s="4" t="s">
        <v>7437</v>
      </c>
      <c r="B3692" s="4" t="s">
        <v>7438</v>
      </c>
      <c r="C3692" s="4" t="s">
        <v>43</v>
      </c>
      <c r="D3692" s="2">
        <f>262229888/(10^6)</f>
        <v>262.229888</v>
      </c>
      <c r="E3692" s="5">
        <v>8.54460716247559</v>
      </c>
      <c r="F3692" s="5">
        <v>0.91474974155426</v>
      </c>
      <c r="G3692" s="5">
        <v>1.08871996402741</v>
      </c>
      <c r="H3692" s="5" t="s">
        <v>86</v>
      </c>
      <c r="I3692" t="s">
        <v>57</v>
      </c>
    </row>
    <row r="3693" spans="1:9">
      <c r="A3693" s="4" t="s">
        <v>7439</v>
      </c>
      <c r="B3693" s="4" t="s">
        <v>7440</v>
      </c>
      <c r="C3693" s="4" t="s">
        <v>43</v>
      </c>
      <c r="D3693" s="2">
        <f>261781904/(10^6)</f>
        <v>261.781904</v>
      </c>
      <c r="E3693" s="5">
        <v>10.2959775924683</v>
      </c>
      <c r="F3693" s="5">
        <v>1.03923773765564</v>
      </c>
      <c r="G3693" s="5">
        <v>2.82374906539917</v>
      </c>
      <c r="H3693" s="5" t="s">
        <v>86</v>
      </c>
      <c r="I3693" t="s">
        <v>57</v>
      </c>
    </row>
    <row r="3694" spans="1:9">
      <c r="A3694" s="4" t="s">
        <v>7441</v>
      </c>
      <c r="B3694" s="4" t="s">
        <v>7442</v>
      </c>
      <c r="C3694" s="4" t="s">
        <v>47</v>
      </c>
      <c r="D3694" s="2">
        <f>261369120/(10^6)</f>
        <v>261.36912</v>
      </c>
      <c r="E3694" s="5" t="s">
        <v>86</v>
      </c>
      <c r="F3694" s="5">
        <v>0.461080819368362</v>
      </c>
      <c r="G3694" s="5">
        <v>0.187550351023674</v>
      </c>
      <c r="H3694" s="5">
        <v>5.2055492401123</v>
      </c>
      <c r="I3694" t="s">
        <v>57</v>
      </c>
    </row>
    <row r="3695" spans="1:9">
      <c r="A3695" s="4" t="s">
        <v>7443</v>
      </c>
      <c r="B3695" s="4" t="s">
        <v>7444</v>
      </c>
      <c r="C3695" s="4" t="s">
        <v>51</v>
      </c>
      <c r="D3695" s="2">
        <f>260940896/(10^6)</f>
        <v>260.940896</v>
      </c>
      <c r="E3695" s="5">
        <v>9.86294746398926</v>
      </c>
      <c r="F3695" s="5">
        <v>1.08021795749664</v>
      </c>
      <c r="G3695" s="5">
        <v>0.917578339576721</v>
      </c>
      <c r="H3695" s="5">
        <v>5.19395446777344</v>
      </c>
      <c r="I3695" t="s">
        <v>57</v>
      </c>
    </row>
    <row r="3696" spans="1:9">
      <c r="A3696" s="4" t="s">
        <v>7445</v>
      </c>
      <c r="B3696" s="4" t="s">
        <v>7446</v>
      </c>
      <c r="C3696" s="4" t="s">
        <v>51</v>
      </c>
      <c r="D3696" s="2">
        <f>260705264/(10^6)</f>
        <v>260.705264</v>
      </c>
      <c r="E3696" s="5">
        <v>49.8867454528809</v>
      </c>
      <c r="F3696" s="5">
        <v>15.5872144699097</v>
      </c>
      <c r="G3696" s="5">
        <v>8.05056476593018</v>
      </c>
      <c r="H3696" s="5">
        <v>38.2865028381348</v>
      </c>
      <c r="I3696" t="s">
        <v>57</v>
      </c>
    </row>
    <row r="3697" spans="1:9">
      <c r="A3697" s="4" t="s">
        <v>7447</v>
      </c>
      <c r="B3697" s="4" t="s">
        <v>7448</v>
      </c>
      <c r="C3697" s="4" t="s">
        <v>33</v>
      </c>
      <c r="D3697" s="2">
        <f>260701248/(10^6)</f>
        <v>260.701248</v>
      </c>
      <c r="E3697" s="5">
        <v>3.48423528671265</v>
      </c>
      <c r="F3697" s="5">
        <v>0.261569857597351</v>
      </c>
      <c r="G3697" s="5">
        <v>0.073173403739929</v>
      </c>
      <c r="H3697" s="5" t="s">
        <v>86</v>
      </c>
      <c r="I3697" t="s">
        <v>57</v>
      </c>
    </row>
    <row r="3698" spans="1:9">
      <c r="A3698" s="4" t="s">
        <v>7449</v>
      </c>
      <c r="B3698" s="4" t="s">
        <v>7450</v>
      </c>
      <c r="C3698" s="4" t="s">
        <v>43</v>
      </c>
      <c r="D3698" s="2">
        <f>260036560/(10^6)</f>
        <v>260.03656</v>
      </c>
      <c r="E3698" s="5" t="s">
        <v>86</v>
      </c>
      <c r="F3698" s="5">
        <v>1.14060127735138</v>
      </c>
      <c r="G3698" s="5" t="s">
        <v>86</v>
      </c>
      <c r="H3698" s="5" t="s">
        <v>86</v>
      </c>
      <c r="I3698" t="s">
        <v>57</v>
      </c>
    </row>
    <row r="3699" spans="1:9">
      <c r="A3699" s="4" t="s">
        <v>7451</v>
      </c>
      <c r="B3699" s="4" t="s">
        <v>7452</v>
      </c>
      <c r="C3699" s="4" t="s">
        <v>43</v>
      </c>
      <c r="D3699" s="2">
        <f>259500752/(10^6)</f>
        <v>259.500752</v>
      </c>
      <c r="E3699" s="5">
        <v>5.17754554748535</v>
      </c>
      <c r="F3699" s="5">
        <v>0.428179889917374</v>
      </c>
      <c r="G3699" s="5">
        <v>0.247567221522331</v>
      </c>
      <c r="H3699" s="5">
        <v>11.5726070404053</v>
      </c>
      <c r="I3699" t="s">
        <v>57</v>
      </c>
    </row>
    <row r="3700" spans="1:9">
      <c r="A3700" s="4" t="s">
        <v>7453</v>
      </c>
      <c r="B3700" s="4" t="s">
        <v>7454</v>
      </c>
      <c r="C3700" s="4" t="s">
        <v>41</v>
      </c>
      <c r="D3700" s="2">
        <f>258678544/(10^6)</f>
        <v>258.678544</v>
      </c>
      <c r="E3700" s="5" t="s">
        <v>86</v>
      </c>
      <c r="F3700" s="5" t="s">
        <v>86</v>
      </c>
      <c r="G3700" s="5">
        <v>54.0796012878418</v>
      </c>
      <c r="H3700" s="5" t="s">
        <v>86</v>
      </c>
      <c r="I3700" t="s">
        <v>57</v>
      </c>
    </row>
    <row r="3701" spans="1:9">
      <c r="A3701" s="4" t="s">
        <v>7455</v>
      </c>
      <c r="B3701" s="4" t="s">
        <v>7456</v>
      </c>
      <c r="C3701" s="4" t="s">
        <v>47</v>
      </c>
      <c r="D3701" s="2">
        <f>258658032/(10^6)</f>
        <v>258.658032</v>
      </c>
      <c r="E3701" s="5">
        <v>7.18274545669556</v>
      </c>
      <c r="F3701" s="5">
        <v>0.490964233875275</v>
      </c>
      <c r="G3701" s="5">
        <v>0.37110760807991</v>
      </c>
      <c r="H3701" s="5">
        <v>2.87029910087585</v>
      </c>
      <c r="I3701" t="s">
        <v>57</v>
      </c>
    </row>
    <row r="3702" spans="1:9">
      <c r="A3702" s="4" t="s">
        <v>7457</v>
      </c>
      <c r="B3702" s="4" t="s">
        <v>7458</v>
      </c>
      <c r="C3702" s="4" t="s">
        <v>47</v>
      </c>
      <c r="D3702" s="2">
        <f>258658032/(10^6)</f>
        <v>258.658032</v>
      </c>
      <c r="E3702" s="5">
        <v>7.18274545669556</v>
      </c>
      <c r="F3702" s="5">
        <v>0.490964233875275</v>
      </c>
      <c r="G3702" s="5">
        <v>0.37110760807991</v>
      </c>
      <c r="H3702" s="5">
        <v>2.87029910087585</v>
      </c>
      <c r="I3702" t="s">
        <v>57</v>
      </c>
    </row>
    <row r="3703" spans="1:9">
      <c r="A3703" s="4" t="s">
        <v>7459</v>
      </c>
      <c r="B3703" s="4" t="s">
        <v>7460</v>
      </c>
      <c r="C3703" s="4" t="s">
        <v>33</v>
      </c>
      <c r="D3703" s="2">
        <f>258068720/(10^6)</f>
        <v>258.06872</v>
      </c>
      <c r="E3703" s="5" t="s">
        <v>86</v>
      </c>
      <c r="F3703" s="5">
        <v>0.786952137947083</v>
      </c>
      <c r="G3703" s="5">
        <v>0.720572054386139</v>
      </c>
      <c r="H3703" s="5" t="s">
        <v>86</v>
      </c>
      <c r="I3703" t="s">
        <v>57</v>
      </c>
    </row>
    <row r="3704" spans="1:9">
      <c r="A3704" s="4" t="s">
        <v>7461</v>
      </c>
      <c r="B3704" s="4" t="s">
        <v>7462</v>
      </c>
      <c r="C3704" s="4" t="s">
        <v>37</v>
      </c>
      <c r="D3704" s="2">
        <f>258031040/(10^6)</f>
        <v>258.03104</v>
      </c>
      <c r="E3704" s="5">
        <v>17.5834445953369</v>
      </c>
      <c r="F3704" s="5">
        <v>0.846938073635101</v>
      </c>
      <c r="G3704" s="5">
        <v>0.520542800426483</v>
      </c>
      <c r="H3704" s="5">
        <v>5.3422155380249</v>
      </c>
      <c r="I3704" t="s">
        <v>57</v>
      </c>
    </row>
    <row r="3705" spans="1:9">
      <c r="A3705" s="4" t="s">
        <v>7463</v>
      </c>
      <c r="B3705" s="4" t="s">
        <v>7464</v>
      </c>
      <c r="C3705" s="4" t="s">
        <v>47</v>
      </c>
      <c r="D3705" s="2">
        <f>257650944/(10^6)</f>
        <v>257.650944</v>
      </c>
      <c r="E3705" s="5">
        <v>12.8916711807251</v>
      </c>
      <c r="F3705" s="5">
        <v>2.33658695220947</v>
      </c>
      <c r="G3705" s="5">
        <v>0.290254086256027</v>
      </c>
      <c r="H3705" s="5">
        <v>8.17940807342529</v>
      </c>
      <c r="I3705" t="s">
        <v>57</v>
      </c>
    </row>
    <row r="3706" spans="1:9">
      <c r="A3706" s="4" t="s">
        <v>7465</v>
      </c>
      <c r="B3706" s="4" t="s">
        <v>7466</v>
      </c>
      <c r="C3706" s="4" t="s">
        <v>41</v>
      </c>
      <c r="D3706" s="2">
        <f>257485760/(10^6)</f>
        <v>257.48576</v>
      </c>
      <c r="E3706" s="5" t="s">
        <v>86</v>
      </c>
      <c r="F3706" s="5">
        <v>3.09877109527588</v>
      </c>
      <c r="G3706" s="5">
        <v>6.89056587219238</v>
      </c>
      <c r="H3706" s="5">
        <v>0.688860714435577</v>
      </c>
      <c r="I3706" t="s">
        <v>57</v>
      </c>
    </row>
    <row r="3707" spans="1:9">
      <c r="A3707" s="4" t="s">
        <v>7467</v>
      </c>
      <c r="B3707" s="4" t="s">
        <v>7468</v>
      </c>
      <c r="C3707" s="4" t="s">
        <v>33</v>
      </c>
      <c r="D3707" s="2">
        <f>257450832/(10^6)</f>
        <v>257.450832</v>
      </c>
      <c r="E3707" s="5">
        <v>10.7959337234497</v>
      </c>
      <c r="F3707" s="5">
        <v>0.898985326290131</v>
      </c>
      <c r="G3707" s="5">
        <v>0.258609265089035</v>
      </c>
      <c r="H3707" s="5">
        <v>4.86297655105591</v>
      </c>
      <c r="I3707" t="s">
        <v>57</v>
      </c>
    </row>
    <row r="3708" spans="1:9">
      <c r="A3708" s="4" t="s">
        <v>7469</v>
      </c>
      <c r="B3708" s="4" t="s">
        <v>7470</v>
      </c>
      <c r="C3708" s="4" t="s">
        <v>33</v>
      </c>
      <c r="D3708" s="2">
        <f>256530864/(10^6)</f>
        <v>256.530864</v>
      </c>
      <c r="E3708" s="5" t="s">
        <v>86</v>
      </c>
      <c r="F3708" s="5" t="s">
        <v>86</v>
      </c>
      <c r="G3708" s="5">
        <v>0.077856972813606</v>
      </c>
      <c r="H3708" s="5">
        <v>6.46853351593018</v>
      </c>
      <c r="I3708" t="s">
        <v>57</v>
      </c>
    </row>
    <row r="3709" spans="1:9">
      <c r="A3709" s="4" t="s">
        <v>7471</v>
      </c>
      <c r="B3709" s="4" t="s">
        <v>7472</v>
      </c>
      <c r="C3709" s="4" t="s">
        <v>51</v>
      </c>
      <c r="D3709" s="2">
        <f>255952672/(10^6)</f>
        <v>255.952672</v>
      </c>
      <c r="E3709" s="5" t="s">
        <v>86</v>
      </c>
      <c r="F3709" s="5">
        <v>6.19858360290527</v>
      </c>
      <c r="G3709" s="5">
        <v>1.40728724002838</v>
      </c>
      <c r="H3709" s="5">
        <v>28.8950786590576</v>
      </c>
      <c r="I3709" t="s">
        <v>57</v>
      </c>
    </row>
    <row r="3710" spans="1:9">
      <c r="A3710" s="4" t="s">
        <v>7473</v>
      </c>
      <c r="B3710" s="4" t="s">
        <v>7474</v>
      </c>
      <c r="C3710" s="4" t="s">
        <v>43</v>
      </c>
      <c r="D3710" s="2">
        <f>255921232/(10^6)</f>
        <v>255.921232</v>
      </c>
      <c r="E3710" s="5">
        <v>17.3758163452148</v>
      </c>
      <c r="F3710" s="5">
        <v>0.835513830184937</v>
      </c>
      <c r="G3710" s="5">
        <v>0.947392344474792</v>
      </c>
      <c r="H3710" s="5" t="s">
        <v>86</v>
      </c>
      <c r="I3710" t="s">
        <v>57</v>
      </c>
    </row>
    <row r="3711" spans="1:9">
      <c r="A3711" s="4" t="s">
        <v>7475</v>
      </c>
      <c r="B3711" s="4" t="s">
        <v>7476</v>
      </c>
      <c r="C3711" s="4" t="s">
        <v>43</v>
      </c>
      <c r="D3711" s="2">
        <f>255604816/(10^6)</f>
        <v>255.604816</v>
      </c>
      <c r="E3711" s="5">
        <v>8.03359508514404</v>
      </c>
      <c r="F3711" s="5">
        <v>0.805842757225037</v>
      </c>
      <c r="G3711" s="5">
        <v>2.27565360069275</v>
      </c>
      <c r="H3711" s="5" t="s">
        <v>86</v>
      </c>
      <c r="I3711" t="s">
        <v>57</v>
      </c>
    </row>
    <row r="3712" spans="1:9">
      <c r="A3712" s="4" t="s">
        <v>7477</v>
      </c>
      <c r="B3712" s="4" t="s">
        <v>7478</v>
      </c>
      <c r="C3712" s="4" t="s">
        <v>31</v>
      </c>
      <c r="D3712" s="2">
        <f>254788816/(10^6)</f>
        <v>254.788816</v>
      </c>
      <c r="E3712" s="5">
        <v>6.55637693405151</v>
      </c>
      <c r="F3712" s="5">
        <v>0.432103306055069</v>
      </c>
      <c r="G3712" s="5">
        <v>0.603853404521942</v>
      </c>
      <c r="H3712" s="5">
        <v>9.09453296661377</v>
      </c>
      <c r="I3712" t="s">
        <v>57</v>
      </c>
    </row>
    <row r="3713" spans="1:9">
      <c r="A3713" s="4" t="s">
        <v>7479</v>
      </c>
      <c r="B3713" s="4" t="s">
        <v>7480</v>
      </c>
      <c r="C3713" s="4" t="s">
        <v>43</v>
      </c>
      <c r="D3713" s="2">
        <f>254064848/(10^6)</f>
        <v>254.064848</v>
      </c>
      <c r="E3713" s="5">
        <v>10.9376516342163</v>
      </c>
      <c r="F3713" s="5">
        <v>1.03580892086029</v>
      </c>
      <c r="G3713" s="5">
        <v>2.92607426643372</v>
      </c>
      <c r="H3713" s="5" t="s">
        <v>86</v>
      </c>
      <c r="I3713" t="s">
        <v>57</v>
      </c>
    </row>
    <row r="3714" spans="1:9">
      <c r="A3714" s="4" t="s">
        <v>7481</v>
      </c>
      <c r="B3714" s="4" t="s">
        <v>7482</v>
      </c>
      <c r="C3714" s="4" t="s">
        <v>27</v>
      </c>
      <c r="D3714" s="2">
        <f>252946192/(10^6)</f>
        <v>252.946192</v>
      </c>
      <c r="E3714" s="5">
        <v>4.27101945877075</v>
      </c>
      <c r="F3714" s="5">
        <v>0.970023989677429</v>
      </c>
      <c r="G3714" s="5">
        <v>0.683397531509399</v>
      </c>
      <c r="H3714" s="5">
        <v>1.43099331855774</v>
      </c>
      <c r="I3714" t="s">
        <v>57</v>
      </c>
    </row>
    <row r="3715" spans="1:9">
      <c r="A3715" s="4" t="s">
        <v>7483</v>
      </c>
      <c r="B3715" s="4" t="s">
        <v>7484</v>
      </c>
      <c r="C3715" s="4" t="s">
        <v>41</v>
      </c>
      <c r="D3715" s="2">
        <f>252827616/(10^6)</f>
        <v>252.827616</v>
      </c>
      <c r="E3715" s="5" t="s">
        <v>86</v>
      </c>
      <c r="F3715" s="5">
        <v>20.6084442138672</v>
      </c>
      <c r="G3715" s="5">
        <v>2.72610425949097</v>
      </c>
      <c r="H3715" s="5" t="s">
        <v>86</v>
      </c>
      <c r="I3715" t="s">
        <v>57</v>
      </c>
    </row>
    <row r="3716" spans="1:9">
      <c r="A3716" s="4" t="s">
        <v>7485</v>
      </c>
      <c r="B3716" s="4" t="s">
        <v>7486</v>
      </c>
      <c r="C3716" s="4" t="s">
        <v>43</v>
      </c>
      <c r="D3716" s="2">
        <f>251958960/(10^6)</f>
        <v>251.95896</v>
      </c>
      <c r="E3716" s="5">
        <v>9.78705024719238</v>
      </c>
      <c r="F3716" s="5">
        <v>0.777452886104584</v>
      </c>
      <c r="G3716" s="5">
        <v>2.32884120941162</v>
      </c>
      <c r="H3716" s="5" t="s">
        <v>86</v>
      </c>
      <c r="I3716" t="s">
        <v>57</v>
      </c>
    </row>
    <row r="3717" spans="1:9">
      <c r="A3717" s="4" t="s">
        <v>7487</v>
      </c>
      <c r="B3717" s="4" t="s">
        <v>7488</v>
      </c>
      <c r="C3717" s="4" t="s">
        <v>47</v>
      </c>
      <c r="D3717" s="2">
        <f>250083760/(10^6)</f>
        <v>250.08376</v>
      </c>
      <c r="E3717" s="5">
        <v>16.7344245910645</v>
      </c>
      <c r="F3717" s="5">
        <v>2.02532505989075</v>
      </c>
      <c r="G3717" s="5">
        <v>0.696440279483795</v>
      </c>
      <c r="H3717" s="5">
        <v>6.18785095214844</v>
      </c>
      <c r="I3717" t="s">
        <v>57</v>
      </c>
    </row>
    <row r="3718" spans="1:9">
      <c r="A3718" s="4" t="s">
        <v>7489</v>
      </c>
      <c r="B3718" s="4" t="s">
        <v>7490</v>
      </c>
      <c r="C3718" s="4" t="s">
        <v>35</v>
      </c>
      <c r="D3718" s="2">
        <f>249905104/(10^6)</f>
        <v>249.905104</v>
      </c>
      <c r="E3718" s="5">
        <v>13.7624530792236</v>
      </c>
      <c r="F3718" s="5">
        <v>1.69887912273407</v>
      </c>
      <c r="G3718" s="5">
        <v>0.835016906261444</v>
      </c>
      <c r="H3718" s="5">
        <v>7.704185962677</v>
      </c>
      <c r="I3718" t="s">
        <v>57</v>
      </c>
    </row>
    <row r="3719" spans="1:9">
      <c r="A3719" s="4" t="s">
        <v>7491</v>
      </c>
      <c r="B3719" s="4" t="s">
        <v>7492</v>
      </c>
      <c r="C3719" s="4" t="s">
        <v>27</v>
      </c>
      <c r="D3719" s="2">
        <f>249893056/(10^6)</f>
        <v>249.893056</v>
      </c>
      <c r="E3719" s="5" t="s">
        <v>86</v>
      </c>
      <c r="F3719" s="5">
        <v>0.245205655694008</v>
      </c>
      <c r="G3719" s="5">
        <v>0.488635420799255</v>
      </c>
      <c r="H3719" s="5" t="s">
        <v>86</v>
      </c>
      <c r="I3719" t="s">
        <v>57</v>
      </c>
    </row>
    <row r="3720" spans="1:9">
      <c r="A3720" s="4" t="s">
        <v>7493</v>
      </c>
      <c r="B3720" s="4" t="s">
        <v>7494</v>
      </c>
      <c r="C3720" s="4" t="s">
        <v>37</v>
      </c>
      <c r="D3720" s="2">
        <f>249558096/(10^6)</f>
        <v>249.558096</v>
      </c>
      <c r="E3720" s="5">
        <v>4.80462503433228</v>
      </c>
      <c r="F3720" s="5">
        <v>0.622528791427612</v>
      </c>
      <c r="G3720" s="5">
        <v>0.193767622113228</v>
      </c>
      <c r="H3720" s="5">
        <v>4.4157862663269</v>
      </c>
      <c r="I3720" t="s">
        <v>57</v>
      </c>
    </row>
    <row r="3721" spans="1:9">
      <c r="A3721" s="4" t="s">
        <v>7495</v>
      </c>
      <c r="B3721" s="4" t="s">
        <v>7496</v>
      </c>
      <c r="C3721" s="4" t="s">
        <v>41</v>
      </c>
      <c r="D3721" s="2">
        <f>249495520/(10^6)</f>
        <v>249.49552</v>
      </c>
      <c r="E3721" s="5" t="s">
        <v>86</v>
      </c>
      <c r="F3721" s="5">
        <v>4.53918409347534</v>
      </c>
      <c r="G3721" s="5">
        <v>2.70072269439697</v>
      </c>
      <c r="H3721" s="5" t="s">
        <v>86</v>
      </c>
      <c r="I3721" t="s">
        <v>57</v>
      </c>
    </row>
    <row r="3722" spans="1:9">
      <c r="A3722" s="4" t="s">
        <v>7497</v>
      </c>
      <c r="B3722" s="4" t="s">
        <v>7498</v>
      </c>
      <c r="C3722" s="4" t="s">
        <v>31</v>
      </c>
      <c r="D3722" s="2">
        <f>247590208/(10^6)</f>
        <v>247.590208</v>
      </c>
      <c r="E3722" s="5">
        <v>5.03958702087402</v>
      </c>
      <c r="F3722" s="5">
        <v>1.12518537044525</v>
      </c>
      <c r="G3722" s="5">
        <v>0.211480841040611</v>
      </c>
      <c r="H3722" s="5">
        <v>6.68367147445679</v>
      </c>
      <c r="I3722" t="s">
        <v>57</v>
      </c>
    </row>
    <row r="3723" spans="1:9">
      <c r="A3723" s="4" t="s">
        <v>7499</v>
      </c>
      <c r="B3723" s="4" t="s">
        <v>7500</v>
      </c>
      <c r="C3723" s="4" t="s">
        <v>41</v>
      </c>
      <c r="D3723" s="2">
        <f>247505840/(10^6)</f>
        <v>247.50584</v>
      </c>
      <c r="E3723" s="5" t="s">
        <v>86</v>
      </c>
      <c r="F3723" s="5">
        <v>2.26629996299744</v>
      </c>
      <c r="G3723" s="5">
        <v>21.6673374176025</v>
      </c>
      <c r="H3723" s="5" t="s">
        <v>86</v>
      </c>
      <c r="I3723" t="s">
        <v>57</v>
      </c>
    </row>
    <row r="3724" spans="1:9">
      <c r="A3724" s="4" t="s">
        <v>7501</v>
      </c>
      <c r="B3724" s="4" t="s">
        <v>7502</v>
      </c>
      <c r="C3724" s="4" t="s">
        <v>49</v>
      </c>
      <c r="D3724" s="2">
        <f>247500000/(10^6)</f>
        <v>247.5</v>
      </c>
      <c r="E3724" s="5">
        <v>103.964294433594</v>
      </c>
      <c r="F3724" s="5">
        <v>0.292360126972198</v>
      </c>
      <c r="G3724" s="5" t="s">
        <v>86</v>
      </c>
      <c r="H3724" s="5" t="s">
        <v>86</v>
      </c>
      <c r="I3724" t="s">
        <v>57</v>
      </c>
    </row>
    <row r="3725" spans="1:9">
      <c r="A3725" s="4" t="s">
        <v>7503</v>
      </c>
      <c r="B3725" s="4" t="s">
        <v>7504</v>
      </c>
      <c r="C3725" s="4" t="s">
        <v>33</v>
      </c>
      <c r="D3725" s="2">
        <f>247200544/(10^6)</f>
        <v>247.200544</v>
      </c>
      <c r="E3725" s="5" t="s">
        <v>86</v>
      </c>
      <c r="F3725" s="5">
        <v>0.216487377882004</v>
      </c>
      <c r="G3725" s="5">
        <v>0.408598750829697</v>
      </c>
      <c r="H3725" s="5" t="s">
        <v>86</v>
      </c>
      <c r="I3725" t="s">
        <v>57</v>
      </c>
    </row>
    <row r="3726" spans="1:9">
      <c r="A3726" s="4" t="s">
        <v>7505</v>
      </c>
      <c r="B3726" s="4" t="s">
        <v>7506</v>
      </c>
      <c r="C3726" s="4" t="s">
        <v>27</v>
      </c>
      <c r="D3726" s="2">
        <f>246490000/(10^6)</f>
        <v>246.49</v>
      </c>
      <c r="E3726" s="5" t="s">
        <v>86</v>
      </c>
      <c r="F3726" s="5">
        <v>0.076260514557362</v>
      </c>
      <c r="G3726" s="5">
        <v>0.25126314163208</v>
      </c>
      <c r="H3726" s="5">
        <v>19.6508140563965</v>
      </c>
      <c r="I3726" t="s">
        <v>57</v>
      </c>
    </row>
    <row r="3727" spans="1:9">
      <c r="A3727" s="4" t="s">
        <v>7507</v>
      </c>
      <c r="B3727" s="4" t="s">
        <v>7508</v>
      </c>
      <c r="C3727" s="4" t="s">
        <v>31</v>
      </c>
      <c r="D3727" s="2">
        <f>246163280/(10^6)</f>
        <v>246.16328</v>
      </c>
      <c r="E3727" s="5">
        <v>10.2147207260132</v>
      </c>
      <c r="F3727" s="5">
        <v>1.23890089988708</v>
      </c>
      <c r="G3727" s="5">
        <v>0.545936405658722</v>
      </c>
      <c r="H3727" s="5">
        <v>6.82270431518555</v>
      </c>
      <c r="I3727" t="s">
        <v>57</v>
      </c>
    </row>
    <row r="3728" spans="1:9">
      <c r="A3728" s="4" t="s">
        <v>7509</v>
      </c>
      <c r="B3728" s="4" t="s">
        <v>7510</v>
      </c>
      <c r="C3728" s="4" t="s">
        <v>41</v>
      </c>
      <c r="D3728" s="2">
        <f>245627520/(10^6)</f>
        <v>245.62752</v>
      </c>
      <c r="E3728" s="5" t="s">
        <v>86</v>
      </c>
      <c r="F3728" s="5" t="s">
        <v>86</v>
      </c>
      <c r="G3728" s="5" t="s">
        <v>86</v>
      </c>
      <c r="H3728" s="5" t="s">
        <v>86</v>
      </c>
      <c r="I3728" t="s">
        <v>57</v>
      </c>
    </row>
    <row r="3729" spans="1:9">
      <c r="A3729" s="4" t="s">
        <v>7511</v>
      </c>
      <c r="B3729" s="4" t="s">
        <v>7512</v>
      </c>
      <c r="C3729" s="4" t="s">
        <v>33</v>
      </c>
      <c r="D3729" s="2">
        <f>245395584/(10^6)</f>
        <v>245.395584</v>
      </c>
      <c r="E3729" s="5" t="s">
        <v>86</v>
      </c>
      <c r="F3729" s="5">
        <v>8.6361198425293</v>
      </c>
      <c r="G3729" s="5">
        <v>1.57166683673859</v>
      </c>
      <c r="H3729" s="5" t="s">
        <v>86</v>
      </c>
      <c r="I3729" t="s">
        <v>57</v>
      </c>
    </row>
    <row r="3730" spans="1:9">
      <c r="A3730" s="4" t="s">
        <v>7513</v>
      </c>
      <c r="B3730" s="4" t="s">
        <v>7514</v>
      </c>
      <c r="C3730" s="4" t="s">
        <v>41</v>
      </c>
      <c r="D3730" s="2">
        <f>245119584/(10^6)</f>
        <v>245.119584</v>
      </c>
      <c r="E3730" s="5" t="s">
        <v>86</v>
      </c>
      <c r="F3730" s="5">
        <v>8.79336738586426</v>
      </c>
      <c r="G3730" s="5" t="s">
        <v>86</v>
      </c>
      <c r="H3730" s="5" t="s">
        <v>86</v>
      </c>
      <c r="I3730" t="s">
        <v>57</v>
      </c>
    </row>
    <row r="3731" spans="1:9">
      <c r="A3731" s="4" t="s">
        <v>7515</v>
      </c>
      <c r="B3731" s="4" t="s">
        <v>7516</v>
      </c>
      <c r="C3731" s="4" t="s">
        <v>33</v>
      </c>
      <c r="D3731" s="2">
        <f>244408624/(10^6)</f>
        <v>244.408624</v>
      </c>
      <c r="E3731" s="5">
        <v>5.98333263397217</v>
      </c>
      <c r="F3731" s="5" t="s">
        <v>86</v>
      </c>
      <c r="G3731" s="5">
        <v>0.534012317657471</v>
      </c>
      <c r="H3731" s="5">
        <v>6.7057523727417</v>
      </c>
      <c r="I3731" t="s">
        <v>57</v>
      </c>
    </row>
    <row r="3732" spans="1:9">
      <c r="A3732" s="4" t="s">
        <v>7517</v>
      </c>
      <c r="B3732" s="4" t="s">
        <v>7518</v>
      </c>
      <c r="C3732" s="4" t="s">
        <v>37</v>
      </c>
      <c r="D3732" s="2">
        <f>244310944/(10^6)</f>
        <v>244.310944</v>
      </c>
      <c r="E3732" s="5">
        <v>26.1822738647461</v>
      </c>
      <c r="F3732" s="5">
        <v>0.711306035518646</v>
      </c>
      <c r="G3732" s="5">
        <v>0.162552490830421</v>
      </c>
      <c r="H3732" s="5">
        <v>5.53276109695435</v>
      </c>
      <c r="I3732" t="s">
        <v>57</v>
      </c>
    </row>
    <row r="3733" spans="1:9">
      <c r="A3733" s="4" t="s">
        <v>7519</v>
      </c>
      <c r="B3733" s="4" t="s">
        <v>7520</v>
      </c>
      <c r="C3733" s="4" t="s">
        <v>41</v>
      </c>
      <c r="D3733" s="2">
        <f>244213936/(10^6)</f>
        <v>244.213936</v>
      </c>
      <c r="E3733" s="5" t="s">
        <v>86</v>
      </c>
      <c r="F3733" s="5">
        <v>0.785587787628174</v>
      </c>
      <c r="G3733" s="5">
        <v>0.26066917181015</v>
      </c>
      <c r="H3733" s="5">
        <v>27.4799041748047</v>
      </c>
      <c r="I3733" t="s">
        <v>57</v>
      </c>
    </row>
    <row r="3734" spans="1:9">
      <c r="A3734" s="4" t="s">
        <v>7521</v>
      </c>
      <c r="B3734" s="4" t="s">
        <v>7522</v>
      </c>
      <c r="C3734" s="4" t="s">
        <v>41</v>
      </c>
      <c r="D3734" s="2">
        <f>244035536/(10^6)</f>
        <v>244.035536</v>
      </c>
      <c r="E3734" s="5" t="s">
        <v>86</v>
      </c>
      <c r="F3734" s="5" t="s">
        <v>86</v>
      </c>
      <c r="G3734" s="5">
        <v>5.16023063659668</v>
      </c>
      <c r="H3734" s="5" t="s">
        <v>86</v>
      </c>
      <c r="I3734" t="s">
        <v>57</v>
      </c>
    </row>
    <row r="3735" spans="1:9">
      <c r="A3735" s="4" t="s">
        <v>7523</v>
      </c>
      <c r="B3735" s="4" t="s">
        <v>7524</v>
      </c>
      <c r="C3735" s="4" t="s">
        <v>43</v>
      </c>
      <c r="D3735" s="2">
        <f>243837280/(10^6)</f>
        <v>243.83728</v>
      </c>
      <c r="E3735" s="5">
        <v>10.9902667999268</v>
      </c>
      <c r="F3735" s="5">
        <v>1.27350187301636</v>
      </c>
      <c r="G3735" s="5">
        <v>1.32774388790131</v>
      </c>
      <c r="H3735" s="5" t="s">
        <v>86</v>
      </c>
      <c r="I3735" t="s">
        <v>57</v>
      </c>
    </row>
    <row r="3736" spans="1:9">
      <c r="A3736" s="4" t="s">
        <v>7525</v>
      </c>
      <c r="B3736" s="4" t="s">
        <v>7526</v>
      </c>
      <c r="C3736" s="4" t="s">
        <v>49</v>
      </c>
      <c r="D3736" s="2">
        <f>243776528/(10^6)</f>
        <v>243.776528</v>
      </c>
      <c r="E3736" s="5" t="s">
        <v>86</v>
      </c>
      <c r="F3736" s="5">
        <v>0.341244429349899</v>
      </c>
      <c r="G3736" s="5" t="s">
        <v>86</v>
      </c>
      <c r="H3736" s="5" t="s">
        <v>86</v>
      </c>
      <c r="I3736" t="s">
        <v>57</v>
      </c>
    </row>
    <row r="3737" spans="1:9">
      <c r="A3737" s="4" t="s">
        <v>7527</v>
      </c>
      <c r="B3737" s="4" t="s">
        <v>7528</v>
      </c>
      <c r="C3737" s="4" t="s">
        <v>51</v>
      </c>
      <c r="D3737" s="2">
        <f>243463536/(10^6)</f>
        <v>243.463536</v>
      </c>
      <c r="E3737" s="5">
        <v>17.3840827941895</v>
      </c>
      <c r="F3737" s="5">
        <v>3.03454351425171</v>
      </c>
      <c r="G3737" s="5">
        <v>9.79634189605713</v>
      </c>
      <c r="H3737" s="5" t="s">
        <v>86</v>
      </c>
      <c r="I3737" t="s">
        <v>57</v>
      </c>
    </row>
    <row r="3738" spans="1:9">
      <c r="A3738" s="4" t="s">
        <v>7529</v>
      </c>
      <c r="B3738" s="4" t="s">
        <v>7530</v>
      </c>
      <c r="C3738" s="4" t="s">
        <v>31</v>
      </c>
      <c r="D3738" s="2">
        <f>243349024/(10^6)</f>
        <v>243.349024</v>
      </c>
      <c r="E3738" s="5">
        <v>33.8467254638672</v>
      </c>
      <c r="F3738" s="5">
        <v>2.26510858535767</v>
      </c>
      <c r="G3738" s="5">
        <v>0.659514605998993</v>
      </c>
      <c r="H3738" s="5">
        <v>11.7239017486572</v>
      </c>
      <c r="I3738" t="s">
        <v>57</v>
      </c>
    </row>
    <row r="3739" spans="1:9">
      <c r="A3739" s="4" t="s">
        <v>7531</v>
      </c>
      <c r="B3739" s="4" t="s">
        <v>7532</v>
      </c>
      <c r="C3739" s="4" t="s">
        <v>41</v>
      </c>
      <c r="D3739" s="2">
        <f>242855744/(10^6)</f>
        <v>242.855744</v>
      </c>
      <c r="E3739" s="5">
        <v>269.616821289062</v>
      </c>
      <c r="F3739" s="5" t="s">
        <v>86</v>
      </c>
      <c r="G3739" s="5">
        <v>0.288804680109024</v>
      </c>
      <c r="H3739" s="5">
        <v>9.27181339263916</v>
      </c>
      <c r="I3739" t="s">
        <v>57</v>
      </c>
    </row>
    <row r="3740" spans="1:9">
      <c r="A3740" s="4" t="s">
        <v>7533</v>
      </c>
      <c r="B3740" s="4" t="s">
        <v>7534</v>
      </c>
      <c r="C3740" s="4" t="s">
        <v>37</v>
      </c>
      <c r="D3740" s="2">
        <f>242783264/(10^6)</f>
        <v>242.783264</v>
      </c>
      <c r="E3740" s="5">
        <v>4.50679922103882</v>
      </c>
      <c r="F3740" s="5">
        <v>1.64831113815308</v>
      </c>
      <c r="G3740" s="5">
        <v>0.1360192745924</v>
      </c>
      <c r="H3740" s="5">
        <v>5.68251419067383</v>
      </c>
      <c r="I3740" t="s">
        <v>57</v>
      </c>
    </row>
    <row r="3741" spans="1:9">
      <c r="A3741" s="4" t="s">
        <v>7535</v>
      </c>
      <c r="B3741" s="4" t="s">
        <v>7536</v>
      </c>
      <c r="C3741" s="4" t="s">
        <v>49</v>
      </c>
      <c r="D3741" s="2">
        <f>242249984/(10^6)</f>
        <v>242.249984</v>
      </c>
      <c r="E3741" s="5" t="s">
        <v>86</v>
      </c>
      <c r="F3741" s="5" t="s">
        <v>86</v>
      </c>
      <c r="G3741" s="5" t="s">
        <v>86</v>
      </c>
      <c r="H3741" s="5" t="s">
        <v>86</v>
      </c>
      <c r="I3741" t="s">
        <v>57</v>
      </c>
    </row>
    <row r="3742" spans="1:9">
      <c r="A3742" s="4" t="s">
        <v>7537</v>
      </c>
      <c r="B3742" s="4" t="s">
        <v>7538</v>
      </c>
      <c r="C3742" s="4" t="s">
        <v>27</v>
      </c>
      <c r="D3742" s="2">
        <f>241962368/(10^6)</f>
        <v>241.962368</v>
      </c>
      <c r="E3742" s="5">
        <v>7.57106494903565</v>
      </c>
      <c r="F3742" s="5">
        <v>0.749441862106323</v>
      </c>
      <c r="G3742" s="5">
        <v>0.172240689396858</v>
      </c>
      <c r="H3742" s="5">
        <v>5.53629684448242</v>
      </c>
      <c r="I3742" t="s">
        <v>57</v>
      </c>
    </row>
    <row r="3743" spans="1:9">
      <c r="A3743" s="4" t="s">
        <v>7539</v>
      </c>
      <c r="B3743" s="4" t="s">
        <v>7540</v>
      </c>
      <c r="C3743" s="4" t="s">
        <v>31</v>
      </c>
      <c r="D3743" s="2">
        <f>240531168/(10^6)</f>
        <v>240.531168</v>
      </c>
      <c r="E3743" s="5">
        <v>5.10067749023438</v>
      </c>
      <c r="F3743" s="5">
        <v>0.716695666313171</v>
      </c>
      <c r="G3743" s="5">
        <v>0.143434807658195</v>
      </c>
      <c r="H3743" s="5">
        <v>5.87504386901855</v>
      </c>
      <c r="I3743" t="s">
        <v>57</v>
      </c>
    </row>
    <row r="3744" spans="1:9">
      <c r="A3744" s="4" t="s">
        <v>7541</v>
      </c>
      <c r="B3744" s="4" t="s">
        <v>7542</v>
      </c>
      <c r="C3744" s="4" t="s">
        <v>31</v>
      </c>
      <c r="D3744" s="2">
        <f>239916656/(10^6)</f>
        <v>239.916656</v>
      </c>
      <c r="E3744" s="5">
        <v>60.1171569824219</v>
      </c>
      <c r="F3744" s="5">
        <v>0.612953424453735</v>
      </c>
      <c r="G3744" s="5">
        <v>0.235188841819763</v>
      </c>
      <c r="H3744" s="5">
        <v>7.98687171936035</v>
      </c>
      <c r="I3744" t="s">
        <v>57</v>
      </c>
    </row>
    <row r="3745" spans="1:9">
      <c r="A3745" s="4" t="s">
        <v>7543</v>
      </c>
      <c r="B3745" s="4" t="s">
        <v>7544</v>
      </c>
      <c r="C3745" s="4" t="s">
        <v>41</v>
      </c>
      <c r="D3745" s="2">
        <f>239482592/(10^6)</f>
        <v>239.482592</v>
      </c>
      <c r="E3745" s="5" t="s">
        <v>86</v>
      </c>
      <c r="F3745" s="5">
        <v>9.28517055511475</v>
      </c>
      <c r="G3745" s="5">
        <v>8.49626350402832</v>
      </c>
      <c r="H3745" s="5" t="s">
        <v>86</v>
      </c>
      <c r="I3745" t="s">
        <v>57</v>
      </c>
    </row>
    <row r="3746" spans="1:9">
      <c r="A3746" s="4" t="s">
        <v>7545</v>
      </c>
      <c r="B3746" s="4" t="s">
        <v>7546</v>
      </c>
      <c r="C3746" s="4" t="s">
        <v>51</v>
      </c>
      <c r="D3746" s="2">
        <f>239037568/(10^6)</f>
        <v>239.037568</v>
      </c>
      <c r="E3746" s="5" t="s">
        <v>86</v>
      </c>
      <c r="F3746" s="5">
        <v>2.98584198951721</v>
      </c>
      <c r="G3746" s="5">
        <v>1.13945949077606</v>
      </c>
      <c r="H3746" s="5" t="s">
        <v>86</v>
      </c>
      <c r="I3746" t="s">
        <v>57</v>
      </c>
    </row>
    <row r="3747" spans="1:9">
      <c r="A3747" s="4" t="s">
        <v>7547</v>
      </c>
      <c r="B3747" s="4" t="s">
        <v>7548</v>
      </c>
      <c r="C3747" s="4" t="s">
        <v>43</v>
      </c>
      <c r="D3747" s="2">
        <f>238993104/(10^6)</f>
        <v>238.993104</v>
      </c>
      <c r="E3747" s="5">
        <v>8.09543895721436</v>
      </c>
      <c r="F3747" s="5">
        <v>0.766358733177185</v>
      </c>
      <c r="G3747" s="5">
        <v>4.79282331466675</v>
      </c>
      <c r="H3747" s="5">
        <v>14.3548650741577</v>
      </c>
      <c r="I3747" t="s">
        <v>57</v>
      </c>
    </row>
    <row r="3748" spans="1:9">
      <c r="A3748" s="4" t="s">
        <v>7549</v>
      </c>
      <c r="B3748" s="4" t="s">
        <v>7550</v>
      </c>
      <c r="C3748" s="4" t="s">
        <v>27</v>
      </c>
      <c r="D3748" s="2">
        <f>238776624/(10^6)</f>
        <v>238.776624</v>
      </c>
      <c r="E3748" s="5" t="s">
        <v>86</v>
      </c>
      <c r="F3748" s="5">
        <v>0.268275499343872</v>
      </c>
      <c r="G3748" s="5">
        <v>0.07305022329092</v>
      </c>
      <c r="H3748" s="5">
        <v>1.64101850986481</v>
      </c>
      <c r="I3748" t="s">
        <v>57</v>
      </c>
    </row>
    <row r="3749" spans="1:9">
      <c r="A3749" s="4" t="s">
        <v>7551</v>
      </c>
      <c r="B3749" s="4" t="s">
        <v>7552</v>
      </c>
      <c r="C3749" s="4" t="s">
        <v>49</v>
      </c>
      <c r="D3749" s="2">
        <f>238750000/(10^6)</f>
        <v>238.75</v>
      </c>
      <c r="E3749" s="5" t="s">
        <v>86</v>
      </c>
      <c r="F3749" s="5">
        <v>2369.13916015625</v>
      </c>
      <c r="G3749" s="5" t="s">
        <v>86</v>
      </c>
      <c r="H3749" s="5" t="s">
        <v>86</v>
      </c>
      <c r="I3749" t="s">
        <v>57</v>
      </c>
    </row>
    <row r="3750" spans="1:9">
      <c r="A3750" s="4" t="s">
        <v>7553</v>
      </c>
      <c r="B3750" s="4" t="s">
        <v>7554</v>
      </c>
      <c r="C3750" s="4" t="s">
        <v>27</v>
      </c>
      <c r="D3750" s="2">
        <f>238366800/(10^6)</f>
        <v>238.3668</v>
      </c>
      <c r="E3750" s="5" t="s">
        <v>86</v>
      </c>
      <c r="F3750" s="5">
        <v>0.415891021490097</v>
      </c>
      <c r="G3750" s="5">
        <v>0.544185936450958</v>
      </c>
      <c r="H3750" s="5" t="s">
        <v>86</v>
      </c>
      <c r="I3750" t="s">
        <v>57</v>
      </c>
    </row>
    <row r="3751" spans="1:9">
      <c r="A3751" s="4" t="s">
        <v>7555</v>
      </c>
      <c r="B3751" s="4" t="s">
        <v>7556</v>
      </c>
      <c r="C3751" s="4" t="s">
        <v>41</v>
      </c>
      <c r="D3751" s="2">
        <f>238118160/(10^6)</f>
        <v>238.11816</v>
      </c>
      <c r="E3751" s="5" t="s">
        <v>86</v>
      </c>
      <c r="F3751" s="5">
        <v>5.3194260597229</v>
      </c>
      <c r="G3751" s="5">
        <v>1.73296082019806</v>
      </c>
      <c r="H3751" s="5" t="s">
        <v>86</v>
      </c>
      <c r="I3751" t="s">
        <v>57</v>
      </c>
    </row>
    <row r="3752" spans="1:9">
      <c r="A3752" s="4" t="s">
        <v>7557</v>
      </c>
      <c r="B3752" s="4" t="s">
        <v>7558</v>
      </c>
      <c r="C3752" s="4" t="s">
        <v>51</v>
      </c>
      <c r="D3752" s="2">
        <f>237995600/(10^6)</f>
        <v>237.9956</v>
      </c>
      <c r="E3752" s="5" t="s">
        <v>86</v>
      </c>
      <c r="F3752" s="5">
        <v>0.799770891666412</v>
      </c>
      <c r="G3752" s="5" t="s">
        <v>86</v>
      </c>
      <c r="H3752" s="5" t="s">
        <v>86</v>
      </c>
      <c r="I3752" t="s">
        <v>57</v>
      </c>
    </row>
    <row r="3753" spans="1:9">
      <c r="A3753" s="4" t="s">
        <v>7559</v>
      </c>
      <c r="B3753" s="4" t="s">
        <v>7560</v>
      </c>
      <c r="C3753" s="4" t="s">
        <v>27</v>
      </c>
      <c r="D3753" s="2">
        <f>237970672/(10^6)</f>
        <v>237.970672</v>
      </c>
      <c r="E3753" s="5" t="s">
        <v>86</v>
      </c>
      <c r="F3753" s="5">
        <v>0.035241670906544</v>
      </c>
      <c r="G3753" s="5">
        <v>0.059581317007542</v>
      </c>
      <c r="H3753" s="5">
        <v>8.65115642547607</v>
      </c>
      <c r="I3753" t="s">
        <v>57</v>
      </c>
    </row>
    <row r="3754" spans="1:9">
      <c r="A3754" s="4" t="s">
        <v>7561</v>
      </c>
      <c r="B3754" s="4" t="s">
        <v>7562</v>
      </c>
      <c r="C3754" s="4" t="s">
        <v>41</v>
      </c>
      <c r="D3754" s="2">
        <f>237522896/(10^6)</f>
        <v>237.522896</v>
      </c>
      <c r="E3754" s="5" t="s">
        <v>86</v>
      </c>
      <c r="F3754" s="5" t="s">
        <v>86</v>
      </c>
      <c r="G3754" s="5">
        <v>6.65394592285156</v>
      </c>
      <c r="H3754" s="5" t="s">
        <v>86</v>
      </c>
      <c r="I3754" t="s">
        <v>57</v>
      </c>
    </row>
    <row r="3755" spans="1:9">
      <c r="A3755" s="4" t="s">
        <v>7563</v>
      </c>
      <c r="B3755" s="4" t="s">
        <v>7564</v>
      </c>
      <c r="C3755" s="4" t="s">
        <v>47</v>
      </c>
      <c r="D3755" s="2">
        <f>237092960/(10^6)</f>
        <v>237.09296</v>
      </c>
      <c r="E3755" s="5">
        <v>9.36863803863525</v>
      </c>
      <c r="F3755" s="5">
        <v>1.06841957569122</v>
      </c>
      <c r="G3755" s="5">
        <v>1.40686738491058</v>
      </c>
      <c r="H3755" s="5">
        <v>7.39085340499878</v>
      </c>
      <c r="I3755" t="s">
        <v>57</v>
      </c>
    </row>
    <row r="3756" spans="1:9">
      <c r="A3756" s="4" t="s">
        <v>7565</v>
      </c>
      <c r="B3756" s="4" t="s">
        <v>7566</v>
      </c>
      <c r="C3756" s="4" t="s">
        <v>31</v>
      </c>
      <c r="D3756" s="2">
        <f>236785312/(10^6)</f>
        <v>236.785312</v>
      </c>
      <c r="E3756" s="5">
        <v>13.4013767242432</v>
      </c>
      <c r="F3756" s="5">
        <v>1.98432278633118</v>
      </c>
      <c r="G3756" s="5">
        <v>0.623818695545197</v>
      </c>
      <c r="H3756" s="5">
        <v>7.56395578384399</v>
      </c>
      <c r="I3756" t="s">
        <v>57</v>
      </c>
    </row>
    <row r="3757" spans="1:9">
      <c r="A3757" s="4" t="s">
        <v>7567</v>
      </c>
      <c r="B3757" s="4" t="s">
        <v>7568</v>
      </c>
      <c r="C3757" s="4" t="s">
        <v>47</v>
      </c>
      <c r="D3757" s="2">
        <f>236388352/(10^6)</f>
        <v>236.388352</v>
      </c>
      <c r="E3757" s="5">
        <v>16.7777538299561</v>
      </c>
      <c r="F3757" s="5">
        <v>0.291844874620438</v>
      </c>
      <c r="G3757" s="5">
        <v>0.374015152454376</v>
      </c>
      <c r="H3757" s="5">
        <v>9.79031658172607</v>
      </c>
      <c r="I3757" t="s">
        <v>57</v>
      </c>
    </row>
    <row r="3758" spans="1:9">
      <c r="A3758" s="4" t="s">
        <v>7569</v>
      </c>
      <c r="B3758" s="4" t="s">
        <v>7570</v>
      </c>
      <c r="C3758" s="4" t="s">
        <v>43</v>
      </c>
      <c r="D3758" s="2">
        <f>235665184/(10^6)</f>
        <v>235.665184</v>
      </c>
      <c r="E3758" s="5">
        <v>7.13235282897949</v>
      </c>
      <c r="F3758" s="5">
        <v>0.621779918670654</v>
      </c>
      <c r="G3758" s="5">
        <v>1.75257122516632</v>
      </c>
      <c r="H3758" s="5" t="s">
        <v>86</v>
      </c>
      <c r="I3758" t="s">
        <v>57</v>
      </c>
    </row>
    <row r="3759" spans="1:9">
      <c r="A3759" s="4" t="s">
        <v>7571</v>
      </c>
      <c r="B3759" s="4" t="s">
        <v>7572</v>
      </c>
      <c r="C3759" s="4" t="s">
        <v>43</v>
      </c>
      <c r="D3759" s="2">
        <f>235602944/(10^6)</f>
        <v>235.602944</v>
      </c>
      <c r="E3759" s="5">
        <v>9.24000072479248</v>
      </c>
      <c r="F3759" s="5">
        <v>0.917875826358795</v>
      </c>
      <c r="G3759" s="5">
        <v>2.02384877204895</v>
      </c>
      <c r="H3759" s="5" t="s">
        <v>86</v>
      </c>
      <c r="I3759" t="s">
        <v>57</v>
      </c>
    </row>
    <row r="3760" spans="1:9">
      <c r="A3760" s="4" t="s">
        <v>7573</v>
      </c>
      <c r="B3760" s="4" t="s">
        <v>7574</v>
      </c>
      <c r="C3760" s="4" t="s">
        <v>43</v>
      </c>
      <c r="D3760" s="2">
        <f>235467824/(10^6)</f>
        <v>235.467824</v>
      </c>
      <c r="E3760" s="5">
        <v>10.3446807861328</v>
      </c>
      <c r="F3760" s="5">
        <v>0.965013265609741</v>
      </c>
      <c r="G3760" s="5">
        <v>2.68042254447937</v>
      </c>
      <c r="H3760" s="5" t="s">
        <v>86</v>
      </c>
      <c r="I3760" t="s">
        <v>57</v>
      </c>
    </row>
    <row r="3761" spans="1:9">
      <c r="A3761" s="4" t="s">
        <v>7575</v>
      </c>
      <c r="B3761" s="4" t="s">
        <v>7576</v>
      </c>
      <c r="C3761" s="4" t="s">
        <v>47</v>
      </c>
      <c r="D3761" s="2">
        <f>235360160/(10^6)</f>
        <v>235.36016</v>
      </c>
      <c r="E3761" s="5">
        <v>12.0558137893677</v>
      </c>
      <c r="F3761" s="5">
        <v>0.907581865787506</v>
      </c>
      <c r="G3761" s="5">
        <v>0.31480273604393</v>
      </c>
      <c r="H3761" s="5">
        <v>3.65825271606445</v>
      </c>
      <c r="I3761" t="s">
        <v>57</v>
      </c>
    </row>
    <row r="3762" spans="1:9">
      <c r="A3762" s="4" t="s">
        <v>7577</v>
      </c>
      <c r="B3762" s="4" t="s">
        <v>7578</v>
      </c>
      <c r="C3762" s="4" t="s">
        <v>47</v>
      </c>
      <c r="D3762" s="2">
        <f>235360160/(10^6)</f>
        <v>235.36016</v>
      </c>
      <c r="E3762" s="5">
        <v>12.0558137893677</v>
      </c>
      <c r="F3762" s="5">
        <v>0.907581865787506</v>
      </c>
      <c r="G3762" s="5">
        <v>0.31480273604393</v>
      </c>
      <c r="H3762" s="5">
        <v>3.65825271606445</v>
      </c>
      <c r="I3762" t="s">
        <v>57</v>
      </c>
    </row>
    <row r="3763" spans="1:9">
      <c r="A3763" s="4" t="s">
        <v>7579</v>
      </c>
      <c r="B3763" s="4" t="s">
        <v>7580</v>
      </c>
      <c r="C3763" s="4" t="s">
        <v>47</v>
      </c>
      <c r="D3763" s="2">
        <f>235102192/(10^6)</f>
        <v>235.102192</v>
      </c>
      <c r="E3763" s="5">
        <v>2.305739402771</v>
      </c>
      <c r="F3763" s="5">
        <v>0.363955765962601</v>
      </c>
      <c r="G3763" s="5">
        <v>0.078944802284241</v>
      </c>
      <c r="H3763" s="5">
        <v>6.80299282073975</v>
      </c>
      <c r="I3763" t="s">
        <v>57</v>
      </c>
    </row>
    <row r="3764" spans="1:9">
      <c r="A3764" s="4" t="s">
        <v>7581</v>
      </c>
      <c r="B3764" s="4" t="s">
        <v>7582</v>
      </c>
      <c r="C3764" s="4" t="s">
        <v>43</v>
      </c>
      <c r="D3764" s="2">
        <f>234481808/(10^6)</f>
        <v>234.481808</v>
      </c>
      <c r="E3764" s="5" t="s">
        <v>86</v>
      </c>
      <c r="F3764" s="5">
        <v>0.496072113513947</v>
      </c>
      <c r="G3764" s="5" t="s">
        <v>86</v>
      </c>
      <c r="H3764" s="5" t="s">
        <v>86</v>
      </c>
      <c r="I3764" t="s">
        <v>57</v>
      </c>
    </row>
    <row r="3765" spans="1:9">
      <c r="A3765" s="4" t="s">
        <v>7583</v>
      </c>
      <c r="B3765" s="4" t="s">
        <v>7584</v>
      </c>
      <c r="C3765" s="4" t="s">
        <v>47</v>
      </c>
      <c r="D3765" s="2">
        <f>234049920/(10^6)</f>
        <v>234.04992</v>
      </c>
      <c r="E3765" s="5">
        <v>56.9044380187988</v>
      </c>
      <c r="F3765" s="5" t="s">
        <v>86</v>
      </c>
      <c r="G3765" s="5">
        <v>2.2552375793457</v>
      </c>
      <c r="H3765" s="5">
        <v>11.0596923828125</v>
      </c>
      <c r="I3765" t="s">
        <v>57</v>
      </c>
    </row>
    <row r="3766" spans="1:9">
      <c r="A3766" s="4" t="s">
        <v>7585</v>
      </c>
      <c r="B3766" s="4" t="s">
        <v>7586</v>
      </c>
      <c r="C3766" s="4" t="s">
        <v>47</v>
      </c>
      <c r="D3766" s="2">
        <f>233669952/(10^6)</f>
        <v>233.669952</v>
      </c>
      <c r="E3766" s="5">
        <v>3.17220759391785</v>
      </c>
      <c r="F3766" s="5">
        <v>0.849458634853363</v>
      </c>
      <c r="G3766" s="5">
        <v>0.257830619812012</v>
      </c>
      <c r="H3766" s="5">
        <v>21.9167404174805</v>
      </c>
      <c r="I3766" t="s">
        <v>57</v>
      </c>
    </row>
    <row r="3767" spans="1:9">
      <c r="A3767" s="4" t="s">
        <v>7587</v>
      </c>
      <c r="B3767" s="4" t="s">
        <v>7588</v>
      </c>
      <c r="C3767" s="4" t="s">
        <v>31</v>
      </c>
      <c r="D3767" s="2">
        <f>233607264/(10^6)</f>
        <v>233.607264</v>
      </c>
      <c r="E3767" s="5">
        <v>10.1893444061279</v>
      </c>
      <c r="F3767" s="5">
        <v>0.864593148231506</v>
      </c>
      <c r="G3767" s="5">
        <v>0.525783956050873</v>
      </c>
      <c r="H3767" s="5">
        <v>5.47308254241943</v>
      </c>
      <c r="I3767" t="s">
        <v>57</v>
      </c>
    </row>
    <row r="3768" spans="1:9">
      <c r="A3768" s="4" t="s">
        <v>7589</v>
      </c>
      <c r="B3768" s="4" t="s">
        <v>7590</v>
      </c>
      <c r="C3768" s="4" t="s">
        <v>31</v>
      </c>
      <c r="D3768" s="2">
        <f>232802912/(10^6)</f>
        <v>232.802912</v>
      </c>
      <c r="E3768" s="5" t="s">
        <v>86</v>
      </c>
      <c r="F3768" s="5">
        <v>0.238126486539841</v>
      </c>
      <c r="G3768" s="5">
        <v>0.598342776298523</v>
      </c>
      <c r="H3768" s="5">
        <v>12.4560422897339</v>
      </c>
      <c r="I3768" t="s">
        <v>57</v>
      </c>
    </row>
    <row r="3769" spans="1:9">
      <c r="A3769" s="4" t="s">
        <v>7591</v>
      </c>
      <c r="B3769" s="4" t="s">
        <v>7592</v>
      </c>
      <c r="C3769" s="4" t="s">
        <v>43</v>
      </c>
      <c r="D3769" s="2">
        <f>232731872/(10^6)</f>
        <v>232.731872</v>
      </c>
      <c r="E3769" s="5">
        <v>7</v>
      </c>
      <c r="F3769" s="5">
        <v>0.711224555969238</v>
      </c>
      <c r="G3769" s="5">
        <v>1.82766246795654</v>
      </c>
      <c r="H3769" s="5" t="s">
        <v>86</v>
      </c>
      <c r="I3769" t="s">
        <v>57</v>
      </c>
    </row>
    <row r="3770" spans="1:9">
      <c r="A3770" s="4" t="s">
        <v>7593</v>
      </c>
      <c r="B3770" s="4" t="s">
        <v>7594</v>
      </c>
      <c r="C3770" s="4" t="s">
        <v>41</v>
      </c>
      <c r="D3770" s="2">
        <f>232280768/(10^6)</f>
        <v>232.280768</v>
      </c>
      <c r="E3770" s="5" t="s">
        <v>86</v>
      </c>
      <c r="F3770" s="5">
        <v>35.4678649902344</v>
      </c>
      <c r="G3770" s="5">
        <v>1296.40112304688</v>
      </c>
      <c r="H3770" s="5" t="s">
        <v>86</v>
      </c>
      <c r="I3770" t="s">
        <v>57</v>
      </c>
    </row>
    <row r="3771" spans="1:9">
      <c r="A3771" s="4" t="s">
        <v>7595</v>
      </c>
      <c r="B3771" s="4" t="s">
        <v>7596</v>
      </c>
      <c r="C3771" s="4" t="s">
        <v>39</v>
      </c>
      <c r="D3771" s="2">
        <f>232168464/(10^6)</f>
        <v>232.168464</v>
      </c>
      <c r="E3771" s="5">
        <v>23.7352561950684</v>
      </c>
      <c r="F3771" s="5">
        <v>2.89500546455383</v>
      </c>
      <c r="G3771" s="5">
        <v>8.35840511322021</v>
      </c>
      <c r="H3771" s="5">
        <v>43.771240234375</v>
      </c>
      <c r="I3771" t="s">
        <v>57</v>
      </c>
    </row>
    <row r="3772" spans="1:9">
      <c r="A3772" s="4" t="s">
        <v>7597</v>
      </c>
      <c r="B3772" s="4" t="s">
        <v>7598</v>
      </c>
      <c r="C3772" s="4" t="s">
        <v>43</v>
      </c>
      <c r="D3772" s="2">
        <f>231504480/(10^6)</f>
        <v>231.50448</v>
      </c>
      <c r="E3772" s="5">
        <v>25.6357479095459</v>
      </c>
      <c r="F3772" s="5">
        <v>0.850491225719452</v>
      </c>
      <c r="G3772" s="5">
        <v>3.52505683898926</v>
      </c>
      <c r="H3772" s="5" t="s">
        <v>86</v>
      </c>
      <c r="I3772" t="s">
        <v>57</v>
      </c>
    </row>
    <row r="3773" spans="1:9">
      <c r="A3773" s="4" t="s">
        <v>7599</v>
      </c>
      <c r="B3773" s="4" t="s">
        <v>7600</v>
      </c>
      <c r="C3773" s="4" t="s">
        <v>43</v>
      </c>
      <c r="D3773" s="2">
        <f>231289840/(10^6)</f>
        <v>231.28984</v>
      </c>
      <c r="E3773" s="5">
        <v>7.21276617050171</v>
      </c>
      <c r="F3773" s="5">
        <v>1.06324124336243</v>
      </c>
      <c r="G3773" s="5">
        <v>2.41350197792053</v>
      </c>
      <c r="H3773" s="5" t="s">
        <v>86</v>
      </c>
      <c r="I3773" t="s">
        <v>57</v>
      </c>
    </row>
    <row r="3774" spans="1:9">
      <c r="A3774" s="4" t="s">
        <v>7601</v>
      </c>
      <c r="B3774" s="4" t="s">
        <v>7602</v>
      </c>
      <c r="C3774" s="4" t="s">
        <v>43</v>
      </c>
      <c r="D3774" s="2">
        <f>230828640/(10^6)</f>
        <v>230.82864</v>
      </c>
      <c r="E3774" s="5">
        <v>3.80946087837219</v>
      </c>
      <c r="F3774" s="5">
        <v>0.308413535356522</v>
      </c>
      <c r="G3774" s="5">
        <v>0.269724071025848</v>
      </c>
      <c r="H3774" s="5">
        <v>6.12670183181763</v>
      </c>
      <c r="I3774" t="s">
        <v>57</v>
      </c>
    </row>
    <row r="3775" spans="1:9">
      <c r="A3775" s="4" t="s">
        <v>7603</v>
      </c>
      <c r="B3775" s="4" t="s">
        <v>7604</v>
      </c>
      <c r="C3775" s="4" t="s">
        <v>27</v>
      </c>
      <c r="D3775" s="2">
        <f>230791008/(10^6)</f>
        <v>230.791008</v>
      </c>
      <c r="E3775" s="5">
        <v>0.841257154941559</v>
      </c>
      <c r="F3775" s="5">
        <v>0.073243007063866</v>
      </c>
      <c r="G3775" s="5">
        <v>0.203463777899742</v>
      </c>
      <c r="H3775" s="5">
        <v>7.85593175888062</v>
      </c>
      <c r="I3775" t="s">
        <v>57</v>
      </c>
    </row>
    <row r="3776" spans="1:9">
      <c r="A3776" s="4" t="s">
        <v>7605</v>
      </c>
      <c r="B3776" s="4" t="s">
        <v>7606</v>
      </c>
      <c r="C3776" s="4" t="s">
        <v>41</v>
      </c>
      <c r="D3776" s="2">
        <f>230614320/(10^6)</f>
        <v>230.61432</v>
      </c>
      <c r="E3776" s="5" t="s">
        <v>86</v>
      </c>
      <c r="F3776" s="5">
        <v>14.3157529830933</v>
      </c>
      <c r="G3776" s="5" t="s">
        <v>86</v>
      </c>
      <c r="H3776" s="5" t="s">
        <v>86</v>
      </c>
      <c r="I3776" t="s">
        <v>57</v>
      </c>
    </row>
    <row r="3777" spans="1:9">
      <c r="A3777" s="4" t="s">
        <v>7607</v>
      </c>
      <c r="B3777" s="4" t="s">
        <v>7608</v>
      </c>
      <c r="C3777" s="4" t="s">
        <v>43</v>
      </c>
      <c r="D3777" s="2">
        <f>230434912/(10^6)</f>
        <v>230.434912</v>
      </c>
      <c r="E3777" s="5">
        <v>9.37356472015381</v>
      </c>
      <c r="F3777" s="5">
        <v>1.01597321033478</v>
      </c>
      <c r="G3777" s="5">
        <v>2.08205962181091</v>
      </c>
      <c r="H3777" s="5" t="s">
        <v>86</v>
      </c>
      <c r="I3777" t="s">
        <v>57</v>
      </c>
    </row>
    <row r="3778" spans="1:9">
      <c r="A3778" s="4" t="s">
        <v>7609</v>
      </c>
      <c r="B3778" s="4" t="s">
        <v>7610</v>
      </c>
      <c r="C3778" s="4" t="s">
        <v>47</v>
      </c>
      <c r="D3778" s="2">
        <f>230425120/(10^6)</f>
        <v>230.42512</v>
      </c>
      <c r="E3778" s="5">
        <v>39.3461112976074</v>
      </c>
      <c r="F3778" s="5">
        <v>0.810425758361816</v>
      </c>
      <c r="G3778" s="5">
        <v>0.446083188056946</v>
      </c>
      <c r="H3778" s="5">
        <v>10.2744989395142</v>
      </c>
      <c r="I3778" t="s">
        <v>57</v>
      </c>
    </row>
    <row r="3779" spans="1:9">
      <c r="A3779" s="4" t="s">
        <v>7611</v>
      </c>
      <c r="B3779" s="4" t="s">
        <v>7612</v>
      </c>
      <c r="C3779" s="4" t="s">
        <v>27</v>
      </c>
      <c r="D3779" s="2">
        <f>230413472/(10^6)</f>
        <v>230.413472</v>
      </c>
      <c r="E3779" s="5">
        <v>0.826153516769409</v>
      </c>
      <c r="F3779" s="5">
        <v>0.244056209921837</v>
      </c>
      <c r="G3779" s="5">
        <v>0.108087204396725</v>
      </c>
      <c r="H3779" s="5">
        <v>0.652257323265076</v>
      </c>
      <c r="I3779" t="s">
        <v>57</v>
      </c>
    </row>
    <row r="3780" spans="1:9">
      <c r="A3780" s="4" t="s">
        <v>7613</v>
      </c>
      <c r="B3780" s="4" t="s">
        <v>7614</v>
      </c>
      <c r="C3780" s="4" t="s">
        <v>35</v>
      </c>
      <c r="D3780" s="2">
        <f>230185856/(10^6)</f>
        <v>230.185856</v>
      </c>
      <c r="E3780" s="5" t="s">
        <v>86</v>
      </c>
      <c r="F3780" s="5">
        <v>1.16337740421295</v>
      </c>
      <c r="G3780" s="5">
        <v>1.32409274578095</v>
      </c>
      <c r="H3780" s="5" t="s">
        <v>86</v>
      </c>
      <c r="I3780" t="s">
        <v>57</v>
      </c>
    </row>
    <row r="3781" spans="1:9">
      <c r="A3781" s="4" t="s">
        <v>7615</v>
      </c>
      <c r="B3781" s="4" t="s">
        <v>7616</v>
      </c>
      <c r="C3781" s="4" t="s">
        <v>49</v>
      </c>
      <c r="D3781" s="2">
        <f>230000000/(10^6)</f>
        <v>230</v>
      </c>
      <c r="E3781" s="5">
        <v>84.2310943603516</v>
      </c>
      <c r="F3781" s="5">
        <v>0.296469449996948</v>
      </c>
      <c r="G3781" s="5" t="s">
        <v>86</v>
      </c>
      <c r="H3781" s="5" t="s">
        <v>86</v>
      </c>
      <c r="I3781" t="s">
        <v>57</v>
      </c>
    </row>
    <row r="3782" spans="1:9">
      <c r="A3782" s="4" t="s">
        <v>7617</v>
      </c>
      <c r="B3782" s="4" t="s">
        <v>7618</v>
      </c>
      <c r="C3782" s="4" t="s">
        <v>39</v>
      </c>
      <c r="D3782" s="2">
        <f>229370688/(10^6)</f>
        <v>229.370688</v>
      </c>
      <c r="E3782" s="5">
        <v>3.22779297828674</v>
      </c>
      <c r="F3782" s="5">
        <v>4.65245056152344</v>
      </c>
      <c r="G3782" s="5">
        <v>0.114399239420891</v>
      </c>
      <c r="H3782" s="5">
        <v>6.21268749237061</v>
      </c>
      <c r="I3782" t="s">
        <v>57</v>
      </c>
    </row>
    <row r="3783" spans="1:9">
      <c r="A3783" s="4" t="s">
        <v>7619</v>
      </c>
      <c r="B3783" s="4" t="s">
        <v>7620</v>
      </c>
      <c r="C3783" s="4" t="s">
        <v>49</v>
      </c>
      <c r="D3783" s="2">
        <f>229048016/(10^6)</f>
        <v>229.048016</v>
      </c>
      <c r="E3783" s="5">
        <v>115.09595489502</v>
      </c>
      <c r="F3783" s="5">
        <v>0.290600568056107</v>
      </c>
      <c r="G3783" s="5" t="s">
        <v>86</v>
      </c>
      <c r="H3783" s="5" t="s">
        <v>86</v>
      </c>
      <c r="I3783" t="s">
        <v>57</v>
      </c>
    </row>
    <row r="3784" spans="1:9">
      <c r="A3784" s="4" t="s">
        <v>7621</v>
      </c>
      <c r="B3784" s="4" t="s">
        <v>7622</v>
      </c>
      <c r="C3784" s="4" t="s">
        <v>35</v>
      </c>
      <c r="D3784" s="2">
        <f>228929424/(10^6)</f>
        <v>228.929424</v>
      </c>
      <c r="E3784" s="5" t="s">
        <v>86</v>
      </c>
      <c r="F3784" s="5">
        <v>0.883638501167297</v>
      </c>
      <c r="G3784" s="5">
        <v>0.386692076921463</v>
      </c>
      <c r="H3784" s="5">
        <v>28.2760810852051</v>
      </c>
      <c r="I3784" t="s">
        <v>57</v>
      </c>
    </row>
    <row r="3785" spans="1:9">
      <c r="A3785" s="4" t="s">
        <v>7623</v>
      </c>
      <c r="B3785" s="4" t="s">
        <v>7624</v>
      </c>
      <c r="C3785" s="4" t="s">
        <v>31</v>
      </c>
      <c r="D3785" s="2">
        <f>228599136/(10^6)</f>
        <v>228.599136</v>
      </c>
      <c r="E3785" s="5">
        <v>47.2541275024414</v>
      </c>
      <c r="F3785" s="5">
        <v>1.36085188388825</v>
      </c>
      <c r="G3785" s="5">
        <v>0.499501317739487</v>
      </c>
      <c r="H3785" s="5">
        <v>12.6480569839478</v>
      </c>
      <c r="I3785" t="s">
        <v>57</v>
      </c>
    </row>
    <row r="3786" spans="1:9">
      <c r="A3786" s="4" t="s">
        <v>7625</v>
      </c>
      <c r="B3786" s="4" t="s">
        <v>7626</v>
      </c>
      <c r="C3786" s="4" t="s">
        <v>41</v>
      </c>
      <c r="D3786" s="2">
        <f>227792752/(10^6)</f>
        <v>227.792752</v>
      </c>
      <c r="E3786" s="5" t="s">
        <v>86</v>
      </c>
      <c r="F3786" s="5">
        <v>1.36307787895203</v>
      </c>
      <c r="G3786" s="5">
        <v>0.269205033779144</v>
      </c>
      <c r="H3786" s="5">
        <v>37.7636260986328</v>
      </c>
      <c r="I3786" t="s">
        <v>57</v>
      </c>
    </row>
    <row r="3787" spans="1:9">
      <c r="A3787" s="4" t="s">
        <v>7627</v>
      </c>
      <c r="B3787" s="4" t="s">
        <v>7628</v>
      </c>
      <c r="C3787" s="4" t="s">
        <v>47</v>
      </c>
      <c r="D3787" s="2">
        <f>227786576/(10^6)</f>
        <v>227.786576</v>
      </c>
      <c r="E3787" s="5">
        <v>21.1055030822754</v>
      </c>
      <c r="F3787" s="5">
        <v>4.50320720672607</v>
      </c>
      <c r="G3787" s="5">
        <v>0.490663856267929</v>
      </c>
      <c r="H3787" s="5">
        <v>5.76580667495728</v>
      </c>
      <c r="I3787" t="s">
        <v>57</v>
      </c>
    </row>
    <row r="3788" spans="1:9">
      <c r="A3788" s="4" t="s">
        <v>7629</v>
      </c>
      <c r="B3788" s="4" t="s">
        <v>7630</v>
      </c>
      <c r="C3788" s="4" t="s">
        <v>31</v>
      </c>
      <c r="D3788" s="2">
        <f>227755888/(10^6)</f>
        <v>227.755888</v>
      </c>
      <c r="E3788" s="5">
        <v>23.8296127319336</v>
      </c>
      <c r="F3788" s="5">
        <v>1.41316020488739</v>
      </c>
      <c r="G3788" s="5">
        <v>3.71341037750244</v>
      </c>
      <c r="H3788" s="5">
        <v>6.55356311798096</v>
      </c>
      <c r="I3788" t="s">
        <v>57</v>
      </c>
    </row>
    <row r="3789" spans="1:9">
      <c r="A3789" s="4" t="s">
        <v>7631</v>
      </c>
      <c r="B3789" s="4" t="s">
        <v>7632</v>
      </c>
      <c r="C3789" s="4" t="s">
        <v>49</v>
      </c>
      <c r="D3789" s="2">
        <f>227700000/(10^6)</f>
        <v>227.7</v>
      </c>
      <c r="E3789" s="5" t="s">
        <v>86</v>
      </c>
      <c r="F3789" s="5">
        <v>0.307493954896927</v>
      </c>
      <c r="G3789" s="5" t="s">
        <v>86</v>
      </c>
      <c r="H3789" s="5" t="s">
        <v>86</v>
      </c>
      <c r="I3789" t="s">
        <v>57</v>
      </c>
    </row>
    <row r="3790" spans="1:9">
      <c r="A3790" s="4" t="s">
        <v>7633</v>
      </c>
      <c r="B3790" s="4" t="s">
        <v>7634</v>
      </c>
      <c r="C3790" s="4" t="s">
        <v>41</v>
      </c>
      <c r="D3790" s="2">
        <f>227292000/(10^6)</f>
        <v>227.292</v>
      </c>
      <c r="E3790" s="5" t="s">
        <v>86</v>
      </c>
      <c r="F3790" s="5" t="s">
        <v>86</v>
      </c>
      <c r="G3790" s="5" t="s">
        <v>86</v>
      </c>
      <c r="H3790" s="5" t="s">
        <v>86</v>
      </c>
      <c r="I3790" t="s">
        <v>57</v>
      </c>
    </row>
    <row r="3791" spans="1:9">
      <c r="A3791" s="4" t="s">
        <v>7635</v>
      </c>
      <c r="B3791" s="4" t="s">
        <v>7636</v>
      </c>
      <c r="C3791" s="4" t="s">
        <v>31</v>
      </c>
      <c r="D3791" s="2">
        <f>226244160/(10^6)</f>
        <v>226.24416</v>
      </c>
      <c r="E3791" s="5">
        <v>6.54095935821533</v>
      </c>
      <c r="F3791" s="5">
        <v>0.659529685974121</v>
      </c>
      <c r="G3791" s="5">
        <v>0.179883256554604</v>
      </c>
      <c r="H3791" s="5">
        <v>4.15709257125854</v>
      </c>
      <c r="I3791" t="s">
        <v>57</v>
      </c>
    </row>
    <row r="3792" spans="1:9">
      <c r="A3792" s="4" t="s">
        <v>7637</v>
      </c>
      <c r="B3792" s="4" t="s">
        <v>7638</v>
      </c>
      <c r="C3792" s="4" t="s">
        <v>43</v>
      </c>
      <c r="D3792" s="2">
        <f>226194080/(10^6)</f>
        <v>226.19408</v>
      </c>
      <c r="E3792" s="5">
        <v>6.43330907821655</v>
      </c>
      <c r="F3792" s="5">
        <v>0.868423700332642</v>
      </c>
      <c r="G3792" s="5">
        <v>1.71856009960175</v>
      </c>
      <c r="H3792" s="5" t="s">
        <v>86</v>
      </c>
      <c r="I3792" t="s">
        <v>57</v>
      </c>
    </row>
    <row r="3793" spans="1:9">
      <c r="A3793" s="4" t="s">
        <v>7639</v>
      </c>
      <c r="B3793" s="4" t="s">
        <v>7640</v>
      </c>
      <c r="C3793" s="4" t="s">
        <v>41</v>
      </c>
      <c r="D3793" s="2">
        <f>226138912/(10^6)</f>
        <v>226.138912</v>
      </c>
      <c r="E3793" s="5" t="s">
        <v>86</v>
      </c>
      <c r="F3793" s="5">
        <v>2.31251883506775</v>
      </c>
      <c r="G3793" s="5">
        <v>5.26071453094482</v>
      </c>
      <c r="H3793" s="5" t="s">
        <v>86</v>
      </c>
      <c r="I3793" t="s">
        <v>57</v>
      </c>
    </row>
    <row r="3794" spans="1:9">
      <c r="A3794" s="4" t="s">
        <v>7641</v>
      </c>
      <c r="B3794" s="4" t="s">
        <v>7642</v>
      </c>
      <c r="C3794" s="4" t="s">
        <v>49</v>
      </c>
      <c r="D3794" s="2">
        <f>225400000/(10^6)</f>
        <v>225.4</v>
      </c>
      <c r="E3794" s="5" t="s">
        <v>86</v>
      </c>
      <c r="F3794" s="5">
        <v>0.053757447749376</v>
      </c>
      <c r="G3794" s="5" t="s">
        <v>86</v>
      </c>
      <c r="H3794" s="5" t="s">
        <v>86</v>
      </c>
      <c r="I3794" t="s">
        <v>57</v>
      </c>
    </row>
    <row r="3795" spans="1:9">
      <c r="A3795" s="4" t="s">
        <v>7643</v>
      </c>
      <c r="B3795" s="4" t="s">
        <v>7644</v>
      </c>
      <c r="C3795" s="4" t="s">
        <v>47</v>
      </c>
      <c r="D3795" s="2">
        <f>225342560/(10^6)</f>
        <v>225.34256</v>
      </c>
      <c r="E3795" s="5">
        <v>5.27244091033936</v>
      </c>
      <c r="F3795" s="5">
        <v>0.417835682630539</v>
      </c>
      <c r="G3795" s="5">
        <v>0.102311924099922</v>
      </c>
      <c r="H3795" s="5" t="s">
        <v>86</v>
      </c>
      <c r="I3795" t="s">
        <v>57</v>
      </c>
    </row>
    <row r="3796" spans="1:9">
      <c r="A3796" s="4" t="s">
        <v>7645</v>
      </c>
      <c r="B3796" s="4" t="s">
        <v>7646</v>
      </c>
      <c r="C3796" s="4" t="s">
        <v>41</v>
      </c>
      <c r="D3796" s="2">
        <f>225033040/(10^6)</f>
        <v>225.03304</v>
      </c>
      <c r="E3796" s="5" t="s">
        <v>86</v>
      </c>
      <c r="F3796" s="5" t="s">
        <v>86</v>
      </c>
      <c r="G3796" s="5">
        <v>3.27919554710388</v>
      </c>
      <c r="H3796" s="5" t="s">
        <v>86</v>
      </c>
      <c r="I3796" t="s">
        <v>57</v>
      </c>
    </row>
    <row r="3797" spans="1:9">
      <c r="A3797" s="4" t="s">
        <v>7647</v>
      </c>
      <c r="B3797" s="4" t="s">
        <v>7648</v>
      </c>
      <c r="C3797" s="4" t="s">
        <v>41</v>
      </c>
      <c r="D3797" s="2">
        <f>224125232/(10^6)</f>
        <v>224.125232</v>
      </c>
      <c r="E3797" s="5" t="s">
        <v>86</v>
      </c>
      <c r="F3797" s="5">
        <v>3.21871662139893</v>
      </c>
      <c r="G3797" s="5" t="s">
        <v>86</v>
      </c>
      <c r="H3797" s="5" t="s">
        <v>86</v>
      </c>
      <c r="I3797" t="s">
        <v>57</v>
      </c>
    </row>
    <row r="3798" spans="1:9">
      <c r="A3798" s="4" t="s">
        <v>7649</v>
      </c>
      <c r="B3798" s="4" t="s">
        <v>7650</v>
      </c>
      <c r="C3798" s="4" t="s">
        <v>41</v>
      </c>
      <c r="D3798" s="2">
        <f>224096256/(10^6)</f>
        <v>224.096256</v>
      </c>
      <c r="E3798" s="5" t="s">
        <v>86</v>
      </c>
      <c r="F3798" s="5">
        <v>2.08501601219177</v>
      </c>
      <c r="G3798" s="5" t="s">
        <v>86</v>
      </c>
      <c r="H3798" s="5" t="s">
        <v>86</v>
      </c>
      <c r="I3798" t="s">
        <v>57</v>
      </c>
    </row>
    <row r="3799" spans="1:9">
      <c r="A3799" s="4" t="s">
        <v>7651</v>
      </c>
      <c r="B3799" s="4" t="s">
        <v>7652</v>
      </c>
      <c r="C3799" s="4" t="s">
        <v>33</v>
      </c>
      <c r="D3799" s="2">
        <f>223731552/(10^6)</f>
        <v>223.731552</v>
      </c>
      <c r="E3799" s="5">
        <v>1.67687809467316</v>
      </c>
      <c r="F3799" s="5">
        <v>0.259557515382767</v>
      </c>
      <c r="G3799" s="5">
        <v>0.148602277040482</v>
      </c>
      <c r="H3799" s="5" t="s">
        <v>86</v>
      </c>
      <c r="I3799" t="s">
        <v>57</v>
      </c>
    </row>
    <row r="3800" spans="1:9">
      <c r="A3800" s="4" t="s">
        <v>7653</v>
      </c>
      <c r="B3800" s="4" t="s">
        <v>7654</v>
      </c>
      <c r="C3800" s="4" t="s">
        <v>49</v>
      </c>
      <c r="D3800" s="2">
        <f>223387536/(10^6)</f>
        <v>223.387536</v>
      </c>
      <c r="E3800" s="5">
        <v>243.05973815918</v>
      </c>
      <c r="F3800" s="5">
        <v>0.313315957784653</v>
      </c>
      <c r="G3800" s="5" t="s">
        <v>86</v>
      </c>
      <c r="H3800" s="5" t="s">
        <v>86</v>
      </c>
      <c r="I3800" t="s">
        <v>57</v>
      </c>
    </row>
    <row r="3801" spans="1:9">
      <c r="A3801" s="4" t="s">
        <v>7655</v>
      </c>
      <c r="B3801" s="4" t="s">
        <v>7656</v>
      </c>
      <c r="C3801" s="4" t="s">
        <v>49</v>
      </c>
      <c r="D3801" s="2">
        <f>223022800/(10^6)</f>
        <v>223.0228</v>
      </c>
      <c r="E3801" s="5">
        <v>170.130432128906</v>
      </c>
      <c r="F3801" s="5">
        <v>0.305167675018311</v>
      </c>
      <c r="G3801" s="5" t="s">
        <v>86</v>
      </c>
      <c r="H3801" s="5" t="s">
        <v>86</v>
      </c>
      <c r="I3801" t="s">
        <v>57</v>
      </c>
    </row>
    <row r="3802" spans="1:9">
      <c r="A3802" s="4" t="s">
        <v>7657</v>
      </c>
      <c r="B3802" s="4" t="s">
        <v>7658</v>
      </c>
      <c r="C3802" s="4" t="s">
        <v>41</v>
      </c>
      <c r="D3802" s="2">
        <f>222540224/(10^6)</f>
        <v>222.540224</v>
      </c>
      <c r="E3802" s="5">
        <v>23.9570293426514</v>
      </c>
      <c r="F3802" s="5">
        <v>3.95625877380371</v>
      </c>
      <c r="G3802" s="5">
        <v>5.47529315948486</v>
      </c>
      <c r="H3802" s="5">
        <v>17.4036693572998</v>
      </c>
      <c r="I3802" t="s">
        <v>57</v>
      </c>
    </row>
    <row r="3803" spans="1:9">
      <c r="A3803" s="4" t="s">
        <v>7659</v>
      </c>
      <c r="B3803" s="4" t="s">
        <v>7660</v>
      </c>
      <c r="C3803" s="4" t="s">
        <v>43</v>
      </c>
      <c r="D3803" s="2">
        <f>221960368/(10^6)</f>
        <v>221.960368</v>
      </c>
      <c r="E3803" s="5">
        <v>7.53239440917969</v>
      </c>
      <c r="F3803" s="5">
        <v>0.743135452270508</v>
      </c>
      <c r="G3803" s="5">
        <v>1.55602705478668</v>
      </c>
      <c r="H3803" s="5" t="s">
        <v>86</v>
      </c>
      <c r="I3803" t="s">
        <v>57</v>
      </c>
    </row>
    <row r="3804" spans="1:9">
      <c r="A3804" s="4" t="s">
        <v>7661</v>
      </c>
      <c r="B3804" s="4" t="s">
        <v>7662</v>
      </c>
      <c r="C3804" s="4" t="s">
        <v>43</v>
      </c>
      <c r="D3804" s="2">
        <f>221908416/(10^6)</f>
        <v>221.908416</v>
      </c>
      <c r="E3804" s="5">
        <v>7.28297996520996</v>
      </c>
      <c r="F3804" s="5">
        <v>0.723961055278778</v>
      </c>
      <c r="G3804" s="5">
        <v>1.12944602966309</v>
      </c>
      <c r="H3804" s="5" t="s">
        <v>86</v>
      </c>
      <c r="I3804" t="s">
        <v>57</v>
      </c>
    </row>
    <row r="3805" spans="1:9">
      <c r="A3805" s="4" t="s">
        <v>7663</v>
      </c>
      <c r="B3805" s="4" t="s">
        <v>7664</v>
      </c>
      <c r="C3805" s="4" t="s">
        <v>43</v>
      </c>
      <c r="D3805" s="2">
        <f>221703696/(10^6)</f>
        <v>221.703696</v>
      </c>
      <c r="E3805" s="5">
        <v>7.33713293075562</v>
      </c>
      <c r="F3805" s="5">
        <v>0.890457451343536</v>
      </c>
      <c r="G3805" s="5">
        <v>1.84455990791321</v>
      </c>
      <c r="H3805" s="5" t="s">
        <v>86</v>
      </c>
      <c r="I3805" t="s">
        <v>57</v>
      </c>
    </row>
    <row r="3806" spans="1:9">
      <c r="A3806" s="4" t="s">
        <v>7665</v>
      </c>
      <c r="B3806" s="4" t="s">
        <v>7666</v>
      </c>
      <c r="C3806" s="4" t="s">
        <v>41</v>
      </c>
      <c r="D3806" s="2">
        <f>221650352/(10^6)</f>
        <v>221.650352</v>
      </c>
      <c r="E3806" s="5" t="s">
        <v>86</v>
      </c>
      <c r="F3806" s="5">
        <v>1.35399782657623</v>
      </c>
      <c r="G3806" s="5">
        <v>4.33038473129272</v>
      </c>
      <c r="H3806" s="5" t="s">
        <v>86</v>
      </c>
      <c r="I3806" t="s">
        <v>57</v>
      </c>
    </row>
    <row r="3807" spans="1:9">
      <c r="A3807" s="4" t="s">
        <v>7667</v>
      </c>
      <c r="B3807" s="4" t="s">
        <v>7668</v>
      </c>
      <c r="C3807" s="4" t="s">
        <v>41</v>
      </c>
      <c r="D3807" s="2">
        <f>221628976/(10^6)</f>
        <v>221.628976</v>
      </c>
      <c r="E3807" s="5" t="s">
        <v>86</v>
      </c>
      <c r="F3807" s="5" t="s">
        <v>86</v>
      </c>
      <c r="G3807" s="5" t="s">
        <v>86</v>
      </c>
      <c r="H3807" s="5" t="s">
        <v>86</v>
      </c>
      <c r="I3807" t="s">
        <v>57</v>
      </c>
    </row>
    <row r="3808" spans="1:9">
      <c r="A3808" s="4" t="s">
        <v>7669</v>
      </c>
      <c r="B3808" s="4" t="s">
        <v>7670</v>
      </c>
      <c r="C3808" s="4" t="s">
        <v>43</v>
      </c>
      <c r="D3808" s="2">
        <f>220863600/(10^6)</f>
        <v>220.8636</v>
      </c>
      <c r="E3808" s="5">
        <v>17.650951385498</v>
      </c>
      <c r="F3808" s="5">
        <v>0.644989609718323</v>
      </c>
      <c r="G3808" s="5">
        <v>1.62348854541779</v>
      </c>
      <c r="H3808" s="5" t="s">
        <v>86</v>
      </c>
      <c r="I3808" t="s">
        <v>57</v>
      </c>
    </row>
    <row r="3809" spans="1:9">
      <c r="A3809" s="4" t="s">
        <v>7671</v>
      </c>
      <c r="B3809" s="4" t="s">
        <v>7672</v>
      </c>
      <c r="C3809" s="4" t="s">
        <v>49</v>
      </c>
      <c r="D3809" s="2">
        <f>220497504/(10^6)</f>
        <v>220.497504</v>
      </c>
      <c r="E3809" s="5" t="s">
        <v>86</v>
      </c>
      <c r="F3809" s="5" t="s">
        <v>86</v>
      </c>
      <c r="G3809" s="5" t="s">
        <v>86</v>
      </c>
      <c r="H3809" s="5" t="s">
        <v>86</v>
      </c>
      <c r="I3809" t="s">
        <v>57</v>
      </c>
    </row>
    <row r="3810" spans="1:9">
      <c r="A3810" s="4" t="s">
        <v>7673</v>
      </c>
      <c r="B3810" s="4" t="s">
        <v>7674</v>
      </c>
      <c r="C3810" s="4" t="s">
        <v>39</v>
      </c>
      <c r="D3810" s="2">
        <f>220190224/(10^6)</f>
        <v>220.190224</v>
      </c>
      <c r="E3810" s="5">
        <v>126.181694030762</v>
      </c>
      <c r="F3810" s="5">
        <v>8.47704315185547</v>
      </c>
      <c r="G3810" s="5">
        <v>5.89109230041504</v>
      </c>
      <c r="H3810" s="5">
        <v>21.3030166625977</v>
      </c>
      <c r="I3810" t="s">
        <v>57</v>
      </c>
    </row>
    <row r="3811" spans="1:9">
      <c r="A3811" s="4" t="s">
        <v>7675</v>
      </c>
      <c r="B3811" s="4" t="s">
        <v>7676</v>
      </c>
      <c r="C3811" s="4" t="s">
        <v>27</v>
      </c>
      <c r="D3811" s="2">
        <f>219586864/(10^6)</f>
        <v>219.586864</v>
      </c>
      <c r="E3811" s="5">
        <v>1.83623397350311</v>
      </c>
      <c r="F3811" s="5" t="s">
        <v>86</v>
      </c>
      <c r="G3811" s="5">
        <v>0.408103168010712</v>
      </c>
      <c r="H3811" s="5">
        <v>2.89502954483032</v>
      </c>
      <c r="I3811" t="s">
        <v>57</v>
      </c>
    </row>
    <row r="3812" spans="1:9">
      <c r="A3812" s="4" t="s">
        <v>7677</v>
      </c>
      <c r="B3812" s="4" t="s">
        <v>7678</v>
      </c>
      <c r="C3812" s="4" t="s">
        <v>41</v>
      </c>
      <c r="D3812" s="2">
        <f>219253856/(10^6)</f>
        <v>219.253856</v>
      </c>
      <c r="E3812" s="5" t="s">
        <v>86</v>
      </c>
      <c r="F3812" s="5">
        <v>1.40258932113648</v>
      </c>
      <c r="G3812" s="5">
        <v>0.960471272468567</v>
      </c>
      <c r="H3812" s="5" t="s">
        <v>86</v>
      </c>
      <c r="I3812" t="s">
        <v>57</v>
      </c>
    </row>
    <row r="3813" spans="1:9">
      <c r="A3813" s="4" t="s">
        <v>7679</v>
      </c>
      <c r="B3813" s="4" t="s">
        <v>7680</v>
      </c>
      <c r="C3813" s="4" t="s">
        <v>41</v>
      </c>
      <c r="D3813" s="2">
        <f>218293936/(10^6)</f>
        <v>218.293936</v>
      </c>
      <c r="E3813" s="5" t="s">
        <v>86</v>
      </c>
      <c r="F3813" s="5">
        <v>2.7548496723175</v>
      </c>
      <c r="G3813" s="5">
        <v>101.564865112305</v>
      </c>
      <c r="H3813" s="5" t="s">
        <v>86</v>
      </c>
      <c r="I3813" t="s">
        <v>57</v>
      </c>
    </row>
    <row r="3814" spans="1:9">
      <c r="A3814" s="4" t="s">
        <v>7681</v>
      </c>
      <c r="B3814" s="4" t="s">
        <v>7682</v>
      </c>
      <c r="C3814" s="4" t="s">
        <v>49</v>
      </c>
      <c r="D3814" s="2">
        <f>217959440/(10^6)</f>
        <v>217.95944</v>
      </c>
      <c r="E3814" s="5">
        <v>86.3528594970703</v>
      </c>
      <c r="F3814" s="5">
        <v>1.2817667722702</v>
      </c>
      <c r="G3814" s="5" t="s">
        <v>86</v>
      </c>
      <c r="H3814" s="5" t="s">
        <v>86</v>
      </c>
      <c r="I3814" t="s">
        <v>57</v>
      </c>
    </row>
    <row r="3815" spans="1:9">
      <c r="A3815" s="4" t="s">
        <v>7683</v>
      </c>
      <c r="B3815" s="4" t="s">
        <v>7684</v>
      </c>
      <c r="C3815" s="4" t="s">
        <v>45</v>
      </c>
      <c r="D3815" s="2">
        <f>217508800/(10^6)</f>
        <v>217.5088</v>
      </c>
      <c r="E3815" s="5">
        <v>245.67610168457</v>
      </c>
      <c r="F3815" s="5">
        <v>9.53764915466309</v>
      </c>
      <c r="G3815" s="5">
        <v>18.1729774475098</v>
      </c>
      <c r="H3815" s="5">
        <v>215.064956665039</v>
      </c>
      <c r="I3815" t="s">
        <v>57</v>
      </c>
    </row>
    <row r="3816" spans="1:9">
      <c r="A3816" s="4" t="s">
        <v>7685</v>
      </c>
      <c r="B3816" s="4" t="s">
        <v>7686</v>
      </c>
      <c r="C3816" s="4" t="s">
        <v>51</v>
      </c>
      <c r="D3816" s="2">
        <f>217214528/(10^6)</f>
        <v>217.214528</v>
      </c>
      <c r="E3816" s="5">
        <v>44.349365234375</v>
      </c>
      <c r="F3816" s="5">
        <v>7.52082300186157</v>
      </c>
      <c r="G3816" s="5">
        <v>3.0693519115448</v>
      </c>
      <c r="H3816" s="5">
        <v>26.3489990234375</v>
      </c>
      <c r="I3816" t="s">
        <v>57</v>
      </c>
    </row>
    <row r="3817" spans="1:9">
      <c r="A3817" s="4" t="s">
        <v>7687</v>
      </c>
      <c r="B3817" s="4" t="s">
        <v>7688</v>
      </c>
      <c r="C3817" s="4" t="s">
        <v>43</v>
      </c>
      <c r="D3817" s="2">
        <f>215685200/(10^6)</f>
        <v>215.6852</v>
      </c>
      <c r="E3817" s="5">
        <v>8.40425586700439</v>
      </c>
      <c r="F3817" s="5">
        <v>1.01294720172882</v>
      </c>
      <c r="G3817" s="5">
        <v>2.29842042922974</v>
      </c>
      <c r="H3817" s="5" t="s">
        <v>86</v>
      </c>
      <c r="I3817" t="s">
        <v>57</v>
      </c>
    </row>
    <row r="3818" spans="1:9">
      <c r="A3818" s="4" t="s">
        <v>7689</v>
      </c>
      <c r="B3818" s="4" t="s">
        <v>7690</v>
      </c>
      <c r="C3818" s="4" t="s">
        <v>43</v>
      </c>
      <c r="D3818" s="2">
        <f>214409584/(10^6)</f>
        <v>214.409584</v>
      </c>
      <c r="E3818" s="5">
        <v>4.38033676147461</v>
      </c>
      <c r="F3818" s="5">
        <v>0.427127420902252</v>
      </c>
      <c r="G3818" s="5">
        <v>2.27124881744385</v>
      </c>
      <c r="H3818" s="5" t="s">
        <v>86</v>
      </c>
      <c r="I3818" t="s">
        <v>57</v>
      </c>
    </row>
    <row r="3819" spans="1:9">
      <c r="A3819" s="4" t="s">
        <v>7691</v>
      </c>
      <c r="B3819" s="4" t="s">
        <v>7692</v>
      </c>
      <c r="C3819" s="4" t="s">
        <v>41</v>
      </c>
      <c r="D3819" s="2">
        <f>214368960/(10^6)</f>
        <v>214.36896</v>
      </c>
      <c r="E3819" s="5" t="s">
        <v>86</v>
      </c>
      <c r="F3819" s="5">
        <v>1.58189964294434</v>
      </c>
      <c r="G3819" s="5">
        <v>445.462158203125</v>
      </c>
      <c r="H3819" s="5" t="s">
        <v>86</v>
      </c>
      <c r="I3819" t="s">
        <v>57</v>
      </c>
    </row>
    <row r="3820" spans="1:9">
      <c r="A3820" s="4" t="s">
        <v>7693</v>
      </c>
      <c r="B3820" s="4" t="s">
        <v>7694</v>
      </c>
      <c r="C3820" s="4" t="s">
        <v>43</v>
      </c>
      <c r="D3820" s="2">
        <f>214260624/(10^6)</f>
        <v>214.260624</v>
      </c>
      <c r="E3820" s="5">
        <v>2.01820135116577</v>
      </c>
      <c r="F3820" s="5">
        <v>4.28566312789917</v>
      </c>
      <c r="G3820" s="5">
        <v>0.35204941034317</v>
      </c>
      <c r="H3820" s="5">
        <v>4.09300899505615</v>
      </c>
      <c r="I3820" t="s">
        <v>57</v>
      </c>
    </row>
    <row r="3821" spans="1:9">
      <c r="A3821" s="4" t="s">
        <v>7695</v>
      </c>
      <c r="B3821" s="4" t="s">
        <v>7696</v>
      </c>
      <c r="C3821" s="4" t="s">
        <v>51</v>
      </c>
      <c r="D3821" s="2">
        <f>214016720/(10^6)</f>
        <v>214.01672</v>
      </c>
      <c r="E3821" s="5">
        <v>34.1303977966309</v>
      </c>
      <c r="F3821" s="5">
        <v>2.03740096092224</v>
      </c>
      <c r="G3821" s="5">
        <v>1.42629265785217</v>
      </c>
      <c r="H3821" s="5">
        <v>10.3043003082275</v>
      </c>
      <c r="I3821" t="s">
        <v>57</v>
      </c>
    </row>
    <row r="3822" spans="1:9">
      <c r="A3822" s="4" t="s">
        <v>7697</v>
      </c>
      <c r="B3822" s="4" t="s">
        <v>7698</v>
      </c>
      <c r="C3822" s="4" t="s">
        <v>35</v>
      </c>
      <c r="D3822" s="2">
        <f>213834272/(10^6)</f>
        <v>213.834272</v>
      </c>
      <c r="E3822" s="5" t="s">
        <v>86</v>
      </c>
      <c r="F3822" s="5">
        <v>7.19669103622437</v>
      </c>
      <c r="G3822" s="5">
        <v>5.83016777038574</v>
      </c>
      <c r="H3822" s="5" t="s">
        <v>86</v>
      </c>
      <c r="I3822" t="s">
        <v>57</v>
      </c>
    </row>
    <row r="3823" spans="1:9">
      <c r="A3823" s="4" t="s">
        <v>7699</v>
      </c>
      <c r="B3823" s="4" t="s">
        <v>7700</v>
      </c>
      <c r="C3823" s="4" t="s">
        <v>43</v>
      </c>
      <c r="D3823" s="2">
        <f>213691648/(10^6)</f>
        <v>213.691648</v>
      </c>
      <c r="E3823" s="5" t="s">
        <v>86</v>
      </c>
      <c r="F3823" s="5" t="s">
        <v>86</v>
      </c>
      <c r="G3823" s="5" t="s">
        <v>86</v>
      </c>
      <c r="H3823" s="5" t="s">
        <v>86</v>
      </c>
      <c r="I3823" t="s">
        <v>57</v>
      </c>
    </row>
    <row r="3824" spans="1:9">
      <c r="A3824" s="4" t="s">
        <v>7701</v>
      </c>
      <c r="B3824" s="4" t="s">
        <v>7702</v>
      </c>
      <c r="C3824" s="4" t="s">
        <v>49</v>
      </c>
      <c r="D3824" s="2">
        <f>213337376/(10^6)</f>
        <v>213.337376</v>
      </c>
      <c r="E3824" s="5">
        <v>965</v>
      </c>
      <c r="F3824" s="5">
        <v>0.3404820561409</v>
      </c>
      <c r="G3824" s="5" t="s">
        <v>86</v>
      </c>
      <c r="H3824" s="5" t="s">
        <v>86</v>
      </c>
      <c r="I3824" t="s">
        <v>57</v>
      </c>
    </row>
    <row r="3825" spans="1:9">
      <c r="A3825" s="4" t="s">
        <v>7703</v>
      </c>
      <c r="B3825" s="4" t="s">
        <v>7704</v>
      </c>
      <c r="C3825" s="4" t="s">
        <v>43</v>
      </c>
      <c r="D3825" s="2">
        <f>213183920/(10^6)</f>
        <v>213.18392</v>
      </c>
      <c r="E3825" s="5">
        <v>56.6398506164551</v>
      </c>
      <c r="F3825" s="5">
        <v>10.2585945129395</v>
      </c>
      <c r="G3825" s="5">
        <v>7.52263021469116</v>
      </c>
      <c r="H3825" s="5">
        <v>32.3856735229492</v>
      </c>
      <c r="I3825" t="s">
        <v>57</v>
      </c>
    </row>
    <row r="3826" spans="1:9">
      <c r="A3826" s="4" t="s">
        <v>7705</v>
      </c>
      <c r="B3826" s="4" t="s">
        <v>7706</v>
      </c>
      <c r="C3826" s="4" t="s">
        <v>41</v>
      </c>
      <c r="D3826" s="2">
        <f>212618832/(10^6)</f>
        <v>212.618832</v>
      </c>
      <c r="E3826" s="5">
        <v>17.3530387878418</v>
      </c>
      <c r="F3826" s="5">
        <v>16.248592376709</v>
      </c>
      <c r="G3826" s="5">
        <v>6.40415287017822</v>
      </c>
      <c r="H3826" s="5">
        <v>18.2730846405029</v>
      </c>
      <c r="I3826" t="s">
        <v>57</v>
      </c>
    </row>
    <row r="3827" spans="1:9">
      <c r="A3827" s="4" t="s">
        <v>7707</v>
      </c>
      <c r="B3827" s="4" t="s">
        <v>7000</v>
      </c>
      <c r="C3827" s="4" t="s">
        <v>49</v>
      </c>
      <c r="D3827" s="2">
        <f>212179376/(10^6)</f>
        <v>212.179376</v>
      </c>
      <c r="E3827" s="5" t="s">
        <v>86</v>
      </c>
      <c r="F3827" s="5">
        <v>0.285883337259293</v>
      </c>
      <c r="G3827" s="5" t="s">
        <v>86</v>
      </c>
      <c r="H3827" s="5" t="s">
        <v>86</v>
      </c>
      <c r="I3827" t="s">
        <v>57</v>
      </c>
    </row>
    <row r="3828" spans="1:9">
      <c r="A3828" s="4" t="s">
        <v>7708</v>
      </c>
      <c r="B3828" s="4" t="s">
        <v>7709</v>
      </c>
      <c r="C3828" s="4" t="s">
        <v>41</v>
      </c>
      <c r="D3828" s="2">
        <f>212059728/(10^6)</f>
        <v>212.059728</v>
      </c>
      <c r="E3828" s="5" t="s">
        <v>86</v>
      </c>
      <c r="F3828" s="5">
        <v>57.7312126159668</v>
      </c>
      <c r="G3828" s="5">
        <v>7.82678127288818</v>
      </c>
      <c r="H3828" s="5" t="s">
        <v>86</v>
      </c>
      <c r="I3828" t="s">
        <v>57</v>
      </c>
    </row>
    <row r="3829" spans="1:9">
      <c r="A3829" s="4" t="s">
        <v>7710</v>
      </c>
      <c r="B3829" s="4" t="s">
        <v>7711</v>
      </c>
      <c r="C3829" s="4" t="s">
        <v>49</v>
      </c>
      <c r="D3829" s="2">
        <f>211855696/(10^6)</f>
        <v>211.855696</v>
      </c>
      <c r="E3829" s="5" t="s">
        <v>86</v>
      </c>
      <c r="F3829" s="5" t="s">
        <v>86</v>
      </c>
      <c r="G3829" s="5" t="s">
        <v>86</v>
      </c>
      <c r="H3829" s="5" t="s">
        <v>86</v>
      </c>
      <c r="I3829" t="s">
        <v>57</v>
      </c>
    </row>
    <row r="3830" spans="1:9">
      <c r="A3830" s="4" t="s">
        <v>7712</v>
      </c>
      <c r="B3830" s="4" t="s">
        <v>7713</v>
      </c>
      <c r="C3830" s="4" t="s">
        <v>37</v>
      </c>
      <c r="D3830" s="2">
        <f>211460416/(10^6)</f>
        <v>211.460416</v>
      </c>
      <c r="E3830" s="5">
        <v>3.10310554504394</v>
      </c>
      <c r="F3830" s="5">
        <v>0.281407445669174</v>
      </c>
      <c r="G3830" s="5">
        <v>0.116581954061985</v>
      </c>
      <c r="H3830" s="5">
        <v>5.2455677986145</v>
      </c>
      <c r="I3830" t="s">
        <v>57</v>
      </c>
    </row>
    <row r="3831" spans="1:9">
      <c r="A3831" s="4" t="s">
        <v>7714</v>
      </c>
      <c r="B3831" s="4" t="s">
        <v>7715</v>
      </c>
      <c r="C3831" s="4" t="s">
        <v>47</v>
      </c>
      <c r="D3831" s="2">
        <f>211193312/(10^6)</f>
        <v>211.193312</v>
      </c>
      <c r="E3831" s="5">
        <v>5.16470384597778</v>
      </c>
      <c r="F3831" s="5">
        <v>1.17720329761505</v>
      </c>
      <c r="G3831" s="5">
        <v>0.914681553840637</v>
      </c>
      <c r="H3831" s="5">
        <v>30.2890090942383</v>
      </c>
      <c r="I3831" t="s">
        <v>57</v>
      </c>
    </row>
    <row r="3832" spans="1:9">
      <c r="A3832" s="4" t="s">
        <v>7716</v>
      </c>
      <c r="B3832" s="4" t="s">
        <v>7717</v>
      </c>
      <c r="C3832" s="4" t="s">
        <v>39</v>
      </c>
      <c r="D3832" s="2">
        <f>211004144/(10^6)</f>
        <v>211.004144</v>
      </c>
      <c r="E3832" s="5">
        <v>20.4803161621094</v>
      </c>
      <c r="F3832" s="5">
        <v>2.43697619438171</v>
      </c>
      <c r="G3832" s="5">
        <v>3.14639830589294</v>
      </c>
      <c r="H3832" s="5">
        <v>15.328821182251</v>
      </c>
      <c r="I3832" t="s">
        <v>57</v>
      </c>
    </row>
    <row r="3833" spans="1:9">
      <c r="A3833" s="4" t="s">
        <v>7718</v>
      </c>
      <c r="B3833" s="4" t="s">
        <v>7719</v>
      </c>
      <c r="C3833" s="4" t="s">
        <v>43</v>
      </c>
      <c r="D3833" s="2">
        <f>210776912/(10^6)</f>
        <v>210.776912</v>
      </c>
      <c r="E3833" s="5">
        <v>11.777777671814</v>
      </c>
      <c r="F3833" s="5">
        <v>1.21276259422302</v>
      </c>
      <c r="G3833" s="5">
        <v>2.54897212982178</v>
      </c>
      <c r="H3833" s="5" t="s">
        <v>86</v>
      </c>
      <c r="I3833" t="s">
        <v>57</v>
      </c>
    </row>
    <row r="3834" spans="1:9">
      <c r="A3834" s="4" t="s">
        <v>7720</v>
      </c>
      <c r="B3834" s="4" t="s">
        <v>7721</v>
      </c>
      <c r="C3834" s="4" t="s">
        <v>31</v>
      </c>
      <c r="D3834" s="2">
        <f>210618384/(10^6)</f>
        <v>210.618384</v>
      </c>
      <c r="E3834" s="5">
        <v>8.04124927520752</v>
      </c>
      <c r="F3834" s="5">
        <v>0.84838992357254</v>
      </c>
      <c r="G3834" s="5">
        <v>0.75328928232193</v>
      </c>
      <c r="H3834" s="5">
        <v>4.36437082290649</v>
      </c>
      <c r="I3834" t="s">
        <v>57</v>
      </c>
    </row>
    <row r="3835" spans="1:9">
      <c r="A3835" s="4" t="s">
        <v>7722</v>
      </c>
      <c r="B3835" s="4" t="s">
        <v>7723</v>
      </c>
      <c r="C3835" s="4" t="s">
        <v>43</v>
      </c>
      <c r="D3835" s="2">
        <f>210469264/(10^6)</f>
        <v>210.469264</v>
      </c>
      <c r="E3835" s="5">
        <v>7.47862529754639</v>
      </c>
      <c r="F3835" s="5">
        <v>0.6712726354599</v>
      </c>
      <c r="G3835" s="5">
        <v>1.78550243377686</v>
      </c>
      <c r="H3835" s="5" t="s">
        <v>86</v>
      </c>
      <c r="I3835" t="s">
        <v>57</v>
      </c>
    </row>
    <row r="3836" spans="1:9">
      <c r="A3836" s="4" t="s">
        <v>7724</v>
      </c>
      <c r="B3836" s="4" t="s">
        <v>7725</v>
      </c>
      <c r="C3836" s="4" t="s">
        <v>43</v>
      </c>
      <c r="D3836" s="2">
        <f>210133792/(10^6)</f>
        <v>210.133792</v>
      </c>
      <c r="E3836" s="5">
        <v>5.38461542129517</v>
      </c>
      <c r="F3836" s="5">
        <v>0.754047572612762</v>
      </c>
      <c r="G3836" s="5">
        <v>1.38209307193756</v>
      </c>
      <c r="H3836" s="5" t="s">
        <v>86</v>
      </c>
      <c r="I3836" t="s">
        <v>57</v>
      </c>
    </row>
    <row r="3837" spans="1:9">
      <c r="A3837" s="4" t="s">
        <v>7726</v>
      </c>
      <c r="B3837" s="4" t="s">
        <v>7727</v>
      </c>
      <c r="C3837" s="4" t="s">
        <v>27</v>
      </c>
      <c r="D3837" s="2">
        <f>210098976/(10^6)</f>
        <v>210.098976</v>
      </c>
      <c r="E3837" s="5" t="s">
        <v>86</v>
      </c>
      <c r="F3837" s="5">
        <v>1.25311827659607</v>
      </c>
      <c r="G3837" s="5">
        <v>6.53430891036987</v>
      </c>
      <c r="H3837" s="5" t="s">
        <v>86</v>
      </c>
      <c r="I3837" t="s">
        <v>57</v>
      </c>
    </row>
    <row r="3838" spans="1:9">
      <c r="A3838" s="4" t="s">
        <v>7728</v>
      </c>
      <c r="B3838" s="4" t="s">
        <v>7729</v>
      </c>
      <c r="C3838" s="4" t="s">
        <v>51</v>
      </c>
      <c r="D3838" s="2">
        <f>209941360/(10^6)</f>
        <v>209.94136</v>
      </c>
      <c r="E3838" s="5" t="s">
        <v>86</v>
      </c>
      <c r="F3838" s="5">
        <v>1.97160446643829</v>
      </c>
      <c r="G3838" s="5">
        <v>0.822578549385071</v>
      </c>
      <c r="H3838" s="5" t="s">
        <v>86</v>
      </c>
      <c r="I3838" t="s">
        <v>57</v>
      </c>
    </row>
    <row r="3839" spans="1:9">
      <c r="A3839" s="4" t="s">
        <v>7730</v>
      </c>
      <c r="B3839" s="4" t="s">
        <v>7731</v>
      </c>
      <c r="C3839" s="4" t="s">
        <v>47</v>
      </c>
      <c r="D3839" s="2">
        <f>208926480/(10^6)</f>
        <v>208.92648</v>
      </c>
      <c r="E3839" s="5">
        <v>45.6975860595703</v>
      </c>
      <c r="F3839" s="5">
        <v>0.528287172317505</v>
      </c>
      <c r="G3839" s="5">
        <v>0.293858528137207</v>
      </c>
      <c r="H3839" s="5">
        <v>7.76994800567627</v>
      </c>
      <c r="I3839" t="s">
        <v>57</v>
      </c>
    </row>
    <row r="3840" spans="1:9">
      <c r="A3840" s="4" t="s">
        <v>7732</v>
      </c>
      <c r="B3840" s="4" t="s">
        <v>7733</v>
      </c>
      <c r="C3840" s="4" t="s">
        <v>43</v>
      </c>
      <c r="D3840" s="2">
        <f>208907056/(10^6)</f>
        <v>208.907056</v>
      </c>
      <c r="E3840" s="5" t="s">
        <v>86</v>
      </c>
      <c r="F3840" s="5">
        <v>0.889969766139984</v>
      </c>
      <c r="G3840" s="5">
        <v>0.880888819694519</v>
      </c>
      <c r="H3840" s="5" t="s">
        <v>86</v>
      </c>
      <c r="I3840" t="s">
        <v>57</v>
      </c>
    </row>
    <row r="3841" spans="1:9">
      <c r="A3841" s="4" t="s">
        <v>7734</v>
      </c>
      <c r="B3841" s="4" t="s">
        <v>7735</v>
      </c>
      <c r="C3841" s="4" t="s">
        <v>47</v>
      </c>
      <c r="D3841" s="2">
        <f>208089520/(10^6)</f>
        <v>208.08952</v>
      </c>
      <c r="E3841" s="5" t="s">
        <v>86</v>
      </c>
      <c r="F3841" s="5">
        <v>0.386467128992081</v>
      </c>
      <c r="G3841" s="5">
        <v>0.097505569458008</v>
      </c>
      <c r="H3841" s="5">
        <v>2.7435188293457</v>
      </c>
      <c r="I3841" t="s">
        <v>57</v>
      </c>
    </row>
    <row r="3842" spans="1:9">
      <c r="A3842" s="4" t="s">
        <v>7736</v>
      </c>
      <c r="B3842" s="4" t="s">
        <v>7737</v>
      </c>
      <c r="C3842" s="4" t="s">
        <v>27</v>
      </c>
      <c r="D3842" s="2">
        <f>207840736/(10^6)</f>
        <v>207.840736</v>
      </c>
      <c r="E3842" s="5" t="s">
        <v>86</v>
      </c>
      <c r="F3842" s="5">
        <v>1.08113479614258</v>
      </c>
      <c r="G3842" s="5" t="s">
        <v>86</v>
      </c>
      <c r="H3842" s="5" t="s">
        <v>86</v>
      </c>
      <c r="I3842" t="s">
        <v>57</v>
      </c>
    </row>
    <row r="3843" spans="1:9">
      <c r="A3843" s="4" t="s">
        <v>7738</v>
      </c>
      <c r="B3843" s="4" t="s">
        <v>7739</v>
      </c>
      <c r="C3843" s="4" t="s">
        <v>31</v>
      </c>
      <c r="D3843" s="2">
        <f>207592144/(10^6)</f>
        <v>207.592144</v>
      </c>
      <c r="E3843" s="5">
        <v>167.34489440918</v>
      </c>
      <c r="F3843" s="5">
        <v>2.51163911819458</v>
      </c>
      <c r="G3843" s="5">
        <v>0.910829722881317</v>
      </c>
      <c r="H3843" s="5">
        <v>14.6582450866699</v>
      </c>
      <c r="I3843" t="s">
        <v>57</v>
      </c>
    </row>
    <row r="3844" spans="1:9">
      <c r="A3844" s="4" t="s">
        <v>7740</v>
      </c>
      <c r="B3844" s="4" t="s">
        <v>7741</v>
      </c>
      <c r="C3844" s="4" t="s">
        <v>49</v>
      </c>
      <c r="D3844" s="2">
        <f>207359456/(10^6)</f>
        <v>207.359456</v>
      </c>
      <c r="E3844" s="5">
        <v>156.186798095703</v>
      </c>
      <c r="F3844" s="5">
        <v>0.465520739555359</v>
      </c>
      <c r="G3844" s="5">
        <v>79.8016052246094</v>
      </c>
      <c r="H3844" s="5" t="s">
        <v>86</v>
      </c>
      <c r="I3844" t="s">
        <v>57</v>
      </c>
    </row>
    <row r="3845" spans="1:9">
      <c r="A3845" s="4" t="s">
        <v>7742</v>
      </c>
      <c r="B3845" s="4" t="s">
        <v>7743</v>
      </c>
      <c r="C3845" s="4" t="s">
        <v>27</v>
      </c>
      <c r="D3845" s="2">
        <f>207308592/(10^6)</f>
        <v>207.308592</v>
      </c>
      <c r="E3845" s="5">
        <v>1.86450517177582</v>
      </c>
      <c r="F3845" s="5">
        <v>0.221271842718124</v>
      </c>
      <c r="G3845" s="5">
        <v>0.660723865032196</v>
      </c>
      <c r="H3845" s="5">
        <v>1.63493287563324</v>
      </c>
      <c r="I3845" t="s">
        <v>57</v>
      </c>
    </row>
    <row r="3846" spans="1:9">
      <c r="A3846" s="4" t="s">
        <v>7744</v>
      </c>
      <c r="B3846" s="4" t="s">
        <v>7745</v>
      </c>
      <c r="C3846" s="4" t="s">
        <v>47</v>
      </c>
      <c r="D3846" s="2">
        <f>207257424/(10^6)</f>
        <v>207.257424</v>
      </c>
      <c r="E3846" s="5">
        <v>4.97231483459473</v>
      </c>
      <c r="F3846" s="5">
        <v>2.13415622711182</v>
      </c>
      <c r="G3846" s="5">
        <v>0.437703758478165</v>
      </c>
      <c r="H3846" s="5">
        <v>4.98578882217407</v>
      </c>
      <c r="I3846" t="s">
        <v>57</v>
      </c>
    </row>
    <row r="3847" spans="1:9">
      <c r="A3847" s="4" t="s">
        <v>7746</v>
      </c>
      <c r="B3847" s="4" t="s">
        <v>7747</v>
      </c>
      <c r="C3847" s="4" t="s">
        <v>47</v>
      </c>
      <c r="D3847" s="2">
        <f>207238400/(10^6)</f>
        <v>207.2384</v>
      </c>
      <c r="E3847" s="5">
        <v>9.35802555084229</v>
      </c>
      <c r="F3847" s="5">
        <v>0.91887378692627</v>
      </c>
      <c r="G3847" s="5">
        <v>0.162821084260941</v>
      </c>
      <c r="H3847" s="5">
        <v>4.6898398399353</v>
      </c>
      <c r="I3847" t="s">
        <v>57</v>
      </c>
    </row>
    <row r="3848" spans="1:9">
      <c r="A3848" s="4" t="s">
        <v>7748</v>
      </c>
      <c r="B3848" s="4" t="s">
        <v>7749</v>
      </c>
      <c r="C3848" s="4" t="s">
        <v>31</v>
      </c>
      <c r="D3848" s="2">
        <f>206649968/(10^6)</f>
        <v>206.649968</v>
      </c>
      <c r="E3848" s="5" t="s">
        <v>86</v>
      </c>
      <c r="F3848" s="5">
        <v>4.8954815864563</v>
      </c>
      <c r="G3848" s="5">
        <v>6.33633184432983</v>
      </c>
      <c r="H3848" s="5" t="s">
        <v>86</v>
      </c>
      <c r="I3848" t="s">
        <v>57</v>
      </c>
    </row>
    <row r="3849" spans="1:9">
      <c r="A3849" s="4" t="s">
        <v>7750</v>
      </c>
      <c r="B3849" s="4" t="s">
        <v>7751</v>
      </c>
      <c r="C3849" s="4" t="s">
        <v>43</v>
      </c>
      <c r="D3849" s="2">
        <f>206133328/(10^6)</f>
        <v>206.133328</v>
      </c>
      <c r="E3849" s="5" t="s">
        <v>86</v>
      </c>
      <c r="F3849" s="5" t="s">
        <v>86</v>
      </c>
      <c r="G3849" s="5" t="s">
        <v>86</v>
      </c>
      <c r="H3849" s="5" t="s">
        <v>86</v>
      </c>
      <c r="I3849" t="s">
        <v>57</v>
      </c>
    </row>
    <row r="3850" spans="1:9">
      <c r="A3850" s="4" t="s">
        <v>7752</v>
      </c>
      <c r="B3850" s="4" t="s">
        <v>7753</v>
      </c>
      <c r="C3850" s="4" t="s">
        <v>41</v>
      </c>
      <c r="D3850" s="2">
        <f>205969408/(10^6)</f>
        <v>205.969408</v>
      </c>
      <c r="E3850" s="5" t="s">
        <v>86</v>
      </c>
      <c r="F3850" s="5">
        <v>2.78601503372192</v>
      </c>
      <c r="G3850" s="5">
        <v>48.38671875</v>
      </c>
      <c r="H3850" s="5" t="s">
        <v>86</v>
      </c>
      <c r="I3850" t="s">
        <v>57</v>
      </c>
    </row>
    <row r="3851" spans="1:9">
      <c r="A3851" s="4" t="s">
        <v>7754</v>
      </c>
      <c r="B3851" s="4" t="s">
        <v>7755</v>
      </c>
      <c r="C3851" s="4" t="s">
        <v>41</v>
      </c>
      <c r="D3851" s="2">
        <f>205923088/(10^6)</f>
        <v>205.923088</v>
      </c>
      <c r="E3851" s="5" t="s">
        <v>86</v>
      </c>
      <c r="F3851" s="5">
        <v>3.13859272003174</v>
      </c>
      <c r="G3851" s="5">
        <v>11.8374509811401</v>
      </c>
      <c r="H3851" s="5" t="s">
        <v>86</v>
      </c>
      <c r="I3851" t="s">
        <v>57</v>
      </c>
    </row>
    <row r="3852" spans="1:9">
      <c r="A3852" s="4" t="s">
        <v>7756</v>
      </c>
      <c r="B3852" s="4" t="s">
        <v>7757</v>
      </c>
      <c r="C3852" s="4" t="s">
        <v>43</v>
      </c>
      <c r="D3852" s="2">
        <f>205721280/(10^6)</f>
        <v>205.72128</v>
      </c>
      <c r="E3852" s="5">
        <v>5.63644886016846</v>
      </c>
      <c r="F3852" s="5">
        <v>1.81466484069824</v>
      </c>
      <c r="G3852" s="5">
        <v>2.13187098503113</v>
      </c>
      <c r="H3852" s="5" t="s">
        <v>86</v>
      </c>
      <c r="I3852" t="s">
        <v>57</v>
      </c>
    </row>
    <row r="3853" spans="1:9">
      <c r="A3853" s="4" t="s">
        <v>7758</v>
      </c>
      <c r="B3853" s="4" t="s">
        <v>7759</v>
      </c>
      <c r="C3853" s="4" t="s">
        <v>47</v>
      </c>
      <c r="D3853" s="2">
        <f>205204944/(10^6)</f>
        <v>205.204944</v>
      </c>
      <c r="E3853" s="5">
        <v>31.7567558288574</v>
      </c>
      <c r="F3853" s="5">
        <v>1.89748084545135</v>
      </c>
      <c r="G3853" s="5">
        <v>0.534722805023193</v>
      </c>
      <c r="H3853" s="5">
        <v>10.4476766586304</v>
      </c>
      <c r="I3853" t="s">
        <v>57</v>
      </c>
    </row>
    <row r="3854" spans="1:9">
      <c r="A3854" s="4" t="s">
        <v>7760</v>
      </c>
      <c r="B3854" s="4" t="s">
        <v>7761</v>
      </c>
      <c r="C3854" s="4" t="s">
        <v>31</v>
      </c>
      <c r="D3854" s="2">
        <f>204804000/(10^6)</f>
        <v>204.804</v>
      </c>
      <c r="E3854" s="5" t="s">
        <v>86</v>
      </c>
      <c r="F3854" s="5" t="s">
        <v>86</v>
      </c>
      <c r="G3854" s="5" t="s">
        <v>86</v>
      </c>
      <c r="H3854" s="5" t="s">
        <v>86</v>
      </c>
      <c r="I3854" t="s">
        <v>57</v>
      </c>
    </row>
    <row r="3855" spans="1:9">
      <c r="A3855" s="4" t="s">
        <v>7762</v>
      </c>
      <c r="B3855" s="4" t="s">
        <v>7763</v>
      </c>
      <c r="C3855" s="4" t="s">
        <v>43</v>
      </c>
      <c r="D3855" s="2">
        <f>204280592/(10^6)</f>
        <v>204.280592</v>
      </c>
      <c r="E3855" s="5">
        <v>4.32841920852661</v>
      </c>
      <c r="F3855" s="5">
        <v>0.499200582504272</v>
      </c>
      <c r="G3855" s="5">
        <v>2.25477075576782</v>
      </c>
      <c r="H3855" s="5" t="s">
        <v>86</v>
      </c>
      <c r="I3855" t="s">
        <v>57</v>
      </c>
    </row>
    <row r="3856" spans="1:9">
      <c r="A3856" s="4" t="s">
        <v>7764</v>
      </c>
      <c r="B3856" s="4" t="s">
        <v>7765</v>
      </c>
      <c r="C3856" s="4" t="s">
        <v>43</v>
      </c>
      <c r="D3856" s="2">
        <f>204136480/(10^6)</f>
        <v>204.13648</v>
      </c>
      <c r="E3856" s="5">
        <v>7.10743141174316</v>
      </c>
      <c r="F3856" s="5">
        <v>0.988435924053192</v>
      </c>
      <c r="G3856" s="5">
        <v>1.85516858100891</v>
      </c>
      <c r="H3856" s="5" t="s">
        <v>86</v>
      </c>
      <c r="I3856" t="s">
        <v>57</v>
      </c>
    </row>
    <row r="3857" spans="1:9">
      <c r="A3857" s="4" t="s">
        <v>7766</v>
      </c>
      <c r="B3857" s="4" t="s">
        <v>7767</v>
      </c>
      <c r="C3857" s="4" t="s">
        <v>47</v>
      </c>
      <c r="D3857" s="2">
        <f>204119216/(10^6)</f>
        <v>204.119216</v>
      </c>
      <c r="E3857" s="5" t="s">
        <v>86</v>
      </c>
      <c r="F3857" s="5" t="s">
        <v>86</v>
      </c>
      <c r="G3857" s="5" t="s">
        <v>86</v>
      </c>
      <c r="H3857" s="5" t="s">
        <v>86</v>
      </c>
      <c r="I3857" t="s">
        <v>57</v>
      </c>
    </row>
    <row r="3858" spans="1:9">
      <c r="A3858" s="4" t="s">
        <v>7768</v>
      </c>
      <c r="B3858" s="4" t="s">
        <v>7769</v>
      </c>
      <c r="C3858" s="4" t="s">
        <v>41</v>
      </c>
      <c r="D3858" s="2">
        <f>203538480/(10^6)</f>
        <v>203.53848</v>
      </c>
      <c r="E3858" s="5" t="s">
        <v>86</v>
      </c>
      <c r="F3858" s="5">
        <v>0.705841064453125</v>
      </c>
      <c r="G3858" s="5">
        <v>0.616360604763031</v>
      </c>
      <c r="H3858" s="5" t="s">
        <v>86</v>
      </c>
      <c r="I3858" t="s">
        <v>57</v>
      </c>
    </row>
    <row r="3859" spans="1:9">
      <c r="A3859" s="4" t="s">
        <v>7770</v>
      </c>
      <c r="B3859" s="4" t="s">
        <v>7771</v>
      </c>
      <c r="C3859" s="4" t="s">
        <v>35</v>
      </c>
      <c r="D3859" s="2">
        <f>202923472/(10^6)</f>
        <v>202.923472</v>
      </c>
      <c r="E3859" s="5">
        <v>10.8825225830078</v>
      </c>
      <c r="F3859" s="5">
        <v>1.04275977611542</v>
      </c>
      <c r="G3859" s="5">
        <v>1.53561043739319</v>
      </c>
      <c r="H3859" s="5">
        <v>5.72992706298828</v>
      </c>
      <c r="I3859" t="s">
        <v>57</v>
      </c>
    </row>
    <row r="3860" spans="1:9">
      <c r="A3860" s="4" t="s">
        <v>7772</v>
      </c>
      <c r="B3860" s="4" t="s">
        <v>7773</v>
      </c>
      <c r="C3860" s="4" t="s">
        <v>41</v>
      </c>
      <c r="D3860" s="2">
        <f>202721536/(10^6)</f>
        <v>202.721536</v>
      </c>
      <c r="E3860" s="5" t="s">
        <v>86</v>
      </c>
      <c r="F3860" s="5">
        <v>1.71418082714081</v>
      </c>
      <c r="G3860" s="5">
        <v>2.97923493385315</v>
      </c>
      <c r="H3860" s="5" t="s">
        <v>86</v>
      </c>
      <c r="I3860" t="s">
        <v>57</v>
      </c>
    </row>
    <row r="3861" spans="1:9">
      <c r="A3861" s="4" t="s">
        <v>7774</v>
      </c>
      <c r="B3861" s="4" t="s">
        <v>7775</v>
      </c>
      <c r="C3861" s="4" t="s">
        <v>31</v>
      </c>
      <c r="D3861" s="2">
        <f>202477408/(10^6)</f>
        <v>202.477408</v>
      </c>
      <c r="E3861" s="5">
        <v>6.62831163406372</v>
      </c>
      <c r="F3861" s="5">
        <v>0.586714208126068</v>
      </c>
      <c r="G3861" s="5">
        <v>0.152363643050194</v>
      </c>
      <c r="H3861" s="5">
        <v>10.8224077224731</v>
      </c>
      <c r="I3861" t="s">
        <v>57</v>
      </c>
    </row>
    <row r="3862" spans="1:9">
      <c r="A3862" s="4" t="s">
        <v>7776</v>
      </c>
      <c r="B3862" s="4" t="s">
        <v>7777</v>
      </c>
      <c r="C3862" s="4" t="s">
        <v>41</v>
      </c>
      <c r="D3862" s="2">
        <f>202260640/(10^6)</f>
        <v>202.26064</v>
      </c>
      <c r="E3862" s="5" t="s">
        <v>86</v>
      </c>
      <c r="F3862" s="5">
        <v>1.47934579849243</v>
      </c>
      <c r="G3862" s="5">
        <v>41.1343116760254</v>
      </c>
      <c r="H3862" s="5" t="s">
        <v>86</v>
      </c>
      <c r="I3862" t="s">
        <v>57</v>
      </c>
    </row>
    <row r="3863" spans="1:9">
      <c r="A3863" s="4" t="s">
        <v>7778</v>
      </c>
      <c r="B3863" s="4" t="s">
        <v>7779</v>
      </c>
      <c r="C3863" s="4" t="s">
        <v>51</v>
      </c>
      <c r="D3863" s="2">
        <f>202083664/(10^6)</f>
        <v>202.083664</v>
      </c>
      <c r="E3863" s="5" t="s">
        <v>86</v>
      </c>
      <c r="F3863" s="5">
        <v>0.990222632884979</v>
      </c>
      <c r="G3863" s="5">
        <v>31.362232208252</v>
      </c>
      <c r="H3863" s="5" t="s">
        <v>86</v>
      </c>
      <c r="I3863" t="s">
        <v>57</v>
      </c>
    </row>
    <row r="3864" spans="1:9">
      <c r="A3864" s="4" t="s">
        <v>7780</v>
      </c>
      <c r="B3864" s="4" t="s">
        <v>7781</v>
      </c>
      <c r="C3864" s="4" t="s">
        <v>31</v>
      </c>
      <c r="D3864" s="2">
        <f>201707056/(10^6)</f>
        <v>201.707056</v>
      </c>
      <c r="E3864" s="5">
        <v>5.20785808563232</v>
      </c>
      <c r="F3864" s="5">
        <v>0.554698169231415</v>
      </c>
      <c r="G3864" s="5">
        <v>0.267338126897812</v>
      </c>
      <c r="H3864" s="5">
        <v>5.40962266921997</v>
      </c>
      <c r="I3864" t="s">
        <v>57</v>
      </c>
    </row>
    <row r="3865" spans="1:9">
      <c r="A3865" s="4" t="s">
        <v>7782</v>
      </c>
      <c r="B3865" s="4" t="s">
        <v>7783</v>
      </c>
      <c r="C3865" s="4" t="s">
        <v>47</v>
      </c>
      <c r="D3865" s="2">
        <f>201618304/(10^6)</f>
        <v>201.618304</v>
      </c>
      <c r="E3865" s="5">
        <v>9.50329494476318</v>
      </c>
      <c r="F3865" s="5">
        <v>0.962869763374329</v>
      </c>
      <c r="G3865" s="5">
        <v>0.666897416114807</v>
      </c>
      <c r="H3865" s="5">
        <v>5.05560874938965</v>
      </c>
      <c r="I3865" t="s">
        <v>57</v>
      </c>
    </row>
    <row r="3866" spans="1:9">
      <c r="A3866" s="4" t="s">
        <v>7784</v>
      </c>
      <c r="B3866" s="4" t="s">
        <v>7785</v>
      </c>
      <c r="C3866" s="4" t="s">
        <v>43</v>
      </c>
      <c r="D3866" s="2">
        <f>201558864/(10^6)</f>
        <v>201.558864</v>
      </c>
      <c r="E3866" s="5">
        <v>12.197304725647</v>
      </c>
      <c r="F3866" s="5">
        <v>0.680902540683746</v>
      </c>
      <c r="G3866" s="5">
        <v>1.82599663734436</v>
      </c>
      <c r="H3866" s="5" t="s">
        <v>86</v>
      </c>
      <c r="I3866" t="s">
        <v>57</v>
      </c>
    </row>
    <row r="3867" spans="1:9">
      <c r="A3867" s="4" t="s">
        <v>7786</v>
      </c>
      <c r="B3867" s="4" t="s">
        <v>7787</v>
      </c>
      <c r="C3867" s="4" t="s">
        <v>41</v>
      </c>
      <c r="D3867" s="2">
        <f>201433584/(10^6)</f>
        <v>201.433584</v>
      </c>
      <c r="E3867" s="5" t="s">
        <v>86</v>
      </c>
      <c r="F3867" s="5">
        <v>1.54577255249023</v>
      </c>
      <c r="G3867" s="5">
        <v>0.74613094329834</v>
      </c>
      <c r="H3867" s="5" t="s">
        <v>86</v>
      </c>
      <c r="I3867" t="s">
        <v>57</v>
      </c>
    </row>
    <row r="3868" spans="1:9">
      <c r="A3868" s="4" t="s">
        <v>7788</v>
      </c>
      <c r="B3868" s="4" t="s">
        <v>7789</v>
      </c>
      <c r="C3868" s="4" t="s">
        <v>49</v>
      </c>
      <c r="D3868" s="2">
        <f>200854688/(10^6)</f>
        <v>200.854688</v>
      </c>
      <c r="E3868" s="5">
        <v>112.494659423828</v>
      </c>
      <c r="F3868" s="5">
        <v>0.325581967830658</v>
      </c>
      <c r="G3868" s="5" t="s">
        <v>86</v>
      </c>
      <c r="H3868" s="5" t="s">
        <v>86</v>
      </c>
      <c r="I3868" t="s">
        <v>57</v>
      </c>
    </row>
    <row r="3869" spans="1:9">
      <c r="A3869" s="4" t="s">
        <v>7790</v>
      </c>
      <c r="B3869" s="4" t="s">
        <v>7791</v>
      </c>
      <c r="C3869" s="4" t="s">
        <v>47</v>
      </c>
      <c r="D3869" s="2">
        <f>200118368/(10^6)</f>
        <v>200.118368</v>
      </c>
      <c r="E3869" s="5">
        <v>9.96743679046631</v>
      </c>
      <c r="F3869" s="5">
        <v>0.574429094791412</v>
      </c>
      <c r="G3869" s="5">
        <v>0.137865453958511</v>
      </c>
      <c r="H3869" s="5">
        <v>6.25808334350586</v>
      </c>
      <c r="I3869" t="s">
        <v>57</v>
      </c>
    </row>
    <row r="3870" spans="1:9">
      <c r="A3870" s="4" t="s">
        <v>7792</v>
      </c>
      <c r="B3870" s="4" t="s">
        <v>7793</v>
      </c>
      <c r="C3870" s="4" t="s">
        <v>31</v>
      </c>
      <c r="D3870" s="2">
        <f>199546864/(10^6)</f>
        <v>199.546864</v>
      </c>
      <c r="E3870" s="5">
        <v>19.5700588226318</v>
      </c>
      <c r="F3870" s="5">
        <v>1.30942332744598</v>
      </c>
      <c r="G3870" s="5">
        <v>0.538773357868195</v>
      </c>
      <c r="H3870" s="5">
        <v>7.37826538085938</v>
      </c>
      <c r="I3870" t="s">
        <v>57</v>
      </c>
    </row>
    <row r="3871" spans="1:9">
      <c r="A3871" s="4" t="s">
        <v>7794</v>
      </c>
      <c r="B3871" s="4" t="s">
        <v>7795</v>
      </c>
      <c r="C3871" s="4" t="s">
        <v>43</v>
      </c>
      <c r="D3871" s="2">
        <f>198898448/(10^6)</f>
        <v>198.898448</v>
      </c>
      <c r="E3871" s="5">
        <v>10.7373266220093</v>
      </c>
      <c r="F3871" s="5">
        <v>1.64997971057892</v>
      </c>
      <c r="G3871" s="5">
        <v>3.4027726650238</v>
      </c>
      <c r="H3871" s="5" t="s">
        <v>86</v>
      </c>
      <c r="I3871" t="s">
        <v>57</v>
      </c>
    </row>
    <row r="3872" spans="1:9">
      <c r="A3872" s="4" t="s">
        <v>7796</v>
      </c>
      <c r="B3872" s="4" t="s">
        <v>7797</v>
      </c>
      <c r="C3872" s="4" t="s">
        <v>47</v>
      </c>
      <c r="D3872" s="2">
        <f>198457920/(10^6)</f>
        <v>198.45792</v>
      </c>
      <c r="E3872" s="5">
        <v>4.71660280227661</v>
      </c>
      <c r="F3872" s="5">
        <v>1.58530533313751</v>
      </c>
      <c r="G3872" s="5">
        <v>0.564702868461609</v>
      </c>
      <c r="H3872" s="5">
        <v>5.57592487335205</v>
      </c>
      <c r="I3872" t="s">
        <v>57</v>
      </c>
    </row>
    <row r="3873" spans="1:9">
      <c r="A3873" s="4" t="s">
        <v>7798</v>
      </c>
      <c r="B3873" s="4" t="s">
        <v>7799</v>
      </c>
      <c r="C3873" s="4" t="s">
        <v>33</v>
      </c>
      <c r="D3873" s="2">
        <f>198353248/(10^6)</f>
        <v>198.353248</v>
      </c>
      <c r="E3873" s="5" t="s">
        <v>86</v>
      </c>
      <c r="F3873" s="5">
        <v>0.798418998718262</v>
      </c>
      <c r="G3873" s="5">
        <v>1.24699532985687</v>
      </c>
      <c r="H3873" s="5" t="s">
        <v>86</v>
      </c>
      <c r="I3873" t="s">
        <v>57</v>
      </c>
    </row>
    <row r="3874" spans="1:9">
      <c r="A3874" s="4" t="s">
        <v>7800</v>
      </c>
      <c r="B3874" s="4" t="s">
        <v>7801</v>
      </c>
      <c r="C3874" s="4" t="s">
        <v>47</v>
      </c>
      <c r="D3874" s="2">
        <f>198083984/(10^6)</f>
        <v>198.083984</v>
      </c>
      <c r="E3874" s="5">
        <v>4.84402751922607</v>
      </c>
      <c r="F3874" s="5">
        <v>0.51519650220871</v>
      </c>
      <c r="G3874" s="5">
        <v>0.155510723590851</v>
      </c>
      <c r="H3874" s="5">
        <v>6.55359792709351</v>
      </c>
      <c r="I3874" t="s">
        <v>57</v>
      </c>
    </row>
    <row r="3875" spans="1:9">
      <c r="A3875" s="4" t="s">
        <v>7802</v>
      </c>
      <c r="B3875" s="4" t="s">
        <v>7803</v>
      </c>
      <c r="C3875" s="4" t="s">
        <v>47</v>
      </c>
      <c r="D3875" s="2">
        <f>197129504/(10^6)</f>
        <v>197.129504</v>
      </c>
      <c r="E3875" s="5">
        <v>3.10207939147949</v>
      </c>
      <c r="F3875" s="5">
        <v>0.318288385868073</v>
      </c>
      <c r="G3875" s="5">
        <v>0.093287356197834</v>
      </c>
      <c r="H3875" s="5">
        <v>3.41670942306519</v>
      </c>
      <c r="I3875" t="s">
        <v>57</v>
      </c>
    </row>
    <row r="3876" spans="1:9">
      <c r="A3876" s="4" t="s">
        <v>7804</v>
      </c>
      <c r="B3876" s="4" t="s">
        <v>7805</v>
      </c>
      <c r="C3876" s="4" t="s">
        <v>51</v>
      </c>
      <c r="D3876" s="2">
        <f>196981024/(10^6)</f>
        <v>196.981024</v>
      </c>
      <c r="E3876" s="5" t="s">
        <v>86</v>
      </c>
      <c r="F3876" s="5">
        <v>1.07570028305054</v>
      </c>
      <c r="G3876" s="5">
        <v>0.322985947132111</v>
      </c>
      <c r="H3876" s="5">
        <v>14.3461132049561</v>
      </c>
      <c r="I3876" t="s">
        <v>57</v>
      </c>
    </row>
    <row r="3877" spans="1:9">
      <c r="A3877" s="4" t="s">
        <v>7806</v>
      </c>
      <c r="B3877" s="4" t="s">
        <v>7807</v>
      </c>
      <c r="C3877" s="4" t="s">
        <v>49</v>
      </c>
      <c r="D3877" s="2">
        <f>196420000/(10^6)</f>
        <v>196.42</v>
      </c>
      <c r="E3877" s="5" t="s">
        <v>86</v>
      </c>
      <c r="F3877" s="5">
        <v>0.297729134559631</v>
      </c>
      <c r="G3877" s="5" t="s">
        <v>86</v>
      </c>
      <c r="H3877" s="5" t="s">
        <v>86</v>
      </c>
      <c r="I3877" t="s">
        <v>57</v>
      </c>
    </row>
    <row r="3878" spans="1:9">
      <c r="A3878" s="4" t="s">
        <v>7808</v>
      </c>
      <c r="B3878" s="4" t="s">
        <v>7809</v>
      </c>
      <c r="C3878" s="4" t="s">
        <v>43</v>
      </c>
      <c r="D3878" s="2">
        <f>196309616/(10^6)</f>
        <v>196.309616</v>
      </c>
      <c r="E3878" s="5">
        <v>11.4150943756104</v>
      </c>
      <c r="F3878" s="5">
        <v>1.06849122047424</v>
      </c>
      <c r="G3878" s="5">
        <v>3.69102668762207</v>
      </c>
      <c r="H3878" s="5" t="s">
        <v>86</v>
      </c>
      <c r="I3878" t="s">
        <v>57</v>
      </c>
    </row>
    <row r="3879" spans="1:9">
      <c r="A3879" s="4" t="s">
        <v>7810</v>
      </c>
      <c r="B3879" s="4" t="s">
        <v>7811</v>
      </c>
      <c r="C3879" s="4" t="s">
        <v>47</v>
      </c>
      <c r="D3879" s="2">
        <f>195688208/(10^6)</f>
        <v>195.688208</v>
      </c>
      <c r="E3879" s="5">
        <v>7.98484373092651</v>
      </c>
      <c r="F3879" s="5">
        <v>0.726786434650421</v>
      </c>
      <c r="G3879" s="5">
        <v>0.301139384508133</v>
      </c>
      <c r="H3879" s="5">
        <v>5.2733154296875</v>
      </c>
      <c r="I3879" t="s">
        <v>57</v>
      </c>
    </row>
    <row r="3880" spans="1:9">
      <c r="A3880" s="4" t="s">
        <v>7812</v>
      </c>
      <c r="B3880" s="4" t="s">
        <v>4885</v>
      </c>
      <c r="C3880" s="4" t="s">
        <v>43</v>
      </c>
      <c r="D3880" s="2">
        <f>194783440/(10^6)</f>
        <v>194.78344</v>
      </c>
      <c r="E3880" s="5">
        <v>3.48214292526245</v>
      </c>
      <c r="F3880" s="5">
        <v>0.540589094161987</v>
      </c>
      <c r="G3880" s="5">
        <v>1.06703853607178</v>
      </c>
      <c r="H3880" s="5" t="s">
        <v>86</v>
      </c>
      <c r="I3880" t="s">
        <v>57</v>
      </c>
    </row>
    <row r="3881" spans="1:9">
      <c r="A3881" s="4" t="s">
        <v>7813</v>
      </c>
      <c r="B3881" s="4" t="s">
        <v>7814</v>
      </c>
      <c r="C3881" s="4" t="s">
        <v>45</v>
      </c>
      <c r="D3881" s="2">
        <f>193972736/(10^6)</f>
        <v>193.972736</v>
      </c>
      <c r="E3881" s="5" t="s">
        <v>86</v>
      </c>
      <c r="F3881" s="5">
        <v>0.677091777324677</v>
      </c>
      <c r="G3881" s="5">
        <v>3.619708776474</v>
      </c>
      <c r="H3881" s="5">
        <v>8.83237552642822</v>
      </c>
      <c r="I3881" t="s">
        <v>57</v>
      </c>
    </row>
    <row r="3882" spans="1:9">
      <c r="A3882" s="4" t="s">
        <v>7815</v>
      </c>
      <c r="B3882" s="4" t="s">
        <v>7816</v>
      </c>
      <c r="C3882" s="4" t="s">
        <v>49</v>
      </c>
      <c r="D3882" s="2">
        <f>193405520/(10^6)</f>
        <v>193.40552</v>
      </c>
      <c r="E3882" s="5" t="s">
        <v>86</v>
      </c>
      <c r="F3882" s="5" t="s">
        <v>86</v>
      </c>
      <c r="G3882" s="5" t="s">
        <v>86</v>
      </c>
      <c r="H3882" s="5" t="s">
        <v>86</v>
      </c>
      <c r="I3882" t="s">
        <v>57</v>
      </c>
    </row>
    <row r="3883" spans="1:9">
      <c r="A3883" s="4" t="s">
        <v>7817</v>
      </c>
      <c r="B3883" s="4" t="s">
        <v>7818</v>
      </c>
      <c r="C3883" s="4" t="s">
        <v>51</v>
      </c>
      <c r="D3883" s="2">
        <f>193374144/(10^6)</f>
        <v>193.374144</v>
      </c>
      <c r="E3883" s="5" t="s">
        <v>86</v>
      </c>
      <c r="F3883" s="5">
        <v>4.37557554244995</v>
      </c>
      <c r="G3883" s="5">
        <v>87.125358581543</v>
      </c>
      <c r="H3883" s="5" t="s">
        <v>86</v>
      </c>
      <c r="I3883" t="s">
        <v>57</v>
      </c>
    </row>
    <row r="3884" spans="1:9">
      <c r="A3884" s="4" t="s">
        <v>7819</v>
      </c>
      <c r="B3884" s="4" t="s">
        <v>7820</v>
      </c>
      <c r="C3884" s="4" t="s">
        <v>43</v>
      </c>
      <c r="D3884" s="2">
        <f>193139792/(10^6)</f>
        <v>193.139792</v>
      </c>
      <c r="E3884" s="5">
        <v>7.33408403396606</v>
      </c>
      <c r="F3884" s="5">
        <v>0.770128607749939</v>
      </c>
      <c r="G3884" s="5">
        <v>3.63157534599304</v>
      </c>
      <c r="H3884" s="5" t="s">
        <v>86</v>
      </c>
      <c r="I3884" t="s">
        <v>57</v>
      </c>
    </row>
    <row r="3885" spans="1:9">
      <c r="A3885" s="4" t="s">
        <v>7821</v>
      </c>
      <c r="B3885" s="4" t="s">
        <v>7822</v>
      </c>
      <c r="C3885" s="4" t="s">
        <v>41</v>
      </c>
      <c r="D3885" s="2">
        <f>192545952/(10^6)</f>
        <v>192.545952</v>
      </c>
      <c r="E3885" s="5">
        <v>1.45871233940125</v>
      </c>
      <c r="F3885" s="5">
        <v>1.63354349136352</v>
      </c>
      <c r="G3885" s="5">
        <v>0.593897521495819</v>
      </c>
      <c r="H3885" s="5">
        <v>1.15593457221985</v>
      </c>
      <c r="I3885" t="s">
        <v>57</v>
      </c>
    </row>
    <row r="3886" spans="1:9">
      <c r="A3886" s="4" t="s">
        <v>7823</v>
      </c>
      <c r="B3886" s="4" t="s">
        <v>7824</v>
      </c>
      <c r="C3886" s="4" t="s">
        <v>41</v>
      </c>
      <c r="D3886" s="2">
        <f>192046208/(10^6)</f>
        <v>192.046208</v>
      </c>
      <c r="E3886" s="5">
        <v>58.0486068725586</v>
      </c>
      <c r="F3886" s="5">
        <v>2.31308484077454</v>
      </c>
      <c r="G3886" s="5">
        <v>6.69511604309082</v>
      </c>
      <c r="H3886" s="5">
        <v>133.631942749023</v>
      </c>
      <c r="I3886" t="s">
        <v>57</v>
      </c>
    </row>
    <row r="3887" spans="1:9">
      <c r="A3887" s="4" t="s">
        <v>7825</v>
      </c>
      <c r="B3887" s="4" t="s">
        <v>7826</v>
      </c>
      <c r="C3887" s="4" t="s">
        <v>37</v>
      </c>
      <c r="D3887" s="2">
        <f>191759776/(10^6)</f>
        <v>191.759776</v>
      </c>
      <c r="E3887" s="5">
        <v>4.22074842453003</v>
      </c>
      <c r="F3887" s="5">
        <v>1.12081611156464</v>
      </c>
      <c r="G3887" s="5">
        <v>0.042869061231613</v>
      </c>
      <c r="H3887" s="5">
        <v>4.59937810897827</v>
      </c>
      <c r="I3887" t="s">
        <v>57</v>
      </c>
    </row>
    <row r="3888" spans="1:9">
      <c r="A3888" s="4" t="s">
        <v>7827</v>
      </c>
      <c r="B3888" s="4" t="s">
        <v>7828</v>
      </c>
      <c r="C3888" s="4" t="s">
        <v>37</v>
      </c>
      <c r="D3888" s="2">
        <f>191272704/(10^6)</f>
        <v>191.272704</v>
      </c>
      <c r="E3888" s="5">
        <v>8.32388782501221</v>
      </c>
      <c r="F3888" s="5">
        <v>0.938558459281921</v>
      </c>
      <c r="G3888" s="5">
        <v>1.08462715148926</v>
      </c>
      <c r="H3888" s="5">
        <v>4.45796871185303</v>
      </c>
      <c r="I3888" t="s">
        <v>57</v>
      </c>
    </row>
    <row r="3889" spans="1:9">
      <c r="A3889" s="4" t="s">
        <v>7829</v>
      </c>
      <c r="B3889" s="4" t="s">
        <v>7830</v>
      </c>
      <c r="C3889" s="4" t="s">
        <v>41</v>
      </c>
      <c r="D3889" s="2">
        <f>191222496/(10^6)</f>
        <v>191.222496</v>
      </c>
      <c r="E3889" s="5" t="s">
        <v>86</v>
      </c>
      <c r="F3889" s="5">
        <v>8.3396053314209</v>
      </c>
      <c r="G3889" s="5">
        <v>6.01333379745483</v>
      </c>
      <c r="H3889" s="5" t="s">
        <v>86</v>
      </c>
      <c r="I3889" t="s">
        <v>57</v>
      </c>
    </row>
    <row r="3890" spans="1:9">
      <c r="A3890" s="4" t="s">
        <v>7831</v>
      </c>
      <c r="B3890" s="4" t="s">
        <v>7832</v>
      </c>
      <c r="C3890" s="4" t="s">
        <v>27</v>
      </c>
      <c r="D3890" s="2">
        <f>189520352/(10^6)</f>
        <v>189.520352</v>
      </c>
      <c r="E3890" s="5" t="s">
        <v>86</v>
      </c>
      <c r="F3890" s="5" t="s">
        <v>86</v>
      </c>
      <c r="G3890" s="5">
        <v>32.708065032959</v>
      </c>
      <c r="H3890" s="5" t="s">
        <v>86</v>
      </c>
      <c r="I3890" t="s">
        <v>57</v>
      </c>
    </row>
    <row r="3891" spans="1:9">
      <c r="A3891" s="4" t="s">
        <v>7833</v>
      </c>
      <c r="B3891" s="4" t="s">
        <v>7834</v>
      </c>
      <c r="C3891" s="4" t="s">
        <v>43</v>
      </c>
      <c r="D3891" s="2">
        <f>189407280/(10^6)</f>
        <v>189.40728</v>
      </c>
      <c r="E3891" s="5">
        <v>13.5215711593628</v>
      </c>
      <c r="F3891" s="5">
        <v>4.14574480056763</v>
      </c>
      <c r="G3891" s="5">
        <v>0.785763442516327</v>
      </c>
      <c r="H3891" s="5">
        <v>7.08355331420898</v>
      </c>
      <c r="I3891" t="s">
        <v>57</v>
      </c>
    </row>
    <row r="3892" spans="1:9">
      <c r="A3892" s="4" t="s">
        <v>7835</v>
      </c>
      <c r="B3892" s="4" t="s">
        <v>7836</v>
      </c>
      <c r="C3892" s="4" t="s">
        <v>43</v>
      </c>
      <c r="D3892" s="2">
        <f>188620928/(10^6)</f>
        <v>188.620928</v>
      </c>
      <c r="E3892" s="5">
        <v>18.0711975097656</v>
      </c>
      <c r="F3892" s="5">
        <v>1.9003723859787</v>
      </c>
      <c r="G3892" s="5">
        <v>4.77446937561035</v>
      </c>
      <c r="H3892" s="5" t="s">
        <v>86</v>
      </c>
      <c r="I3892" t="s">
        <v>57</v>
      </c>
    </row>
    <row r="3893" spans="1:9">
      <c r="A3893" s="4" t="s">
        <v>7837</v>
      </c>
      <c r="B3893" s="4" t="s">
        <v>7838</v>
      </c>
      <c r="C3893" s="4" t="s">
        <v>51</v>
      </c>
      <c r="D3893" s="2">
        <f>188414816/(10^6)</f>
        <v>188.414816</v>
      </c>
      <c r="E3893" s="5" t="s">
        <v>86</v>
      </c>
      <c r="F3893" s="5">
        <v>24.2504749298096</v>
      </c>
      <c r="G3893" s="5">
        <v>178.412124633789</v>
      </c>
      <c r="H3893" s="5" t="s">
        <v>86</v>
      </c>
      <c r="I3893" t="s">
        <v>57</v>
      </c>
    </row>
    <row r="3894" spans="1:9">
      <c r="A3894" s="4" t="s">
        <v>7839</v>
      </c>
      <c r="B3894" s="4" t="s">
        <v>7840</v>
      </c>
      <c r="C3894" s="4" t="s">
        <v>31</v>
      </c>
      <c r="D3894" s="2">
        <f>187829856/(10^6)</f>
        <v>187.829856</v>
      </c>
      <c r="E3894" s="5">
        <v>76.2898025512695</v>
      </c>
      <c r="F3894" s="5">
        <v>2.21435928344727</v>
      </c>
      <c r="G3894" s="5">
        <v>0.753022015094757</v>
      </c>
      <c r="H3894" s="5">
        <v>22.980770111084</v>
      </c>
      <c r="I3894" t="s">
        <v>57</v>
      </c>
    </row>
    <row r="3895" spans="1:9">
      <c r="A3895" s="4" t="s">
        <v>7841</v>
      </c>
      <c r="B3895" s="4" t="s">
        <v>7842</v>
      </c>
      <c r="C3895" s="4" t="s">
        <v>41</v>
      </c>
      <c r="D3895" s="2">
        <f>187781664/(10^6)</f>
        <v>187.781664</v>
      </c>
      <c r="E3895" s="5">
        <v>0.844560384750366</v>
      </c>
      <c r="F3895" s="5">
        <v>0.096643432974815</v>
      </c>
      <c r="G3895" s="5">
        <v>0.059124276041985</v>
      </c>
      <c r="H3895" s="5" t="s">
        <v>86</v>
      </c>
      <c r="I3895" t="s">
        <v>57</v>
      </c>
    </row>
    <row r="3896" spans="1:9">
      <c r="A3896" s="4" t="s">
        <v>7843</v>
      </c>
      <c r="B3896" s="4" t="s">
        <v>7844</v>
      </c>
      <c r="C3896" s="4" t="s">
        <v>49</v>
      </c>
      <c r="D3896" s="2">
        <f>187773440/(10^6)</f>
        <v>187.77344</v>
      </c>
      <c r="E3896" s="5">
        <v>83.0670394897461</v>
      </c>
      <c r="F3896" s="5">
        <v>1.30650162696838</v>
      </c>
      <c r="G3896" s="5" t="s">
        <v>86</v>
      </c>
      <c r="H3896" s="5" t="s">
        <v>86</v>
      </c>
      <c r="I3896" t="s">
        <v>57</v>
      </c>
    </row>
    <row r="3897" spans="1:9">
      <c r="A3897" s="4" t="s">
        <v>7845</v>
      </c>
      <c r="B3897" s="4" t="s">
        <v>7846</v>
      </c>
      <c r="C3897" s="4" t="s">
        <v>31</v>
      </c>
      <c r="D3897" s="2">
        <f>187165376/(10^6)</f>
        <v>187.165376</v>
      </c>
      <c r="E3897" s="5">
        <v>22.5046558380127</v>
      </c>
      <c r="F3897" s="5">
        <v>2.88756084442139</v>
      </c>
      <c r="G3897" s="5">
        <v>1.07582640647888</v>
      </c>
      <c r="H3897" s="5">
        <v>12.4532289505005</v>
      </c>
      <c r="I3897" t="s">
        <v>57</v>
      </c>
    </row>
    <row r="3898" spans="1:9">
      <c r="A3898" s="4" t="s">
        <v>7847</v>
      </c>
      <c r="B3898" s="4" t="s">
        <v>7848</v>
      </c>
      <c r="C3898" s="4" t="s">
        <v>41</v>
      </c>
      <c r="D3898" s="2">
        <f>187119152/(10^6)</f>
        <v>187.119152</v>
      </c>
      <c r="E3898" s="5" t="s">
        <v>86</v>
      </c>
      <c r="F3898" s="5">
        <v>33.7498626708984</v>
      </c>
      <c r="G3898" s="5">
        <v>5.1931266784668</v>
      </c>
      <c r="H3898" s="5" t="s">
        <v>86</v>
      </c>
      <c r="I3898" t="s">
        <v>57</v>
      </c>
    </row>
    <row r="3899" spans="1:9">
      <c r="A3899" s="4" t="s">
        <v>7849</v>
      </c>
      <c r="B3899" s="4" t="s">
        <v>7850</v>
      </c>
      <c r="C3899" s="4" t="s">
        <v>27</v>
      </c>
      <c r="D3899" s="2">
        <f>186761888/(10^6)</f>
        <v>186.761888</v>
      </c>
      <c r="E3899" s="5">
        <v>4.7493724822998</v>
      </c>
      <c r="F3899" s="5">
        <v>0.645359575748444</v>
      </c>
      <c r="G3899" s="5">
        <v>1.32645440101623</v>
      </c>
      <c r="H3899" s="5" t="s">
        <v>86</v>
      </c>
      <c r="I3899" t="s">
        <v>57</v>
      </c>
    </row>
    <row r="3900" spans="1:9">
      <c r="A3900" s="4" t="s">
        <v>7851</v>
      </c>
      <c r="B3900" s="4" t="s">
        <v>7852</v>
      </c>
      <c r="C3900" s="4" t="s">
        <v>43</v>
      </c>
      <c r="D3900" s="2">
        <f>186403648/(10^6)</f>
        <v>186.403648</v>
      </c>
      <c r="E3900" s="5">
        <v>70.3714141845703</v>
      </c>
      <c r="F3900" s="5">
        <v>1.18542814254761</v>
      </c>
      <c r="G3900" s="5">
        <v>3.53896617889404</v>
      </c>
      <c r="H3900" s="5" t="s">
        <v>86</v>
      </c>
      <c r="I3900" t="s">
        <v>57</v>
      </c>
    </row>
    <row r="3901" spans="1:9">
      <c r="A3901" s="4" t="s">
        <v>7853</v>
      </c>
      <c r="B3901" s="4" t="s">
        <v>7854</v>
      </c>
      <c r="C3901" s="4" t="s">
        <v>43</v>
      </c>
      <c r="D3901" s="2">
        <f>186385392/(10^6)</f>
        <v>186.385392</v>
      </c>
      <c r="E3901" s="5">
        <v>4.42595529556274</v>
      </c>
      <c r="F3901" s="5">
        <v>0.316422253847122</v>
      </c>
      <c r="G3901" s="5">
        <v>1.68833255767822</v>
      </c>
      <c r="H3901" s="5" t="s">
        <v>86</v>
      </c>
      <c r="I3901" t="s">
        <v>57</v>
      </c>
    </row>
    <row r="3902" spans="1:9">
      <c r="A3902" s="4" t="s">
        <v>7855</v>
      </c>
      <c r="B3902" s="4" t="s">
        <v>7856</v>
      </c>
      <c r="C3902" s="4" t="s">
        <v>49</v>
      </c>
      <c r="D3902" s="2">
        <f>185940624/(10^6)</f>
        <v>185.940624</v>
      </c>
      <c r="E3902" s="5">
        <v>4792.87109375</v>
      </c>
      <c r="F3902" s="5">
        <v>0.317455917596817</v>
      </c>
      <c r="G3902" s="5" t="s">
        <v>86</v>
      </c>
      <c r="H3902" s="5" t="s">
        <v>86</v>
      </c>
      <c r="I3902" t="s">
        <v>57</v>
      </c>
    </row>
    <row r="3903" spans="1:9">
      <c r="A3903" s="4" t="s">
        <v>7857</v>
      </c>
      <c r="B3903" s="4" t="s">
        <v>7858</v>
      </c>
      <c r="C3903" s="4" t="s">
        <v>47</v>
      </c>
      <c r="D3903" s="2">
        <f>185901904/(10^6)</f>
        <v>185.901904</v>
      </c>
      <c r="E3903" s="5" t="s">
        <v>86</v>
      </c>
      <c r="F3903" s="5">
        <v>1.58083689212799</v>
      </c>
      <c r="G3903" s="5">
        <v>0.109867818653584</v>
      </c>
      <c r="H3903" s="5" t="s">
        <v>86</v>
      </c>
      <c r="I3903" t="s">
        <v>57</v>
      </c>
    </row>
    <row r="3904" spans="1:9">
      <c r="A3904" s="4" t="s">
        <v>7859</v>
      </c>
      <c r="B3904" s="4" t="s">
        <v>7860</v>
      </c>
      <c r="C3904" s="4" t="s">
        <v>41</v>
      </c>
      <c r="D3904" s="2">
        <f>185476112/(10^6)</f>
        <v>185.476112</v>
      </c>
      <c r="E3904" s="5" t="s">
        <v>86</v>
      </c>
      <c r="F3904" s="5">
        <v>4.21508312225342</v>
      </c>
      <c r="G3904" s="5">
        <v>9.0692195892334</v>
      </c>
      <c r="H3904" s="5" t="s">
        <v>86</v>
      </c>
      <c r="I3904" t="s">
        <v>57</v>
      </c>
    </row>
    <row r="3905" spans="1:9">
      <c r="A3905" s="4" t="s">
        <v>7861</v>
      </c>
      <c r="B3905" s="4" t="s">
        <v>7862</v>
      </c>
      <c r="C3905" s="4" t="s">
        <v>51</v>
      </c>
      <c r="D3905" s="2">
        <f>185373568/(10^6)</f>
        <v>185.373568</v>
      </c>
      <c r="E3905" s="5">
        <v>39.6489601135254</v>
      </c>
      <c r="F3905" s="5">
        <v>1.84836995601654</v>
      </c>
      <c r="G3905" s="5">
        <v>1.407670378685</v>
      </c>
      <c r="H3905" s="5">
        <v>10.0811052322388</v>
      </c>
      <c r="I3905" t="s">
        <v>57</v>
      </c>
    </row>
    <row r="3906" spans="1:9">
      <c r="A3906" s="4" t="s">
        <v>7863</v>
      </c>
      <c r="B3906" s="4" t="s">
        <v>7864</v>
      </c>
      <c r="C3906" s="4" t="s">
        <v>47</v>
      </c>
      <c r="D3906" s="2">
        <f>185352896/(10^6)</f>
        <v>185.352896</v>
      </c>
      <c r="E3906" s="5" t="s">
        <v>86</v>
      </c>
      <c r="F3906" s="5">
        <v>0.638896942138672</v>
      </c>
      <c r="G3906" s="5">
        <v>0.18925878405571</v>
      </c>
      <c r="H3906" s="5">
        <v>6.83826875686646</v>
      </c>
      <c r="I3906" t="s">
        <v>57</v>
      </c>
    </row>
    <row r="3907" spans="1:9">
      <c r="A3907" s="4" t="s">
        <v>7865</v>
      </c>
      <c r="B3907" s="4" t="s">
        <v>7866</v>
      </c>
      <c r="C3907" s="4" t="s">
        <v>49</v>
      </c>
      <c r="D3907" s="2">
        <f>184913376/(10^6)</f>
        <v>184.913376</v>
      </c>
      <c r="E3907" s="5" t="s">
        <v>86</v>
      </c>
      <c r="F3907" s="5">
        <v>1.09015440940857</v>
      </c>
      <c r="G3907" s="5" t="s">
        <v>86</v>
      </c>
      <c r="H3907" s="5" t="s">
        <v>86</v>
      </c>
      <c r="I3907" t="s">
        <v>57</v>
      </c>
    </row>
    <row r="3908" spans="1:9">
      <c r="A3908" s="4" t="s">
        <v>7867</v>
      </c>
      <c r="B3908" s="4" t="s">
        <v>7868</v>
      </c>
      <c r="C3908" s="4" t="s">
        <v>27</v>
      </c>
      <c r="D3908" s="2">
        <f>184267408/(10^6)</f>
        <v>184.267408</v>
      </c>
      <c r="E3908" s="5">
        <v>0.064628787338734</v>
      </c>
      <c r="F3908" s="5" t="s">
        <v>86</v>
      </c>
      <c r="G3908" s="5">
        <v>0.312907785177231</v>
      </c>
      <c r="H3908" s="5" t="s">
        <v>86</v>
      </c>
      <c r="I3908" t="s">
        <v>57</v>
      </c>
    </row>
    <row r="3909" spans="1:9">
      <c r="A3909" s="4" t="s">
        <v>7869</v>
      </c>
      <c r="B3909" s="4" t="s">
        <v>7870</v>
      </c>
      <c r="C3909" s="4" t="s">
        <v>43</v>
      </c>
      <c r="D3909" s="2">
        <f>184086016/(10^6)</f>
        <v>184.086016</v>
      </c>
      <c r="E3909" s="5">
        <v>10.6824731826782</v>
      </c>
      <c r="F3909" s="5">
        <v>0.981376171112061</v>
      </c>
      <c r="G3909" s="5">
        <v>2.84474778175354</v>
      </c>
      <c r="H3909" s="5" t="s">
        <v>86</v>
      </c>
      <c r="I3909" t="s">
        <v>57</v>
      </c>
    </row>
    <row r="3910" spans="1:9">
      <c r="A3910" s="4" t="s">
        <v>7871</v>
      </c>
      <c r="B3910" s="4" t="s">
        <v>7872</v>
      </c>
      <c r="C3910" s="4" t="s">
        <v>41</v>
      </c>
      <c r="D3910" s="2">
        <f>184044320/(10^6)</f>
        <v>184.04432</v>
      </c>
      <c r="E3910" s="5" t="s">
        <v>86</v>
      </c>
      <c r="F3910" s="5">
        <v>3.7287700176239</v>
      </c>
      <c r="G3910" s="5" t="s">
        <v>86</v>
      </c>
      <c r="H3910" s="5" t="s">
        <v>86</v>
      </c>
      <c r="I3910" t="s">
        <v>57</v>
      </c>
    </row>
    <row r="3911" spans="1:9">
      <c r="A3911" s="4" t="s">
        <v>7873</v>
      </c>
      <c r="B3911" s="4" t="s">
        <v>7874</v>
      </c>
      <c r="C3911" s="4" t="s">
        <v>41</v>
      </c>
      <c r="D3911" s="2">
        <f>183624640/(10^6)</f>
        <v>183.62464</v>
      </c>
      <c r="E3911" s="5" t="s">
        <v>86</v>
      </c>
      <c r="F3911" s="5">
        <v>2.98174357414246</v>
      </c>
      <c r="G3911" s="5">
        <v>4.8537917137146</v>
      </c>
      <c r="H3911" s="5" t="s">
        <v>86</v>
      </c>
      <c r="I3911" t="s">
        <v>57</v>
      </c>
    </row>
    <row r="3912" spans="1:9">
      <c r="A3912" s="4" t="s">
        <v>7875</v>
      </c>
      <c r="B3912" s="4" t="s">
        <v>7876</v>
      </c>
      <c r="C3912" s="4" t="s">
        <v>45</v>
      </c>
      <c r="D3912" s="2">
        <f>183340896/(10^6)</f>
        <v>183.340896</v>
      </c>
      <c r="E3912" s="5" t="s">
        <v>86</v>
      </c>
      <c r="F3912" s="5">
        <v>1.45470690727234</v>
      </c>
      <c r="G3912" s="5">
        <v>31.2026348114014</v>
      </c>
      <c r="H3912" s="5" t="s">
        <v>86</v>
      </c>
      <c r="I3912" t="s">
        <v>57</v>
      </c>
    </row>
    <row r="3913" spans="1:9">
      <c r="A3913" s="4" t="s">
        <v>7877</v>
      </c>
      <c r="B3913" s="4" t="s">
        <v>7878</v>
      </c>
      <c r="C3913" s="4" t="s">
        <v>41</v>
      </c>
      <c r="D3913" s="2">
        <f>183210800/(10^6)</f>
        <v>183.2108</v>
      </c>
      <c r="E3913" s="5" t="s">
        <v>86</v>
      </c>
      <c r="F3913" s="5">
        <v>21.7947769165039</v>
      </c>
      <c r="G3913" s="5">
        <v>16.5982875823975</v>
      </c>
      <c r="H3913" s="5" t="s">
        <v>86</v>
      </c>
      <c r="I3913" t="s">
        <v>57</v>
      </c>
    </row>
    <row r="3914" spans="1:9">
      <c r="A3914" s="4" t="s">
        <v>7879</v>
      </c>
      <c r="B3914" s="4" t="s">
        <v>7880</v>
      </c>
      <c r="C3914" s="4" t="s">
        <v>43</v>
      </c>
      <c r="D3914" s="2">
        <f>183048528/(10^6)</f>
        <v>183.048528</v>
      </c>
      <c r="E3914" s="5">
        <v>36.9289970397949</v>
      </c>
      <c r="F3914" s="5">
        <v>0.498166382312775</v>
      </c>
      <c r="G3914" s="5">
        <v>0.372406601905823</v>
      </c>
      <c r="H3914" s="5" t="s">
        <v>86</v>
      </c>
      <c r="I3914" t="s">
        <v>57</v>
      </c>
    </row>
    <row r="3915" spans="1:9">
      <c r="A3915" s="4" t="s">
        <v>7881</v>
      </c>
      <c r="B3915" s="4" t="s">
        <v>7882</v>
      </c>
      <c r="C3915" s="4" t="s">
        <v>43</v>
      </c>
      <c r="D3915" s="2">
        <f>183048528/(10^6)</f>
        <v>183.048528</v>
      </c>
      <c r="E3915" s="5">
        <v>36.9289970397949</v>
      </c>
      <c r="F3915" s="5">
        <v>0.498166382312775</v>
      </c>
      <c r="G3915" s="5">
        <v>0.372406601905823</v>
      </c>
      <c r="H3915" s="5" t="s">
        <v>86</v>
      </c>
      <c r="I3915" t="s">
        <v>57</v>
      </c>
    </row>
    <row r="3916" spans="1:9">
      <c r="A3916" s="4" t="s">
        <v>7883</v>
      </c>
      <c r="B3916" s="4" t="s">
        <v>7884</v>
      </c>
      <c r="C3916" s="4" t="s">
        <v>47</v>
      </c>
      <c r="D3916" s="2">
        <f>182877600/(10^6)</f>
        <v>182.8776</v>
      </c>
      <c r="E3916" s="5">
        <v>4.5678768157959</v>
      </c>
      <c r="F3916" s="5">
        <v>0.555887639522552</v>
      </c>
      <c r="G3916" s="5">
        <v>0.158107832074165</v>
      </c>
      <c r="H3916" s="5">
        <v>3.14096570014954</v>
      </c>
      <c r="I3916" t="s">
        <v>57</v>
      </c>
    </row>
    <row r="3917" spans="1:9">
      <c r="A3917" s="4" t="s">
        <v>7885</v>
      </c>
      <c r="B3917" s="4" t="s">
        <v>7886</v>
      </c>
      <c r="C3917" s="4" t="s">
        <v>43</v>
      </c>
      <c r="D3917" s="2">
        <f>182494864/(10^6)</f>
        <v>182.494864</v>
      </c>
      <c r="E3917" s="5">
        <v>5.73373794555664</v>
      </c>
      <c r="F3917" s="5">
        <v>0.442615687847137</v>
      </c>
      <c r="G3917" s="5">
        <v>2.3668053150177</v>
      </c>
      <c r="H3917" s="5" t="s">
        <v>86</v>
      </c>
      <c r="I3917" t="s">
        <v>57</v>
      </c>
    </row>
    <row r="3918" spans="1:9">
      <c r="A3918" s="4" t="s">
        <v>7887</v>
      </c>
      <c r="B3918" s="4" t="s">
        <v>7888</v>
      </c>
      <c r="C3918" s="4" t="s">
        <v>43</v>
      </c>
      <c r="D3918" s="2">
        <f>182470832/(10^6)</f>
        <v>182.470832</v>
      </c>
      <c r="E3918" s="5">
        <v>12.5375680923462</v>
      </c>
      <c r="F3918" s="5">
        <v>1.16862940788269</v>
      </c>
      <c r="G3918" s="5">
        <v>2.67306137084961</v>
      </c>
      <c r="H3918" s="5" t="s">
        <v>86</v>
      </c>
      <c r="I3918" t="s">
        <v>57</v>
      </c>
    </row>
    <row r="3919" spans="1:9">
      <c r="A3919" s="4" t="s">
        <v>7889</v>
      </c>
      <c r="B3919" s="4" t="s">
        <v>7890</v>
      </c>
      <c r="C3919" s="4" t="s">
        <v>41</v>
      </c>
      <c r="D3919" s="2">
        <f>181936016/(10^6)</f>
        <v>181.936016</v>
      </c>
      <c r="E3919" s="5" t="s">
        <v>86</v>
      </c>
      <c r="F3919" s="5">
        <v>3.93240857124329</v>
      </c>
      <c r="G3919" s="5">
        <v>0.982446014881134</v>
      </c>
      <c r="H3919" s="5" t="s">
        <v>86</v>
      </c>
      <c r="I3919" t="s">
        <v>57</v>
      </c>
    </row>
    <row r="3920" spans="1:9">
      <c r="A3920" s="4" t="s">
        <v>7891</v>
      </c>
      <c r="B3920" s="4" t="s">
        <v>7892</v>
      </c>
      <c r="C3920" s="4" t="s">
        <v>39</v>
      </c>
      <c r="D3920" s="2">
        <f>180676912/(10^6)</f>
        <v>180.676912</v>
      </c>
      <c r="E3920" s="5">
        <v>61.0428848266602</v>
      </c>
      <c r="F3920" s="5">
        <v>2.40623664855957</v>
      </c>
      <c r="G3920" s="5">
        <v>0.578916847705841</v>
      </c>
      <c r="H3920" s="5">
        <v>11.2895002365112</v>
      </c>
      <c r="I3920" t="s">
        <v>57</v>
      </c>
    </row>
    <row r="3921" spans="1:9">
      <c r="A3921" s="4" t="s">
        <v>7893</v>
      </c>
      <c r="B3921" s="4" t="s">
        <v>7894</v>
      </c>
      <c r="C3921" s="4" t="s">
        <v>43</v>
      </c>
      <c r="D3921" s="2">
        <f>180594448/(10^6)</f>
        <v>180.594448</v>
      </c>
      <c r="E3921" s="5">
        <v>7.41125106811523</v>
      </c>
      <c r="F3921" s="5">
        <v>0.95292454957962</v>
      </c>
      <c r="G3921" s="5">
        <v>2.05346918106079</v>
      </c>
      <c r="H3921" s="5" t="s">
        <v>86</v>
      </c>
      <c r="I3921" t="s">
        <v>57</v>
      </c>
    </row>
    <row r="3922" spans="1:9">
      <c r="A3922" s="4" t="s">
        <v>7895</v>
      </c>
      <c r="B3922" s="4" t="s">
        <v>7896</v>
      </c>
      <c r="C3922" s="4" t="s">
        <v>43</v>
      </c>
      <c r="D3922" s="2">
        <f>180518192/(10^6)</f>
        <v>180.518192</v>
      </c>
      <c r="E3922" s="5">
        <v>4.91554021835327</v>
      </c>
      <c r="F3922" s="5">
        <v>0.671012699604034</v>
      </c>
      <c r="G3922" s="5">
        <v>0.205686703324318</v>
      </c>
      <c r="H3922" s="5">
        <v>3.61808443069458</v>
      </c>
      <c r="I3922" t="s">
        <v>57</v>
      </c>
    </row>
    <row r="3923" spans="1:9">
      <c r="A3923" s="4" t="s">
        <v>7897</v>
      </c>
      <c r="B3923" s="4" t="s">
        <v>7898</v>
      </c>
      <c r="C3923" s="4" t="s">
        <v>27</v>
      </c>
      <c r="D3923" s="2">
        <f>180419088/(10^6)</f>
        <v>180.419088</v>
      </c>
      <c r="E3923" s="5">
        <v>21.9093627929688</v>
      </c>
      <c r="F3923" s="5">
        <v>0.524503171443939</v>
      </c>
      <c r="G3923" s="5">
        <v>0.524644494056702</v>
      </c>
      <c r="H3923" s="5">
        <v>4.8685245513916</v>
      </c>
      <c r="I3923" t="s">
        <v>57</v>
      </c>
    </row>
    <row r="3924" spans="1:9">
      <c r="A3924" s="4" t="s">
        <v>7899</v>
      </c>
      <c r="B3924" s="4" t="s">
        <v>7900</v>
      </c>
      <c r="C3924" s="4" t="s">
        <v>27</v>
      </c>
      <c r="D3924" s="2">
        <f>180354336/(10^6)</f>
        <v>180.354336</v>
      </c>
      <c r="E3924" s="5" t="s">
        <v>86</v>
      </c>
      <c r="F3924" s="5">
        <v>0.091822974383831</v>
      </c>
      <c r="G3924" s="5">
        <v>0.049688700586557</v>
      </c>
      <c r="H3924" s="5">
        <v>6.51830053329468</v>
      </c>
      <c r="I3924" t="s">
        <v>57</v>
      </c>
    </row>
    <row r="3925" spans="1:9">
      <c r="A3925" s="4" t="s">
        <v>7901</v>
      </c>
      <c r="B3925" s="4" t="s">
        <v>7902</v>
      </c>
      <c r="C3925" s="4" t="s">
        <v>43</v>
      </c>
      <c r="D3925" s="2">
        <f>180333040/(10^6)</f>
        <v>180.33304</v>
      </c>
      <c r="E3925" s="5">
        <v>7.39440393447876</v>
      </c>
      <c r="F3925" s="5">
        <v>0.625082194805145</v>
      </c>
      <c r="G3925" s="5">
        <v>1.5646094083786</v>
      </c>
      <c r="H3925" s="5" t="s">
        <v>86</v>
      </c>
      <c r="I3925" t="s">
        <v>57</v>
      </c>
    </row>
    <row r="3926" spans="1:9">
      <c r="A3926" s="4" t="s">
        <v>7903</v>
      </c>
      <c r="B3926" s="4" t="s">
        <v>7904</v>
      </c>
      <c r="C3926" s="4" t="s">
        <v>43</v>
      </c>
      <c r="D3926" s="2">
        <f>180104464/(10^6)</f>
        <v>180.104464</v>
      </c>
      <c r="E3926" s="5">
        <v>12.5884962081909</v>
      </c>
      <c r="F3926" s="5">
        <v>1.31012189388275</v>
      </c>
      <c r="G3926" s="5">
        <v>3.30005836486816</v>
      </c>
      <c r="H3926" s="5" t="s">
        <v>86</v>
      </c>
      <c r="I3926" t="s">
        <v>57</v>
      </c>
    </row>
    <row r="3927" spans="1:9">
      <c r="A3927" s="4" t="s">
        <v>7905</v>
      </c>
      <c r="B3927" s="4" t="s">
        <v>7906</v>
      </c>
      <c r="C3927" s="4" t="s">
        <v>33</v>
      </c>
      <c r="D3927" s="2">
        <f>179866592/(10^6)</f>
        <v>179.866592</v>
      </c>
      <c r="E3927" s="5">
        <v>5.63161182403565</v>
      </c>
      <c r="F3927" s="5">
        <v>0.280860751867294</v>
      </c>
      <c r="G3927" s="5">
        <v>0.501221895217896</v>
      </c>
      <c r="H3927" s="5">
        <v>24.5920886993408</v>
      </c>
      <c r="I3927" t="s">
        <v>57</v>
      </c>
    </row>
    <row r="3928" spans="1:9">
      <c r="A3928" s="4" t="s">
        <v>7907</v>
      </c>
      <c r="B3928" s="4" t="s">
        <v>7908</v>
      </c>
      <c r="C3928" s="4" t="s">
        <v>31</v>
      </c>
      <c r="D3928" s="2">
        <f>179613168/(10^6)</f>
        <v>179.613168</v>
      </c>
      <c r="E3928" s="5">
        <v>34.4366073608398</v>
      </c>
      <c r="F3928" s="5">
        <v>0.513958036899567</v>
      </c>
      <c r="G3928" s="5">
        <v>0.199906095862389</v>
      </c>
      <c r="H3928" s="5">
        <v>4.48203229904175</v>
      </c>
      <c r="I3928" t="s">
        <v>57</v>
      </c>
    </row>
    <row r="3929" spans="1:9">
      <c r="A3929" s="4" t="s">
        <v>7909</v>
      </c>
      <c r="B3929" s="4" t="s">
        <v>7910</v>
      </c>
      <c r="C3929" s="4" t="s">
        <v>33</v>
      </c>
      <c r="D3929" s="2">
        <f>179464880/(10^6)</f>
        <v>179.46488</v>
      </c>
      <c r="E3929" s="5" t="s">
        <v>86</v>
      </c>
      <c r="F3929" s="5">
        <v>0.692605078220367</v>
      </c>
      <c r="G3929" s="5">
        <v>0.417035311460495</v>
      </c>
      <c r="H3929" s="5" t="s">
        <v>86</v>
      </c>
      <c r="I3929" t="s">
        <v>57</v>
      </c>
    </row>
    <row r="3930" spans="1:9">
      <c r="A3930" s="4" t="s">
        <v>7911</v>
      </c>
      <c r="B3930" s="4" t="s">
        <v>7912</v>
      </c>
      <c r="C3930" s="4" t="s">
        <v>31</v>
      </c>
      <c r="D3930" s="2">
        <f>179323552/(10^6)</f>
        <v>179.323552</v>
      </c>
      <c r="E3930" s="5" t="s">
        <v>86</v>
      </c>
      <c r="F3930" s="5">
        <v>0.552826225757599</v>
      </c>
      <c r="G3930" s="5">
        <v>0.45176100730896</v>
      </c>
      <c r="H3930" s="5">
        <v>7.08220148086548</v>
      </c>
      <c r="I3930" t="s">
        <v>57</v>
      </c>
    </row>
    <row r="3931" spans="1:9">
      <c r="A3931" s="4" t="s">
        <v>7913</v>
      </c>
      <c r="B3931" s="4" t="s">
        <v>7914</v>
      </c>
      <c r="C3931" s="4" t="s">
        <v>31</v>
      </c>
      <c r="D3931" s="2">
        <f>178834544/(10^6)</f>
        <v>178.834544</v>
      </c>
      <c r="E3931" s="5">
        <v>13.0067195892334</v>
      </c>
      <c r="F3931" s="5">
        <v>1.35137069225311</v>
      </c>
      <c r="G3931" s="5">
        <v>0.219705179333687</v>
      </c>
      <c r="H3931" s="5">
        <v>5.6598596572876</v>
      </c>
      <c r="I3931" t="s">
        <v>57</v>
      </c>
    </row>
    <row r="3932" spans="1:9">
      <c r="A3932" s="4" t="s">
        <v>7915</v>
      </c>
      <c r="B3932" s="4" t="s">
        <v>7916</v>
      </c>
      <c r="C3932" s="4" t="s">
        <v>41</v>
      </c>
      <c r="D3932" s="2">
        <f>178097680/(10^6)</f>
        <v>178.09768</v>
      </c>
      <c r="E3932" s="5" t="s">
        <v>86</v>
      </c>
      <c r="F3932" s="5" t="s">
        <v>86</v>
      </c>
      <c r="G3932" s="5">
        <v>1.85111737251282</v>
      </c>
      <c r="H3932" s="5" t="s">
        <v>86</v>
      </c>
      <c r="I3932" t="s">
        <v>57</v>
      </c>
    </row>
    <row r="3933" spans="1:9">
      <c r="A3933" s="4" t="s">
        <v>7917</v>
      </c>
      <c r="B3933" s="4" t="s">
        <v>7918</v>
      </c>
      <c r="C3933" s="4" t="s">
        <v>37</v>
      </c>
      <c r="D3933" s="2">
        <f>178024048/(10^6)</f>
        <v>178.024048</v>
      </c>
      <c r="E3933" s="5">
        <v>29.2104549407959</v>
      </c>
      <c r="F3933" s="5">
        <v>1.12632083892822</v>
      </c>
      <c r="G3933" s="5">
        <v>1.2807891368866</v>
      </c>
      <c r="H3933" s="5">
        <v>4.53824377059937</v>
      </c>
      <c r="I3933" t="s">
        <v>57</v>
      </c>
    </row>
    <row r="3934" spans="1:9">
      <c r="A3934" s="4" t="s">
        <v>7919</v>
      </c>
      <c r="B3934" s="4" t="s">
        <v>7920</v>
      </c>
      <c r="C3934" s="4" t="s">
        <v>47</v>
      </c>
      <c r="D3934" s="2">
        <f>177843808/(10^6)</f>
        <v>177.843808</v>
      </c>
      <c r="E3934" s="5">
        <v>10.2022695541382</v>
      </c>
      <c r="F3934" s="5">
        <v>0.912318885326385</v>
      </c>
      <c r="G3934" s="5">
        <v>0.41941899061203</v>
      </c>
      <c r="H3934" s="5">
        <v>8.05882358551025</v>
      </c>
      <c r="I3934" t="s">
        <v>57</v>
      </c>
    </row>
    <row r="3935" spans="1:9">
      <c r="A3935" s="4" t="s">
        <v>7921</v>
      </c>
      <c r="B3935" s="4" t="s">
        <v>7922</v>
      </c>
      <c r="C3935" s="4" t="s">
        <v>31</v>
      </c>
      <c r="D3935" s="2">
        <f>177811280/(10^6)</f>
        <v>177.81128</v>
      </c>
      <c r="E3935" s="5">
        <v>11.1640625</v>
      </c>
      <c r="F3935" s="5">
        <v>1.09562015533447</v>
      </c>
      <c r="G3935" s="5">
        <v>1.43003392219544</v>
      </c>
      <c r="H3935" s="5">
        <v>5.36261940002441</v>
      </c>
      <c r="I3935" t="s">
        <v>57</v>
      </c>
    </row>
    <row r="3936" spans="1:9">
      <c r="A3936" s="4" t="s">
        <v>7923</v>
      </c>
      <c r="B3936" s="4" t="s">
        <v>7924</v>
      </c>
      <c r="C3936" s="4" t="s">
        <v>35</v>
      </c>
      <c r="D3936" s="2">
        <f>177670224/(10^6)</f>
        <v>177.670224</v>
      </c>
      <c r="E3936" s="5">
        <v>18.2786598205566</v>
      </c>
      <c r="F3936" s="5">
        <v>1.11607229709625</v>
      </c>
      <c r="G3936" s="5">
        <v>0.194408237934113</v>
      </c>
      <c r="H3936" s="5">
        <v>10.5435409545898</v>
      </c>
      <c r="I3936" t="s">
        <v>57</v>
      </c>
    </row>
    <row r="3937" spans="1:9">
      <c r="A3937" s="4" t="s">
        <v>7925</v>
      </c>
      <c r="B3937" s="4" t="s">
        <v>7926</v>
      </c>
      <c r="C3937" s="4" t="s">
        <v>41</v>
      </c>
      <c r="D3937" s="2">
        <f>177480976/(10^6)</f>
        <v>177.480976</v>
      </c>
      <c r="E3937" s="5" t="s">
        <v>86</v>
      </c>
      <c r="F3937" s="5">
        <v>1.12940990924835</v>
      </c>
      <c r="G3937" s="5">
        <v>1.40113234519958</v>
      </c>
      <c r="H3937" s="5" t="s">
        <v>86</v>
      </c>
      <c r="I3937" t="s">
        <v>57</v>
      </c>
    </row>
    <row r="3938" spans="1:9">
      <c r="A3938" s="4" t="s">
        <v>7927</v>
      </c>
      <c r="B3938" s="4" t="s">
        <v>7928</v>
      </c>
      <c r="C3938" s="4" t="s">
        <v>51</v>
      </c>
      <c r="D3938" s="2">
        <f>177184656/(10^6)</f>
        <v>177.184656</v>
      </c>
      <c r="E3938" s="5">
        <v>42.7362976074219</v>
      </c>
      <c r="F3938" s="5">
        <v>2.60520458221436</v>
      </c>
      <c r="G3938" s="5">
        <v>2.37311363220215</v>
      </c>
      <c r="H3938" s="5">
        <v>20.88840675354</v>
      </c>
      <c r="I3938" t="s">
        <v>57</v>
      </c>
    </row>
    <row r="3939" spans="1:9">
      <c r="A3939" s="4" t="s">
        <v>7929</v>
      </c>
      <c r="B3939" s="4" t="s">
        <v>7930</v>
      </c>
      <c r="C3939" s="4" t="s">
        <v>27</v>
      </c>
      <c r="D3939" s="2">
        <f>177085248/(10^6)</f>
        <v>177.085248</v>
      </c>
      <c r="E3939" s="5">
        <v>6.64516115188599</v>
      </c>
      <c r="F3939" s="5">
        <v>1.37130832672119</v>
      </c>
      <c r="G3939" s="5">
        <v>1.37110662460327</v>
      </c>
      <c r="H3939" s="5" t="s">
        <v>86</v>
      </c>
      <c r="I3939" t="s">
        <v>57</v>
      </c>
    </row>
    <row r="3940" spans="1:9">
      <c r="A3940" s="4" t="s">
        <v>7931</v>
      </c>
      <c r="B3940" s="4" t="s">
        <v>7932</v>
      </c>
      <c r="C3940" s="4" t="s">
        <v>45</v>
      </c>
      <c r="D3940" s="2">
        <f>176889600/(10^6)</f>
        <v>176.8896</v>
      </c>
      <c r="E3940" s="5" t="s">
        <v>86</v>
      </c>
      <c r="F3940" s="5">
        <v>0.520597338676453</v>
      </c>
      <c r="G3940" s="5">
        <v>2.92800569534302</v>
      </c>
      <c r="H3940" s="5">
        <v>48.969123840332</v>
      </c>
      <c r="I3940" t="s">
        <v>57</v>
      </c>
    </row>
    <row r="3941" spans="1:9">
      <c r="A3941" s="4" t="s">
        <v>7933</v>
      </c>
      <c r="B3941" s="4" t="s">
        <v>7934</v>
      </c>
      <c r="C3941" s="4" t="s">
        <v>33</v>
      </c>
      <c r="D3941" s="2">
        <f>176634160/(10^6)</f>
        <v>176.63416</v>
      </c>
      <c r="E3941" s="5" t="s">
        <v>86</v>
      </c>
      <c r="F3941" s="5" t="s">
        <v>86</v>
      </c>
      <c r="G3941" s="5">
        <v>0.204885587096214</v>
      </c>
      <c r="H3941" s="5">
        <v>6.85541725158691</v>
      </c>
      <c r="I3941" t="s">
        <v>57</v>
      </c>
    </row>
    <row r="3942" spans="1:9">
      <c r="A3942" s="4" t="s">
        <v>7935</v>
      </c>
      <c r="B3942" s="4" t="s">
        <v>7936</v>
      </c>
      <c r="C3942" s="4" t="s">
        <v>41</v>
      </c>
      <c r="D3942" s="2">
        <f>176374304/(10^6)</f>
        <v>176.374304</v>
      </c>
      <c r="E3942" s="5" t="s">
        <v>86</v>
      </c>
      <c r="F3942" s="5">
        <v>8.5941686630249</v>
      </c>
      <c r="G3942" s="5">
        <v>3.64211463928223</v>
      </c>
      <c r="H3942" s="5" t="s">
        <v>86</v>
      </c>
      <c r="I3942" t="s">
        <v>57</v>
      </c>
    </row>
    <row r="3943" spans="1:9">
      <c r="A3943" s="4" t="s">
        <v>7937</v>
      </c>
      <c r="B3943" s="4" t="s">
        <v>7938</v>
      </c>
      <c r="C3943" s="4" t="s">
        <v>43</v>
      </c>
      <c r="D3943" s="2">
        <f>176285328/(10^6)</f>
        <v>176.285328</v>
      </c>
      <c r="E3943" s="5">
        <v>5.6073956489563</v>
      </c>
      <c r="F3943" s="5">
        <v>0.513356506824493</v>
      </c>
      <c r="G3943" s="5">
        <v>1.30075621604919</v>
      </c>
      <c r="H3943" s="5" t="s">
        <v>86</v>
      </c>
      <c r="I3943" t="s">
        <v>57</v>
      </c>
    </row>
    <row r="3944" spans="1:9">
      <c r="A3944" s="4" t="s">
        <v>7939</v>
      </c>
      <c r="B3944" s="4" t="s">
        <v>7940</v>
      </c>
      <c r="C3944" s="4" t="s">
        <v>43</v>
      </c>
      <c r="D3944" s="2">
        <f>176260336/(10^6)</f>
        <v>176.260336</v>
      </c>
      <c r="E3944" s="5">
        <v>9.79265213012695</v>
      </c>
      <c r="F3944" s="5">
        <v>0.444554537534714</v>
      </c>
      <c r="G3944" s="5">
        <v>0.229105561971664</v>
      </c>
      <c r="H3944" s="5">
        <v>5.6544771194458</v>
      </c>
      <c r="I3944" t="s">
        <v>57</v>
      </c>
    </row>
    <row r="3945" spans="1:9">
      <c r="A3945" s="4" t="s">
        <v>7941</v>
      </c>
      <c r="B3945" s="4" t="s">
        <v>7942</v>
      </c>
      <c r="C3945" s="4" t="s">
        <v>43</v>
      </c>
      <c r="D3945" s="2">
        <f>176205760/(10^6)</f>
        <v>176.20576</v>
      </c>
      <c r="E3945" s="5">
        <v>14.7194948196411</v>
      </c>
      <c r="F3945" s="5">
        <v>1.62997210025787</v>
      </c>
      <c r="G3945" s="5">
        <v>3.52847743034363</v>
      </c>
      <c r="H3945" s="5" t="s">
        <v>86</v>
      </c>
      <c r="I3945" t="s">
        <v>57</v>
      </c>
    </row>
    <row r="3946" spans="1:9">
      <c r="A3946" s="4" t="s">
        <v>7943</v>
      </c>
      <c r="B3946" s="4" t="s">
        <v>7944</v>
      </c>
      <c r="C3946" s="4" t="s">
        <v>31</v>
      </c>
      <c r="D3946" s="2">
        <f>176133888/(10^6)</f>
        <v>176.133888</v>
      </c>
      <c r="E3946" s="5">
        <v>18.4823093414307</v>
      </c>
      <c r="F3946" s="5">
        <v>0.738894104957581</v>
      </c>
      <c r="G3946" s="5">
        <v>0.752679586410522</v>
      </c>
      <c r="H3946" s="5">
        <v>7.68725538253784</v>
      </c>
      <c r="I3946" t="s">
        <v>57</v>
      </c>
    </row>
    <row r="3947" spans="1:9">
      <c r="A3947" s="4" t="s">
        <v>7945</v>
      </c>
      <c r="B3947" s="4" t="s">
        <v>7946</v>
      </c>
      <c r="C3947" s="4" t="s">
        <v>35</v>
      </c>
      <c r="D3947" s="2">
        <f>175908992/(10^6)</f>
        <v>175.908992</v>
      </c>
      <c r="E3947" s="5">
        <v>28.5018005371094</v>
      </c>
      <c r="F3947" s="5">
        <v>2.57391405105591</v>
      </c>
      <c r="G3947" s="5">
        <v>0.923959732055664</v>
      </c>
      <c r="H3947" s="5">
        <v>15.4376707077026</v>
      </c>
      <c r="I3947" t="s">
        <v>57</v>
      </c>
    </row>
    <row r="3948" spans="1:9">
      <c r="A3948" s="4" t="s">
        <v>7947</v>
      </c>
      <c r="B3948" s="4" t="s">
        <v>7948</v>
      </c>
      <c r="C3948" s="4" t="s">
        <v>43</v>
      </c>
      <c r="D3948" s="2">
        <f>175775936/(10^6)</f>
        <v>175.775936</v>
      </c>
      <c r="E3948" s="5">
        <v>15.3481016159058</v>
      </c>
      <c r="F3948" s="5">
        <v>0.914407670497894</v>
      </c>
      <c r="G3948" s="5">
        <v>2.59471487998962</v>
      </c>
      <c r="H3948" s="5" t="s">
        <v>86</v>
      </c>
      <c r="I3948" t="s">
        <v>57</v>
      </c>
    </row>
    <row r="3949" spans="1:9">
      <c r="A3949" s="4" t="s">
        <v>7949</v>
      </c>
      <c r="B3949" s="4" t="s">
        <v>7950</v>
      </c>
      <c r="C3949" s="4" t="s">
        <v>43</v>
      </c>
      <c r="D3949" s="2">
        <f>175724576/(10^6)</f>
        <v>175.724576</v>
      </c>
      <c r="E3949" s="5">
        <v>5.9754581451416</v>
      </c>
      <c r="F3949" s="5">
        <v>1.09443032741547</v>
      </c>
      <c r="G3949" s="5">
        <v>2.10563349723816</v>
      </c>
      <c r="H3949" s="5" t="s">
        <v>86</v>
      </c>
      <c r="I3949" t="s">
        <v>57</v>
      </c>
    </row>
    <row r="3950" spans="1:9">
      <c r="A3950" s="4" t="s">
        <v>7951</v>
      </c>
      <c r="B3950" s="4" t="s">
        <v>7952</v>
      </c>
      <c r="C3950" s="4" t="s">
        <v>33</v>
      </c>
      <c r="D3950" s="2">
        <f>175493392/(10^6)</f>
        <v>175.493392</v>
      </c>
      <c r="E3950" s="5" t="s">
        <v>86</v>
      </c>
      <c r="F3950" s="5">
        <v>0.74126261472702</v>
      </c>
      <c r="G3950" s="5">
        <v>0.652618646621704</v>
      </c>
      <c r="H3950" s="5">
        <v>6.17051982879639</v>
      </c>
      <c r="I3950" t="s">
        <v>57</v>
      </c>
    </row>
    <row r="3951" spans="1:9">
      <c r="A3951" s="4" t="s">
        <v>7953</v>
      </c>
      <c r="B3951" s="4" t="s">
        <v>7954</v>
      </c>
      <c r="C3951" s="4" t="s">
        <v>31</v>
      </c>
      <c r="D3951" s="2">
        <f>175482400/(10^6)</f>
        <v>175.4824</v>
      </c>
      <c r="E3951" s="5" t="s">
        <v>86</v>
      </c>
      <c r="F3951" s="5">
        <v>0.399833500385284</v>
      </c>
      <c r="G3951" s="5">
        <v>0.149811133742332</v>
      </c>
      <c r="H3951" s="5">
        <v>7.06025838851929</v>
      </c>
      <c r="I3951" t="s">
        <v>57</v>
      </c>
    </row>
    <row r="3952" spans="1:9">
      <c r="A3952" s="4" t="s">
        <v>7955</v>
      </c>
      <c r="B3952" s="4" t="s">
        <v>7956</v>
      </c>
      <c r="C3952" s="4" t="s">
        <v>43</v>
      </c>
      <c r="D3952" s="2">
        <f>175481408/(10^6)</f>
        <v>175.481408</v>
      </c>
      <c r="E3952" s="5">
        <v>8.28099250793457</v>
      </c>
      <c r="F3952" s="5">
        <v>0.732937037944794</v>
      </c>
      <c r="G3952" s="5">
        <v>1.27169442176819</v>
      </c>
      <c r="H3952" s="5" t="s">
        <v>86</v>
      </c>
      <c r="I3952" t="s">
        <v>57</v>
      </c>
    </row>
    <row r="3953" spans="1:9">
      <c r="A3953" s="4" t="s">
        <v>7957</v>
      </c>
      <c r="B3953" s="4" t="s">
        <v>7958</v>
      </c>
      <c r="C3953" s="4" t="s">
        <v>41</v>
      </c>
      <c r="D3953" s="2">
        <f>175448992/(10^6)</f>
        <v>175.448992</v>
      </c>
      <c r="E3953" s="5" t="s">
        <v>86</v>
      </c>
      <c r="F3953" s="5">
        <v>1.02585959434509</v>
      </c>
      <c r="G3953" s="5" t="s">
        <v>86</v>
      </c>
      <c r="H3953" s="5" t="s">
        <v>86</v>
      </c>
      <c r="I3953" t="s">
        <v>57</v>
      </c>
    </row>
    <row r="3954" spans="1:9">
      <c r="A3954" s="4" t="s">
        <v>7959</v>
      </c>
      <c r="B3954" s="4" t="s">
        <v>7960</v>
      </c>
      <c r="C3954" s="4" t="s">
        <v>41</v>
      </c>
      <c r="D3954" s="2">
        <f>175229392/(10^6)</f>
        <v>175.229392</v>
      </c>
      <c r="E3954" s="5" t="s">
        <v>86</v>
      </c>
      <c r="F3954" s="5">
        <v>2.18519949913025</v>
      </c>
      <c r="G3954" s="5" t="s">
        <v>86</v>
      </c>
      <c r="H3954" s="5" t="s">
        <v>86</v>
      </c>
      <c r="I3954" t="s">
        <v>57</v>
      </c>
    </row>
    <row r="3955" spans="1:9">
      <c r="A3955" s="4" t="s">
        <v>7961</v>
      </c>
      <c r="B3955" s="4" t="s">
        <v>7962</v>
      </c>
      <c r="C3955" s="4" t="s">
        <v>27</v>
      </c>
      <c r="D3955" s="2">
        <f>175002112/(10^6)</f>
        <v>175.002112</v>
      </c>
      <c r="E3955" s="5">
        <v>6.7533974647522</v>
      </c>
      <c r="F3955" s="5">
        <v>0.179952591657639</v>
      </c>
      <c r="G3955" s="5">
        <v>0.319080859422684</v>
      </c>
      <c r="H3955" s="5">
        <v>3.85773801803589</v>
      </c>
      <c r="I3955" t="s">
        <v>57</v>
      </c>
    </row>
    <row r="3956" spans="1:9">
      <c r="A3956" s="4" t="s">
        <v>7963</v>
      </c>
      <c r="B3956" s="4" t="s">
        <v>7964</v>
      </c>
      <c r="C3956" s="4" t="s">
        <v>41</v>
      </c>
      <c r="D3956" s="2">
        <f>174843616/(10^6)</f>
        <v>174.843616</v>
      </c>
      <c r="E3956" s="5" t="s">
        <v>86</v>
      </c>
      <c r="F3956" s="5">
        <v>1.12719392776489</v>
      </c>
      <c r="G3956" s="5" t="s">
        <v>86</v>
      </c>
      <c r="H3956" s="5" t="s">
        <v>86</v>
      </c>
      <c r="I3956" t="s">
        <v>57</v>
      </c>
    </row>
    <row r="3957" spans="1:9">
      <c r="A3957" s="4" t="s">
        <v>7965</v>
      </c>
      <c r="B3957" s="4" t="s">
        <v>7966</v>
      </c>
      <c r="C3957" s="4" t="s">
        <v>31</v>
      </c>
      <c r="D3957" s="2">
        <f>174070352/(10^6)</f>
        <v>174.070352</v>
      </c>
      <c r="E3957" s="5" t="s">
        <v>86</v>
      </c>
      <c r="F3957" s="5" t="s">
        <v>86</v>
      </c>
      <c r="G3957" s="5" t="s">
        <v>86</v>
      </c>
      <c r="H3957" s="5" t="s">
        <v>86</v>
      </c>
      <c r="I3957" t="s">
        <v>57</v>
      </c>
    </row>
    <row r="3958" spans="1:9">
      <c r="A3958" s="4" t="s">
        <v>7967</v>
      </c>
      <c r="B3958" s="4" t="s">
        <v>7968</v>
      </c>
      <c r="C3958" s="4" t="s">
        <v>41</v>
      </c>
      <c r="D3958" s="2">
        <f>173861120/(10^6)</f>
        <v>173.86112</v>
      </c>
      <c r="E3958" s="5" t="s">
        <v>86</v>
      </c>
      <c r="F3958" s="5">
        <v>3.12845277786255</v>
      </c>
      <c r="G3958" s="5" t="s">
        <v>86</v>
      </c>
      <c r="H3958" s="5" t="s">
        <v>86</v>
      </c>
      <c r="I3958" t="s">
        <v>57</v>
      </c>
    </row>
    <row r="3959" spans="1:9">
      <c r="A3959" s="4" t="s">
        <v>7969</v>
      </c>
      <c r="B3959" s="4" t="s">
        <v>7970</v>
      </c>
      <c r="C3959" s="4" t="s">
        <v>47</v>
      </c>
      <c r="D3959" s="2">
        <f>173762400/(10^6)</f>
        <v>173.7624</v>
      </c>
      <c r="E3959" s="5">
        <v>3.26867985725403</v>
      </c>
      <c r="F3959" s="5">
        <v>0.323350101709366</v>
      </c>
      <c r="G3959" s="5">
        <v>0.08459061384201</v>
      </c>
      <c r="H3959" s="5">
        <v>4.76336288452148</v>
      </c>
      <c r="I3959" t="s">
        <v>57</v>
      </c>
    </row>
    <row r="3960" spans="1:9">
      <c r="A3960" s="4" t="s">
        <v>7971</v>
      </c>
      <c r="B3960" s="4" t="s">
        <v>7972</v>
      </c>
      <c r="C3960" s="4" t="s">
        <v>43</v>
      </c>
      <c r="D3960" s="2">
        <f>173679664/(10^6)</f>
        <v>173.679664</v>
      </c>
      <c r="E3960" s="5" t="s">
        <v>86</v>
      </c>
      <c r="F3960" s="5" t="s">
        <v>86</v>
      </c>
      <c r="G3960" s="5" t="s">
        <v>86</v>
      </c>
      <c r="H3960" s="5" t="s">
        <v>86</v>
      </c>
      <c r="I3960" t="s">
        <v>57</v>
      </c>
    </row>
    <row r="3961" spans="1:9">
      <c r="A3961" s="4" t="s">
        <v>7973</v>
      </c>
      <c r="B3961" s="4" t="s">
        <v>7974</v>
      </c>
      <c r="C3961" s="4" t="s">
        <v>31</v>
      </c>
      <c r="D3961" s="2">
        <f>173509840/(10^6)</f>
        <v>173.50984</v>
      </c>
      <c r="E3961" s="5">
        <v>7.56818437576294</v>
      </c>
      <c r="F3961" s="5">
        <v>1.29588878154755</v>
      </c>
      <c r="G3961" s="5">
        <v>0.342571645975113</v>
      </c>
      <c r="H3961" s="5">
        <v>5.70753288269043</v>
      </c>
      <c r="I3961" t="s">
        <v>57</v>
      </c>
    </row>
    <row r="3962" spans="1:9">
      <c r="A3962" s="4" t="s">
        <v>7975</v>
      </c>
      <c r="B3962" s="4" t="s">
        <v>7976</v>
      </c>
      <c r="C3962" s="4" t="s">
        <v>47</v>
      </c>
      <c r="D3962" s="2">
        <f>173045392/(10^6)</f>
        <v>173.045392</v>
      </c>
      <c r="E3962" s="5">
        <v>114.22191619873</v>
      </c>
      <c r="F3962" s="5">
        <v>1.09069538116455</v>
      </c>
      <c r="G3962" s="5">
        <v>0.404539585113525</v>
      </c>
      <c r="H3962" s="5">
        <v>11.209228515625</v>
      </c>
      <c r="I3962" t="s">
        <v>57</v>
      </c>
    </row>
    <row r="3963" spans="1:9">
      <c r="A3963" s="4" t="s">
        <v>7977</v>
      </c>
      <c r="B3963" s="4" t="s">
        <v>7978</v>
      </c>
      <c r="C3963" s="4" t="s">
        <v>33</v>
      </c>
      <c r="D3963" s="2">
        <f>172573168/(10^6)</f>
        <v>172.573168</v>
      </c>
      <c r="E3963" s="5" t="s">
        <v>86</v>
      </c>
      <c r="F3963" s="5" t="s">
        <v>86</v>
      </c>
      <c r="G3963" s="5" t="s">
        <v>86</v>
      </c>
      <c r="H3963" s="5" t="s">
        <v>86</v>
      </c>
      <c r="I3963" t="s">
        <v>57</v>
      </c>
    </row>
    <row r="3964" spans="1:9">
      <c r="A3964" s="4" t="s">
        <v>7979</v>
      </c>
      <c r="B3964" s="4" t="s">
        <v>7980</v>
      </c>
      <c r="C3964" s="4" t="s">
        <v>33</v>
      </c>
      <c r="D3964" s="2">
        <f>172573168/(10^6)</f>
        <v>172.573168</v>
      </c>
      <c r="E3964" s="5" t="s">
        <v>86</v>
      </c>
      <c r="F3964" s="5" t="s">
        <v>86</v>
      </c>
      <c r="G3964" s="5" t="s">
        <v>86</v>
      </c>
      <c r="H3964" s="5" t="s">
        <v>86</v>
      </c>
      <c r="I3964" t="s">
        <v>57</v>
      </c>
    </row>
    <row r="3965" spans="1:9">
      <c r="A3965" s="4" t="s">
        <v>7981</v>
      </c>
      <c r="B3965" s="4" t="s">
        <v>7982</v>
      </c>
      <c r="C3965" s="4" t="s">
        <v>41</v>
      </c>
      <c r="D3965" s="2">
        <f>172418160/(10^6)</f>
        <v>172.41816</v>
      </c>
      <c r="E3965" s="5" t="s">
        <v>86</v>
      </c>
      <c r="F3965" s="5">
        <v>1.46929609775543</v>
      </c>
      <c r="G3965" s="5" t="s">
        <v>86</v>
      </c>
      <c r="H3965" s="5" t="s">
        <v>86</v>
      </c>
      <c r="I3965" t="s">
        <v>57</v>
      </c>
    </row>
    <row r="3966" spans="1:9">
      <c r="A3966" s="4" t="s">
        <v>7983</v>
      </c>
      <c r="B3966" s="4" t="s">
        <v>7984</v>
      </c>
      <c r="C3966" s="4" t="s">
        <v>41</v>
      </c>
      <c r="D3966" s="2">
        <f>172261600/(10^6)</f>
        <v>172.2616</v>
      </c>
      <c r="E3966" s="5" t="s">
        <v>86</v>
      </c>
      <c r="F3966" s="5">
        <v>0.965429604053497</v>
      </c>
      <c r="G3966" s="5" t="s">
        <v>86</v>
      </c>
      <c r="H3966" s="5" t="s">
        <v>86</v>
      </c>
      <c r="I3966" t="s">
        <v>57</v>
      </c>
    </row>
    <row r="3967" spans="1:9">
      <c r="A3967" s="4" t="s">
        <v>7985</v>
      </c>
      <c r="B3967" s="4" t="s">
        <v>7986</v>
      </c>
      <c r="C3967" s="4" t="s">
        <v>41</v>
      </c>
      <c r="D3967" s="2">
        <f>171604448/(10^6)</f>
        <v>171.604448</v>
      </c>
      <c r="E3967" s="5">
        <v>236.441635131836</v>
      </c>
      <c r="F3967" s="5">
        <v>0.244106933474541</v>
      </c>
      <c r="G3967" s="5" t="s">
        <v>86</v>
      </c>
      <c r="H3967" s="5" t="s">
        <v>86</v>
      </c>
      <c r="I3967" t="s">
        <v>57</v>
      </c>
    </row>
    <row r="3968" spans="1:9">
      <c r="A3968" s="4" t="s">
        <v>7987</v>
      </c>
      <c r="B3968" s="4" t="s">
        <v>7988</v>
      </c>
      <c r="C3968" s="4" t="s">
        <v>27</v>
      </c>
      <c r="D3968" s="2">
        <f>171487616/(10^6)</f>
        <v>171.487616</v>
      </c>
      <c r="E3968" s="5" t="s">
        <v>86</v>
      </c>
      <c r="F3968" s="5">
        <v>0.233853787183762</v>
      </c>
      <c r="G3968" s="5">
        <v>0.064426809549332</v>
      </c>
      <c r="H3968" s="5" t="s">
        <v>86</v>
      </c>
      <c r="I3968" t="s">
        <v>57</v>
      </c>
    </row>
    <row r="3969" spans="1:9">
      <c r="A3969" s="4" t="s">
        <v>7989</v>
      </c>
      <c r="B3969" s="4" t="s">
        <v>7990</v>
      </c>
      <c r="C3969" s="4" t="s">
        <v>47</v>
      </c>
      <c r="D3969" s="2">
        <f>171447040/(10^6)</f>
        <v>171.44704</v>
      </c>
      <c r="E3969" s="5">
        <v>15.2453413009644</v>
      </c>
      <c r="F3969" s="5">
        <v>0.340419203042984</v>
      </c>
      <c r="G3969" s="5">
        <v>0.076835058629513</v>
      </c>
      <c r="H3969" s="5">
        <v>3.70178270339966</v>
      </c>
      <c r="I3969" t="s">
        <v>57</v>
      </c>
    </row>
    <row r="3970" spans="1:9">
      <c r="A3970" s="4" t="s">
        <v>7991</v>
      </c>
      <c r="B3970" s="4" t="s">
        <v>7992</v>
      </c>
      <c r="C3970" s="4" t="s">
        <v>41</v>
      </c>
      <c r="D3970" s="2">
        <f>171422016/(10^6)</f>
        <v>171.422016</v>
      </c>
      <c r="E3970" s="5" t="s">
        <v>86</v>
      </c>
      <c r="F3970" s="5">
        <v>3.03068733215332</v>
      </c>
      <c r="G3970" s="5" t="s">
        <v>86</v>
      </c>
      <c r="H3970" s="5" t="s">
        <v>86</v>
      </c>
      <c r="I3970" t="s">
        <v>57</v>
      </c>
    </row>
    <row r="3971" spans="1:9">
      <c r="A3971" s="4" t="s">
        <v>7993</v>
      </c>
      <c r="B3971" s="4" t="s">
        <v>7994</v>
      </c>
      <c r="C3971" s="4" t="s">
        <v>41</v>
      </c>
      <c r="D3971" s="2">
        <f>171301648/(10^6)</f>
        <v>171.301648</v>
      </c>
      <c r="E3971" s="5" t="s">
        <v>86</v>
      </c>
      <c r="F3971" s="5">
        <v>6.4204044342041</v>
      </c>
      <c r="G3971" s="5" t="s">
        <v>86</v>
      </c>
      <c r="H3971" s="5" t="s">
        <v>86</v>
      </c>
      <c r="I3971" t="s">
        <v>57</v>
      </c>
    </row>
    <row r="3972" spans="1:9">
      <c r="A3972" s="4" t="s">
        <v>7995</v>
      </c>
      <c r="B3972" s="4" t="s">
        <v>7996</v>
      </c>
      <c r="C3972" s="4" t="s">
        <v>31</v>
      </c>
      <c r="D3972" s="2">
        <f>171269936/(10^6)</f>
        <v>171.269936</v>
      </c>
      <c r="E3972" s="5" t="s">
        <v>86</v>
      </c>
      <c r="F3972" s="5">
        <v>3.08619594573975</v>
      </c>
      <c r="G3972" s="5">
        <v>0.005218070931733</v>
      </c>
      <c r="H3972" s="5" t="s">
        <v>86</v>
      </c>
      <c r="I3972" t="s">
        <v>57</v>
      </c>
    </row>
    <row r="3973" spans="1:9">
      <c r="A3973" s="4" t="s">
        <v>7997</v>
      </c>
      <c r="B3973" s="4" t="s">
        <v>7998</v>
      </c>
      <c r="C3973" s="4" t="s">
        <v>43</v>
      </c>
      <c r="D3973" s="2">
        <f>171095088/(10^6)</f>
        <v>171.095088</v>
      </c>
      <c r="E3973" s="5">
        <v>5.47431325912476</v>
      </c>
      <c r="F3973" s="5">
        <v>0.396637856960297</v>
      </c>
      <c r="G3973" s="5">
        <v>2.21176552772522</v>
      </c>
      <c r="H3973" s="5" t="s">
        <v>86</v>
      </c>
      <c r="I3973" t="s">
        <v>57</v>
      </c>
    </row>
    <row r="3974" spans="1:9">
      <c r="A3974" s="4" t="s">
        <v>7999</v>
      </c>
      <c r="B3974" s="4" t="s">
        <v>8000</v>
      </c>
      <c r="C3974" s="4" t="s">
        <v>43</v>
      </c>
      <c r="D3974" s="2">
        <f>170313152/(10^6)</f>
        <v>170.313152</v>
      </c>
      <c r="E3974" s="5">
        <v>20.3675346374512</v>
      </c>
      <c r="F3974" s="5">
        <v>1.17761087417602</v>
      </c>
      <c r="G3974" s="5">
        <v>2.04121851921081</v>
      </c>
      <c r="H3974" s="5" t="s">
        <v>86</v>
      </c>
      <c r="I3974" t="s">
        <v>57</v>
      </c>
    </row>
    <row r="3975" spans="1:9">
      <c r="A3975" s="4" t="s">
        <v>8001</v>
      </c>
      <c r="B3975" s="4" t="s">
        <v>8002</v>
      </c>
      <c r="C3975" s="4" t="s">
        <v>27</v>
      </c>
      <c r="D3975" s="2">
        <f>169804768/(10^6)</f>
        <v>169.804768</v>
      </c>
      <c r="E3975" s="5" t="s">
        <v>86</v>
      </c>
      <c r="F3975" s="5">
        <v>0.413071066141129</v>
      </c>
      <c r="G3975" s="5">
        <v>0.133794873952866</v>
      </c>
      <c r="H3975" s="5">
        <v>5.08062314987183</v>
      </c>
      <c r="I3975" t="s">
        <v>57</v>
      </c>
    </row>
    <row r="3976" spans="1:9">
      <c r="A3976" s="4" t="s">
        <v>8003</v>
      </c>
      <c r="B3976" s="4" t="s">
        <v>8004</v>
      </c>
      <c r="C3976" s="4" t="s">
        <v>41</v>
      </c>
      <c r="D3976" s="2">
        <f>168799328/(10^6)</f>
        <v>168.799328</v>
      </c>
      <c r="E3976" s="5">
        <v>76.3379364013672</v>
      </c>
      <c r="F3976" s="5">
        <v>7.55795288085938</v>
      </c>
      <c r="G3976" s="5">
        <v>2.06580138206482</v>
      </c>
      <c r="H3976" s="5">
        <v>12.248833656311</v>
      </c>
      <c r="I3976" t="s">
        <v>57</v>
      </c>
    </row>
    <row r="3977" spans="1:9">
      <c r="A3977" s="4" t="s">
        <v>8005</v>
      </c>
      <c r="B3977" s="4" t="s">
        <v>8006</v>
      </c>
      <c r="C3977" s="4" t="s">
        <v>51</v>
      </c>
      <c r="D3977" s="2">
        <f>168768784/(10^6)</f>
        <v>168.768784</v>
      </c>
      <c r="E3977" s="5">
        <v>17.1400947570801</v>
      </c>
      <c r="F3977" s="5">
        <v>0.570265829563141</v>
      </c>
      <c r="G3977" s="5">
        <v>0.364599913358688</v>
      </c>
      <c r="H3977" s="5">
        <v>11.3317947387695</v>
      </c>
      <c r="I3977" t="s">
        <v>57</v>
      </c>
    </row>
    <row r="3978" spans="1:9">
      <c r="A3978" s="4" t="s">
        <v>8007</v>
      </c>
      <c r="B3978" s="4" t="s">
        <v>8008</v>
      </c>
      <c r="C3978" s="4" t="s">
        <v>43</v>
      </c>
      <c r="D3978" s="2">
        <f>168469552/(10^6)</f>
        <v>168.469552</v>
      </c>
      <c r="E3978" s="5">
        <v>8.48039150238037</v>
      </c>
      <c r="F3978" s="5">
        <v>0.73259824514389</v>
      </c>
      <c r="G3978" s="5">
        <v>1.64837193489075</v>
      </c>
      <c r="H3978" s="5" t="s">
        <v>86</v>
      </c>
      <c r="I3978" t="s">
        <v>57</v>
      </c>
    </row>
    <row r="3979" spans="1:9">
      <c r="A3979" s="4" t="s">
        <v>8009</v>
      </c>
      <c r="B3979" s="4" t="s">
        <v>8010</v>
      </c>
      <c r="C3979" s="4" t="s">
        <v>35</v>
      </c>
      <c r="D3979" s="2">
        <f>168113232/(10^6)</f>
        <v>168.113232</v>
      </c>
      <c r="E3979" s="5" t="s">
        <v>86</v>
      </c>
      <c r="F3979" s="5">
        <v>3.55557823181152</v>
      </c>
      <c r="G3979" s="5">
        <v>0.430593818426132</v>
      </c>
      <c r="H3979" s="5">
        <v>18.4631481170654</v>
      </c>
      <c r="I3979" t="s">
        <v>57</v>
      </c>
    </row>
    <row r="3980" spans="1:9">
      <c r="A3980" s="4" t="s">
        <v>8011</v>
      </c>
      <c r="B3980" s="4" t="s">
        <v>8012</v>
      </c>
      <c r="C3980" s="4" t="s">
        <v>35</v>
      </c>
      <c r="D3980" s="2">
        <f>168113232/(10^6)</f>
        <v>168.113232</v>
      </c>
      <c r="E3980" s="5" t="s">
        <v>86</v>
      </c>
      <c r="F3980" s="5">
        <v>3.55557823181152</v>
      </c>
      <c r="G3980" s="5">
        <v>0.430593818426132</v>
      </c>
      <c r="H3980" s="5">
        <v>18.4631481170654</v>
      </c>
      <c r="I3980" t="s">
        <v>57</v>
      </c>
    </row>
    <row r="3981" spans="1:9">
      <c r="A3981" s="4" t="s">
        <v>8013</v>
      </c>
      <c r="B3981" s="4" t="s">
        <v>8014</v>
      </c>
      <c r="C3981" s="4" t="s">
        <v>31</v>
      </c>
      <c r="D3981" s="2">
        <f>167820032/(10^6)</f>
        <v>167.820032</v>
      </c>
      <c r="E3981" s="5">
        <v>10.914080619812</v>
      </c>
      <c r="F3981" s="5">
        <v>0.723287761211395</v>
      </c>
      <c r="G3981" s="5">
        <v>0.038663767278194</v>
      </c>
      <c r="H3981" s="5">
        <v>4.81086444854736</v>
      </c>
      <c r="I3981" t="s">
        <v>57</v>
      </c>
    </row>
    <row r="3982" spans="1:9">
      <c r="A3982" s="4" t="s">
        <v>8015</v>
      </c>
      <c r="B3982" s="4" t="s">
        <v>8016</v>
      </c>
      <c r="C3982" s="4" t="s">
        <v>47</v>
      </c>
      <c r="D3982" s="2">
        <f>167585424/(10^6)</f>
        <v>167.585424</v>
      </c>
      <c r="E3982" s="5" t="s">
        <v>86</v>
      </c>
      <c r="F3982" s="5">
        <v>0.195737347006798</v>
      </c>
      <c r="G3982" s="5">
        <v>0.055087342858315</v>
      </c>
      <c r="H3982" s="5">
        <v>2.16891503334045</v>
      </c>
      <c r="I3982" t="s">
        <v>57</v>
      </c>
    </row>
    <row r="3983" spans="1:9">
      <c r="A3983" s="4" t="s">
        <v>8017</v>
      </c>
      <c r="B3983" s="4" t="s">
        <v>8018</v>
      </c>
      <c r="C3983" s="4" t="s">
        <v>47</v>
      </c>
      <c r="D3983" s="2">
        <f>167528816/(10^6)</f>
        <v>167.528816</v>
      </c>
      <c r="E3983" s="5" t="s">
        <v>86</v>
      </c>
      <c r="F3983" s="5">
        <v>0.1884506046772</v>
      </c>
      <c r="G3983" s="5">
        <v>0.17364701628685</v>
      </c>
      <c r="H3983" s="5">
        <v>9.0034351348877</v>
      </c>
      <c r="I3983" t="s">
        <v>57</v>
      </c>
    </row>
    <row r="3984" spans="1:9">
      <c r="A3984" s="4" t="s">
        <v>8019</v>
      </c>
      <c r="B3984" s="4" t="s">
        <v>8020</v>
      </c>
      <c r="C3984" s="4" t="s">
        <v>47</v>
      </c>
      <c r="D3984" s="2">
        <f>167528816/(10^6)</f>
        <v>167.528816</v>
      </c>
      <c r="E3984" s="5" t="s">
        <v>86</v>
      </c>
      <c r="F3984" s="5">
        <v>0.1884506046772</v>
      </c>
      <c r="G3984" s="5">
        <v>0.17364701628685</v>
      </c>
      <c r="H3984" s="5">
        <v>9.0034351348877</v>
      </c>
      <c r="I3984" t="s">
        <v>57</v>
      </c>
    </row>
    <row r="3985" spans="1:9">
      <c r="A3985" s="4" t="s">
        <v>8021</v>
      </c>
      <c r="B3985" s="4" t="s">
        <v>8022</v>
      </c>
      <c r="C3985" s="4" t="s">
        <v>43</v>
      </c>
      <c r="D3985" s="2">
        <f>167310880/(10^6)</f>
        <v>167.31088</v>
      </c>
      <c r="E3985" s="5">
        <v>6.8579421043396</v>
      </c>
      <c r="F3985" s="5">
        <v>0.605236113071442</v>
      </c>
      <c r="G3985" s="5">
        <v>1.38895380496979</v>
      </c>
      <c r="H3985" s="5" t="s">
        <v>86</v>
      </c>
      <c r="I3985" t="s">
        <v>57</v>
      </c>
    </row>
    <row r="3986" spans="1:9">
      <c r="A3986" s="4" t="s">
        <v>8023</v>
      </c>
      <c r="B3986" s="4" t="s">
        <v>8024</v>
      </c>
      <c r="C3986" s="4" t="s">
        <v>49</v>
      </c>
      <c r="D3986" s="2">
        <f>166737136/(10^6)</f>
        <v>166.737136</v>
      </c>
      <c r="E3986" s="5" t="s">
        <v>86</v>
      </c>
      <c r="F3986" s="5" t="s">
        <v>86</v>
      </c>
      <c r="G3986" s="5" t="s">
        <v>86</v>
      </c>
      <c r="H3986" s="5" t="s">
        <v>86</v>
      </c>
      <c r="I3986" t="s">
        <v>57</v>
      </c>
    </row>
    <row r="3987" spans="1:9">
      <c r="A3987" s="4" t="s">
        <v>8025</v>
      </c>
      <c r="B3987" s="4" t="s">
        <v>8026</v>
      </c>
      <c r="C3987" s="4" t="s">
        <v>49</v>
      </c>
      <c r="D3987" s="2">
        <f>166635008/(10^6)</f>
        <v>166.635008</v>
      </c>
      <c r="E3987" s="5">
        <v>6487.5751953125</v>
      </c>
      <c r="F3987" s="5">
        <v>0.301380306482315</v>
      </c>
      <c r="G3987" s="5" t="s">
        <v>86</v>
      </c>
      <c r="H3987" s="5" t="s">
        <v>86</v>
      </c>
      <c r="I3987" t="s">
        <v>57</v>
      </c>
    </row>
    <row r="3988" spans="1:9">
      <c r="A3988" s="4" t="s">
        <v>8027</v>
      </c>
      <c r="B3988" s="4" t="s">
        <v>8028</v>
      </c>
      <c r="C3988" s="4" t="s">
        <v>51</v>
      </c>
      <c r="D3988" s="2">
        <f>166624240/(10^6)</f>
        <v>166.62424</v>
      </c>
      <c r="E3988" s="5">
        <v>18.2098274230957</v>
      </c>
      <c r="F3988" s="5">
        <v>3.3350772857666</v>
      </c>
      <c r="G3988" s="5">
        <v>3.36734437942505</v>
      </c>
      <c r="H3988" s="5">
        <v>11.4305791854858</v>
      </c>
      <c r="I3988" t="s">
        <v>57</v>
      </c>
    </row>
    <row r="3989" spans="1:9">
      <c r="A3989" s="4" t="s">
        <v>8029</v>
      </c>
      <c r="B3989" s="4" t="s">
        <v>8030</v>
      </c>
      <c r="C3989" s="4" t="s">
        <v>31</v>
      </c>
      <c r="D3989" s="2">
        <f>166544480/(10^6)</f>
        <v>166.54448</v>
      </c>
      <c r="E3989" s="5">
        <v>8.97203636169434</v>
      </c>
      <c r="F3989" s="5">
        <v>0.859246611595154</v>
      </c>
      <c r="G3989" s="5">
        <v>0.483067542314529</v>
      </c>
      <c r="H3989" s="5">
        <v>6.73116540908813</v>
      </c>
      <c r="I3989" t="s">
        <v>57</v>
      </c>
    </row>
    <row r="3990" spans="1:9">
      <c r="A3990" s="4" t="s">
        <v>8031</v>
      </c>
      <c r="B3990" s="4" t="s">
        <v>8032</v>
      </c>
      <c r="C3990" s="4" t="s">
        <v>49</v>
      </c>
      <c r="D3990" s="2">
        <f>166500000/(10^6)</f>
        <v>166.5</v>
      </c>
      <c r="E3990" s="5" t="s">
        <v>86</v>
      </c>
      <c r="F3990" s="5">
        <v>0.451717764139175</v>
      </c>
      <c r="G3990" s="5" t="s">
        <v>86</v>
      </c>
      <c r="H3990" s="5" t="s">
        <v>86</v>
      </c>
      <c r="I3990" t="s">
        <v>57</v>
      </c>
    </row>
    <row r="3991" spans="1:9">
      <c r="A3991" s="4" t="s">
        <v>8033</v>
      </c>
      <c r="B3991" s="4" t="s">
        <v>8034</v>
      </c>
      <c r="C3991" s="4" t="s">
        <v>43</v>
      </c>
      <c r="D3991" s="2">
        <f>166056768/(10^6)</f>
        <v>166.056768</v>
      </c>
      <c r="E3991" s="5">
        <v>9.31414890289307</v>
      </c>
      <c r="F3991" s="5">
        <v>0.698087096214294</v>
      </c>
      <c r="G3991" s="5">
        <v>1.5363382101059</v>
      </c>
      <c r="H3991" s="5" t="s">
        <v>86</v>
      </c>
      <c r="I3991" t="s">
        <v>57</v>
      </c>
    </row>
    <row r="3992" spans="1:9">
      <c r="A3992" s="4" t="s">
        <v>8035</v>
      </c>
      <c r="B3992" s="4" t="s">
        <v>8036</v>
      </c>
      <c r="C3992" s="4" t="s">
        <v>47</v>
      </c>
      <c r="D3992" s="2">
        <f>165889024/(10^6)</f>
        <v>165.889024</v>
      </c>
      <c r="E3992" s="5">
        <v>75.8923873901367</v>
      </c>
      <c r="F3992" s="5">
        <v>2.97655916213989</v>
      </c>
      <c r="G3992" s="5">
        <v>1.81069457530975</v>
      </c>
      <c r="H3992" s="5">
        <v>50.5250625610352</v>
      </c>
      <c r="I3992" t="s">
        <v>57</v>
      </c>
    </row>
    <row r="3993" spans="1:9">
      <c r="A3993" s="4" t="s">
        <v>8037</v>
      </c>
      <c r="B3993" s="4" t="s">
        <v>8038</v>
      </c>
      <c r="C3993" s="4" t="s">
        <v>47</v>
      </c>
      <c r="D3993" s="2">
        <f>165881856/(10^6)</f>
        <v>165.881856</v>
      </c>
      <c r="E3993" s="5" t="s">
        <v>86</v>
      </c>
      <c r="F3993" s="5">
        <v>3.9743971824646</v>
      </c>
      <c r="G3993" s="5">
        <v>3.19963765144348</v>
      </c>
      <c r="H3993" s="5" t="s">
        <v>86</v>
      </c>
      <c r="I3993" t="s">
        <v>57</v>
      </c>
    </row>
    <row r="3994" spans="1:9">
      <c r="A3994" s="4" t="s">
        <v>8039</v>
      </c>
      <c r="B3994" s="4" t="s">
        <v>8040</v>
      </c>
      <c r="C3994" s="4" t="s">
        <v>43</v>
      </c>
      <c r="D3994" s="2">
        <f>165871728/(10^6)</f>
        <v>165.871728</v>
      </c>
      <c r="E3994" s="5">
        <v>12.762791633606</v>
      </c>
      <c r="F3994" s="5">
        <v>0.724545836448669</v>
      </c>
      <c r="G3994" s="5">
        <v>1.8041558265686</v>
      </c>
      <c r="H3994" s="5" t="s">
        <v>86</v>
      </c>
      <c r="I3994" t="s">
        <v>57</v>
      </c>
    </row>
    <row r="3995" spans="1:9">
      <c r="A3995" s="4" t="s">
        <v>8041</v>
      </c>
      <c r="B3995" s="4" t="s">
        <v>8042</v>
      </c>
      <c r="C3995" s="4" t="s">
        <v>51</v>
      </c>
      <c r="D3995" s="2">
        <f>165670112/(10^6)</f>
        <v>165.670112</v>
      </c>
      <c r="E3995" s="5" t="s">
        <v>86</v>
      </c>
      <c r="F3995" s="5">
        <v>0.86881422996521</v>
      </c>
      <c r="G3995" s="5">
        <v>0.448920160531998</v>
      </c>
      <c r="H3995" s="5">
        <v>9.07706928253174</v>
      </c>
      <c r="I3995" t="s">
        <v>57</v>
      </c>
    </row>
    <row r="3996" spans="1:9">
      <c r="A3996" s="4" t="s">
        <v>8043</v>
      </c>
      <c r="B3996" s="4" t="s">
        <v>8044</v>
      </c>
      <c r="C3996" s="4" t="s">
        <v>41</v>
      </c>
      <c r="D3996" s="2">
        <f>165666976/(10^6)</f>
        <v>165.666976</v>
      </c>
      <c r="E3996" s="5" t="s">
        <v>86</v>
      </c>
      <c r="F3996" s="5">
        <v>2.96089005470276</v>
      </c>
      <c r="G3996" s="5" t="s">
        <v>86</v>
      </c>
      <c r="H3996" s="5" t="s">
        <v>86</v>
      </c>
      <c r="I3996" t="s">
        <v>57</v>
      </c>
    </row>
    <row r="3997" spans="1:9">
      <c r="A3997" s="4" t="s">
        <v>8045</v>
      </c>
      <c r="B3997" s="4" t="s">
        <v>8046</v>
      </c>
      <c r="C3997" s="4" t="s">
        <v>41</v>
      </c>
      <c r="D3997" s="2">
        <f>165532960/(10^6)</f>
        <v>165.53296</v>
      </c>
      <c r="E3997" s="5" t="s">
        <v>86</v>
      </c>
      <c r="F3997" s="5">
        <v>2.20806813240051</v>
      </c>
      <c r="G3997" s="5">
        <v>2.75329566001892</v>
      </c>
      <c r="H3997" s="5" t="s">
        <v>86</v>
      </c>
      <c r="I3997" t="s">
        <v>57</v>
      </c>
    </row>
    <row r="3998" spans="1:9">
      <c r="A3998" s="4" t="s">
        <v>8047</v>
      </c>
      <c r="B3998" s="4" t="s">
        <v>8048</v>
      </c>
      <c r="C3998" s="4" t="s">
        <v>43</v>
      </c>
      <c r="D3998" s="2">
        <f>165398448/(10^6)</f>
        <v>165.398448</v>
      </c>
      <c r="E3998" s="5" t="s">
        <v>86</v>
      </c>
      <c r="F3998" s="5">
        <v>0.715899109840393</v>
      </c>
      <c r="G3998" s="5" t="s">
        <v>86</v>
      </c>
      <c r="H3998" s="5" t="s">
        <v>86</v>
      </c>
      <c r="I3998" t="s">
        <v>57</v>
      </c>
    </row>
    <row r="3999" spans="1:9">
      <c r="A3999" s="4" t="s">
        <v>8049</v>
      </c>
      <c r="B3999" s="4" t="s">
        <v>8050</v>
      </c>
      <c r="C3999" s="4" t="s">
        <v>33</v>
      </c>
      <c r="D3999" s="2">
        <f>165335872/(10^6)</f>
        <v>165.335872</v>
      </c>
      <c r="E3999" s="5">
        <v>137.582489013672</v>
      </c>
      <c r="F3999" s="5">
        <v>0.573740303516388</v>
      </c>
      <c r="G3999" s="5">
        <v>0.609594702720642</v>
      </c>
      <c r="H3999" s="5">
        <v>11.8170156478882</v>
      </c>
      <c r="I3999" t="s">
        <v>57</v>
      </c>
    </row>
    <row r="4000" spans="1:9">
      <c r="A4000" s="4" t="s">
        <v>8051</v>
      </c>
      <c r="B4000" s="4" t="s">
        <v>8052</v>
      </c>
      <c r="C4000" s="4" t="s">
        <v>43</v>
      </c>
      <c r="D4000" s="2">
        <f>165074448/(10^6)</f>
        <v>165.074448</v>
      </c>
      <c r="E4000" s="5">
        <v>8.84041500091553</v>
      </c>
      <c r="F4000" s="5">
        <v>0.723286271095276</v>
      </c>
      <c r="G4000" s="5">
        <v>2.15002083778381</v>
      </c>
      <c r="H4000" s="5" t="s">
        <v>86</v>
      </c>
      <c r="I4000" t="s">
        <v>57</v>
      </c>
    </row>
    <row r="4001" spans="1:9">
      <c r="A4001" s="4" t="s">
        <v>8053</v>
      </c>
      <c r="B4001" s="4" t="s">
        <v>8054</v>
      </c>
      <c r="C4001" s="4" t="s">
        <v>43</v>
      </c>
      <c r="D4001" s="2">
        <f>164174368/(10^6)</f>
        <v>164.174368</v>
      </c>
      <c r="E4001" s="5">
        <v>11.2148571014404</v>
      </c>
      <c r="F4001" s="5">
        <v>0.946326076984406</v>
      </c>
      <c r="G4001" s="5">
        <v>2.43131470680237</v>
      </c>
      <c r="H4001" s="5" t="s">
        <v>86</v>
      </c>
      <c r="I4001" t="s">
        <v>57</v>
      </c>
    </row>
    <row r="4002" spans="1:9">
      <c r="A4002" s="4" t="s">
        <v>8055</v>
      </c>
      <c r="B4002" s="4" t="s">
        <v>8056</v>
      </c>
      <c r="C4002" s="4" t="s">
        <v>49</v>
      </c>
      <c r="D4002" s="2">
        <f>164124992/(10^6)</f>
        <v>164.124992</v>
      </c>
      <c r="E4002" s="5">
        <v>20.4540824890137</v>
      </c>
      <c r="F4002" s="5">
        <v>0.280527830123901</v>
      </c>
      <c r="G4002" s="5" t="s">
        <v>86</v>
      </c>
      <c r="H4002" s="5" t="s">
        <v>86</v>
      </c>
      <c r="I4002" t="s">
        <v>57</v>
      </c>
    </row>
    <row r="4003" spans="1:9">
      <c r="A4003" s="4" t="s">
        <v>8057</v>
      </c>
      <c r="B4003" s="4" t="s">
        <v>8058</v>
      </c>
      <c r="C4003" s="4" t="s">
        <v>27</v>
      </c>
      <c r="D4003" s="2">
        <f>163974224/(10^6)</f>
        <v>163.974224</v>
      </c>
      <c r="E4003" s="5" t="s">
        <v>86</v>
      </c>
      <c r="F4003" s="5">
        <v>0.624626219272614</v>
      </c>
      <c r="G4003" s="5">
        <v>0.722212135791779</v>
      </c>
      <c r="H4003" s="5" t="s">
        <v>86</v>
      </c>
      <c r="I4003" t="s">
        <v>57</v>
      </c>
    </row>
    <row r="4004" spans="1:9">
      <c r="A4004" s="4" t="s">
        <v>8059</v>
      </c>
      <c r="B4004" s="4" t="s">
        <v>8060</v>
      </c>
      <c r="C4004" s="4" t="s">
        <v>43</v>
      </c>
      <c r="D4004" s="2">
        <f>163825088/(10^6)</f>
        <v>163.825088</v>
      </c>
      <c r="E4004" s="5" t="s">
        <v>86</v>
      </c>
      <c r="F4004" s="5" t="s">
        <v>86</v>
      </c>
      <c r="G4004" s="5" t="s">
        <v>86</v>
      </c>
      <c r="H4004" s="5" t="s">
        <v>86</v>
      </c>
      <c r="I4004" t="s">
        <v>57</v>
      </c>
    </row>
    <row r="4005" spans="1:9">
      <c r="A4005" s="4" t="s">
        <v>8061</v>
      </c>
      <c r="B4005" s="4" t="s">
        <v>8062</v>
      </c>
      <c r="C4005" s="4" t="s">
        <v>51</v>
      </c>
      <c r="D4005" s="2">
        <f>163725280/(10^6)</f>
        <v>163.72528</v>
      </c>
      <c r="E4005" s="5" t="s">
        <v>86</v>
      </c>
      <c r="F4005" s="5">
        <v>1.77296078205109</v>
      </c>
      <c r="G4005" s="5">
        <v>3.37588930130005</v>
      </c>
      <c r="H4005" s="5" t="s">
        <v>86</v>
      </c>
      <c r="I4005" t="s">
        <v>57</v>
      </c>
    </row>
    <row r="4006" spans="1:9">
      <c r="A4006" s="4" t="s">
        <v>8063</v>
      </c>
      <c r="B4006" s="4" t="s">
        <v>8064</v>
      </c>
      <c r="C4006" s="4" t="s">
        <v>43</v>
      </c>
      <c r="D4006" s="2">
        <f>163634928/(10^6)</f>
        <v>163.634928</v>
      </c>
      <c r="E4006" s="5">
        <v>6.64983558654785</v>
      </c>
      <c r="F4006" s="5">
        <v>0.929420292377472</v>
      </c>
      <c r="G4006" s="5">
        <v>2.27549457550049</v>
      </c>
      <c r="H4006" s="5" t="s">
        <v>86</v>
      </c>
      <c r="I4006" t="s">
        <v>57</v>
      </c>
    </row>
    <row r="4007" spans="1:9">
      <c r="A4007" s="4" t="s">
        <v>8065</v>
      </c>
      <c r="B4007" s="4" t="s">
        <v>8066</v>
      </c>
      <c r="C4007" s="4" t="s">
        <v>43</v>
      </c>
      <c r="D4007" s="2">
        <f>163584752/(10^6)</f>
        <v>163.584752</v>
      </c>
      <c r="E4007" s="5">
        <v>6.76363611221313</v>
      </c>
      <c r="F4007" s="5">
        <v>0.68088686466217</v>
      </c>
      <c r="G4007" s="5">
        <v>1.90193927288055</v>
      </c>
      <c r="H4007" s="5" t="s">
        <v>86</v>
      </c>
      <c r="I4007" t="s">
        <v>57</v>
      </c>
    </row>
    <row r="4008" spans="1:9">
      <c r="A4008" s="4" t="s">
        <v>8067</v>
      </c>
      <c r="B4008" s="4" t="s">
        <v>8068</v>
      </c>
      <c r="C4008" s="4" t="s">
        <v>43</v>
      </c>
      <c r="D4008" s="2">
        <f>163546416/(10^6)</f>
        <v>163.546416</v>
      </c>
      <c r="E4008" s="5">
        <v>5.24579811096191</v>
      </c>
      <c r="F4008" s="5">
        <v>0.522587597370148</v>
      </c>
      <c r="G4008" s="5">
        <v>2.43833494186401</v>
      </c>
      <c r="H4008" s="5" t="s">
        <v>86</v>
      </c>
      <c r="I4008" t="s">
        <v>57</v>
      </c>
    </row>
    <row r="4009" spans="1:9">
      <c r="A4009" s="4" t="s">
        <v>8069</v>
      </c>
      <c r="B4009" s="4" t="s">
        <v>8070</v>
      </c>
      <c r="C4009" s="4" t="s">
        <v>43</v>
      </c>
      <c r="D4009" s="2">
        <f>163521504/(10^6)</f>
        <v>163.521504</v>
      </c>
      <c r="E4009" s="5">
        <v>9.73192977905273</v>
      </c>
      <c r="F4009" s="5">
        <v>1.22867286205292</v>
      </c>
      <c r="G4009" s="5">
        <v>1.50143015384674</v>
      </c>
      <c r="H4009" s="5" t="s">
        <v>86</v>
      </c>
      <c r="I4009" t="s">
        <v>57</v>
      </c>
    </row>
    <row r="4010" spans="1:9">
      <c r="A4010" s="4" t="s">
        <v>8071</v>
      </c>
      <c r="B4010" s="4" t="s">
        <v>8072</v>
      </c>
      <c r="C4010" s="4" t="s">
        <v>43</v>
      </c>
      <c r="D4010" s="2">
        <f>163120144/(10^6)</f>
        <v>163.120144</v>
      </c>
      <c r="E4010" s="5">
        <v>8.30592060089111</v>
      </c>
      <c r="F4010" s="5">
        <v>0.799596011638641</v>
      </c>
      <c r="G4010" s="5">
        <v>1.57459139823914</v>
      </c>
      <c r="H4010" s="5" t="s">
        <v>86</v>
      </c>
      <c r="I4010" t="s">
        <v>57</v>
      </c>
    </row>
    <row r="4011" spans="1:9">
      <c r="A4011" s="4" t="s">
        <v>8073</v>
      </c>
      <c r="B4011" s="4" t="s">
        <v>8074</v>
      </c>
      <c r="C4011" s="4" t="s">
        <v>45</v>
      </c>
      <c r="D4011" s="2">
        <f>162878400/(10^6)</f>
        <v>162.8784</v>
      </c>
      <c r="E4011" s="5">
        <v>47.9085273742676</v>
      </c>
      <c r="F4011" s="5">
        <v>1.77591741085052</v>
      </c>
      <c r="G4011" s="5">
        <v>3.65514445304871</v>
      </c>
      <c r="H4011" s="5">
        <v>13.9517946243286</v>
      </c>
      <c r="I4011" t="s">
        <v>57</v>
      </c>
    </row>
    <row r="4012" spans="1:9">
      <c r="A4012" s="4" t="s">
        <v>8075</v>
      </c>
      <c r="B4012" s="4" t="s">
        <v>8076</v>
      </c>
      <c r="C4012" s="4" t="s">
        <v>41</v>
      </c>
      <c r="D4012" s="2">
        <f>162271600/(10^6)</f>
        <v>162.2716</v>
      </c>
      <c r="E4012" s="5" t="s">
        <v>86</v>
      </c>
      <c r="F4012" s="5">
        <v>0.946414530277252</v>
      </c>
      <c r="G4012" s="5" t="s">
        <v>86</v>
      </c>
      <c r="H4012" s="5" t="s">
        <v>86</v>
      </c>
      <c r="I4012" t="s">
        <v>57</v>
      </c>
    </row>
    <row r="4013" spans="1:9">
      <c r="A4013" s="4" t="s">
        <v>8077</v>
      </c>
      <c r="B4013" s="4" t="s">
        <v>8078</v>
      </c>
      <c r="C4013" s="4" t="s">
        <v>43</v>
      </c>
      <c r="D4013" s="2">
        <f>162173232/(10^6)</f>
        <v>162.173232</v>
      </c>
      <c r="E4013" s="5">
        <v>8.15576076507568</v>
      </c>
      <c r="F4013" s="5">
        <v>1.0476747751236</v>
      </c>
      <c r="G4013" s="5">
        <v>2.30164384841919</v>
      </c>
      <c r="H4013" s="5" t="s">
        <v>86</v>
      </c>
      <c r="I4013" t="s">
        <v>57</v>
      </c>
    </row>
    <row r="4014" spans="1:9">
      <c r="A4014" s="4" t="s">
        <v>8079</v>
      </c>
      <c r="B4014" s="4" t="s">
        <v>8080</v>
      </c>
      <c r="C4014" s="4" t="s">
        <v>41</v>
      </c>
      <c r="D4014" s="2">
        <f>161800192/(10^6)</f>
        <v>161.800192</v>
      </c>
      <c r="E4014" s="5" t="s">
        <v>86</v>
      </c>
      <c r="F4014" s="5" t="s">
        <v>86</v>
      </c>
      <c r="G4014" s="5" t="s">
        <v>86</v>
      </c>
      <c r="H4014" s="5" t="s">
        <v>86</v>
      </c>
      <c r="I4014" t="s">
        <v>57</v>
      </c>
    </row>
    <row r="4015" spans="1:9">
      <c r="A4015" s="4" t="s">
        <v>8081</v>
      </c>
      <c r="B4015" s="4" t="s">
        <v>8082</v>
      </c>
      <c r="C4015" s="4" t="s">
        <v>51</v>
      </c>
      <c r="D4015" s="2">
        <f>161694048/(10^6)</f>
        <v>161.694048</v>
      </c>
      <c r="E4015" s="5" t="s">
        <v>86</v>
      </c>
      <c r="F4015" s="5">
        <v>1.08015477657318</v>
      </c>
      <c r="G4015" s="5">
        <v>0.976010322570801</v>
      </c>
      <c r="H4015" s="5" t="s">
        <v>86</v>
      </c>
      <c r="I4015" t="s">
        <v>57</v>
      </c>
    </row>
    <row r="4016" spans="1:9">
      <c r="A4016" s="4" t="s">
        <v>8083</v>
      </c>
      <c r="B4016" s="4" t="s">
        <v>8084</v>
      </c>
      <c r="C4016" s="4" t="s">
        <v>51</v>
      </c>
      <c r="D4016" s="2">
        <f>161327136/(10^6)</f>
        <v>161.327136</v>
      </c>
      <c r="E4016" s="5" t="s">
        <v>86</v>
      </c>
      <c r="F4016" s="5">
        <v>1.94283699989319</v>
      </c>
      <c r="G4016" s="5">
        <v>4.55210113525391</v>
      </c>
      <c r="H4016" s="5" t="s">
        <v>86</v>
      </c>
      <c r="I4016" t="s">
        <v>57</v>
      </c>
    </row>
    <row r="4017" spans="1:9">
      <c r="A4017" s="4" t="s">
        <v>8085</v>
      </c>
      <c r="B4017" s="4" t="s">
        <v>8086</v>
      </c>
      <c r="C4017" s="4" t="s">
        <v>31</v>
      </c>
      <c r="D4017" s="2">
        <f>161258080/(10^6)</f>
        <v>161.25808</v>
      </c>
      <c r="E4017" s="5">
        <v>11.0510635375977</v>
      </c>
      <c r="F4017" s="5">
        <v>0.698168992996216</v>
      </c>
      <c r="G4017" s="5">
        <v>0.093731164932251</v>
      </c>
      <c r="H4017" s="5">
        <v>4.18418264389038</v>
      </c>
      <c r="I4017" t="s">
        <v>57</v>
      </c>
    </row>
    <row r="4018" spans="1:9">
      <c r="A4018" s="4" t="s">
        <v>8087</v>
      </c>
      <c r="B4018" s="4" t="s">
        <v>8088</v>
      </c>
      <c r="C4018" s="4" t="s">
        <v>33</v>
      </c>
      <c r="D4018" s="2">
        <f>161081600/(10^6)</f>
        <v>161.0816</v>
      </c>
      <c r="E4018" s="5">
        <v>11.9572563171387</v>
      </c>
      <c r="F4018" s="5">
        <v>0.840802311897278</v>
      </c>
      <c r="G4018" s="5">
        <v>1.27983832359314</v>
      </c>
      <c r="H4018" s="5">
        <v>4.7188835144043</v>
      </c>
      <c r="I4018" t="s">
        <v>57</v>
      </c>
    </row>
    <row r="4019" spans="1:9">
      <c r="A4019" s="4" t="s">
        <v>8089</v>
      </c>
      <c r="B4019" s="4" t="s">
        <v>8090</v>
      </c>
      <c r="C4019" s="4" t="s">
        <v>43</v>
      </c>
      <c r="D4019" s="2">
        <f>160855824/(10^6)</f>
        <v>160.855824</v>
      </c>
      <c r="E4019" s="5">
        <v>5.83050870895386</v>
      </c>
      <c r="F4019" s="5">
        <v>0.611542582511902</v>
      </c>
      <c r="G4019" s="5">
        <v>1.62874031066895</v>
      </c>
      <c r="H4019" s="5" t="s">
        <v>86</v>
      </c>
      <c r="I4019" t="s">
        <v>57</v>
      </c>
    </row>
    <row r="4020" spans="1:9">
      <c r="A4020" s="4" t="s">
        <v>8091</v>
      </c>
      <c r="B4020" s="4" t="s">
        <v>8092</v>
      </c>
      <c r="C4020" s="4" t="s">
        <v>49</v>
      </c>
      <c r="D4020" s="2">
        <f>160744048/(10^6)</f>
        <v>160.744048</v>
      </c>
      <c r="E4020" s="5" t="s">
        <v>86</v>
      </c>
      <c r="F4020" s="5" t="s">
        <v>86</v>
      </c>
      <c r="G4020" s="5" t="s">
        <v>86</v>
      </c>
      <c r="H4020" s="5" t="s">
        <v>86</v>
      </c>
      <c r="I4020" t="s">
        <v>57</v>
      </c>
    </row>
    <row r="4021" spans="1:9">
      <c r="A4021" s="4" t="s">
        <v>8093</v>
      </c>
      <c r="B4021" s="4" t="s">
        <v>8094</v>
      </c>
      <c r="C4021" s="4" t="s">
        <v>41</v>
      </c>
      <c r="D4021" s="2">
        <f>160711712/(10^6)</f>
        <v>160.711712</v>
      </c>
      <c r="E4021" s="5">
        <v>2.8957052230835</v>
      </c>
      <c r="F4021" s="5">
        <v>0.912083268165588</v>
      </c>
      <c r="G4021" s="5">
        <v>1.05602896213531</v>
      </c>
      <c r="H4021" s="5">
        <v>0.19154104590416</v>
      </c>
      <c r="I4021" t="s">
        <v>57</v>
      </c>
    </row>
    <row r="4022" spans="1:9">
      <c r="A4022" s="4" t="s">
        <v>8095</v>
      </c>
      <c r="B4022" s="4" t="s">
        <v>8096</v>
      </c>
      <c r="C4022" s="4" t="s">
        <v>43</v>
      </c>
      <c r="D4022" s="2">
        <f>160528192/(10^6)</f>
        <v>160.528192</v>
      </c>
      <c r="E4022" s="5">
        <v>23.8248996734619</v>
      </c>
      <c r="F4022" s="5">
        <v>1.0540851354599</v>
      </c>
      <c r="G4022" s="5">
        <v>1.75976407527924</v>
      </c>
      <c r="H4022" s="5">
        <v>11.7316064834595</v>
      </c>
      <c r="I4022" t="s">
        <v>57</v>
      </c>
    </row>
    <row r="4023" spans="1:9">
      <c r="A4023" s="4" t="s">
        <v>8097</v>
      </c>
      <c r="B4023" s="4" t="s">
        <v>8098</v>
      </c>
      <c r="C4023" s="4" t="s">
        <v>41</v>
      </c>
      <c r="D4023" s="2">
        <f>160511392/(10^6)</f>
        <v>160.511392</v>
      </c>
      <c r="E4023" s="5" t="s">
        <v>86</v>
      </c>
      <c r="F4023" s="5">
        <v>2.89214444160461</v>
      </c>
      <c r="G4023" s="5" t="s">
        <v>86</v>
      </c>
      <c r="H4023" s="5" t="s">
        <v>86</v>
      </c>
      <c r="I4023" t="s">
        <v>57</v>
      </c>
    </row>
    <row r="4024" spans="1:9">
      <c r="A4024" s="4" t="s">
        <v>8099</v>
      </c>
      <c r="B4024" s="4" t="s">
        <v>8100</v>
      </c>
      <c r="C4024" s="4" t="s">
        <v>41</v>
      </c>
      <c r="D4024" s="2">
        <f>160301664/(10^6)</f>
        <v>160.301664</v>
      </c>
      <c r="E4024" s="5" t="s">
        <v>86</v>
      </c>
      <c r="F4024" s="5">
        <v>1.95249593257904</v>
      </c>
      <c r="G4024" s="5">
        <v>37.1964111328125</v>
      </c>
      <c r="H4024" s="5" t="s">
        <v>86</v>
      </c>
      <c r="I4024" t="s">
        <v>57</v>
      </c>
    </row>
    <row r="4025" spans="1:9">
      <c r="A4025" s="4" t="s">
        <v>8101</v>
      </c>
      <c r="B4025" s="4" t="s">
        <v>8102</v>
      </c>
      <c r="C4025" s="4" t="s">
        <v>43</v>
      </c>
      <c r="D4025" s="2">
        <f>159747552/(10^6)</f>
        <v>159.747552</v>
      </c>
      <c r="E4025" s="5">
        <v>3.72858285903931</v>
      </c>
      <c r="F4025" s="5">
        <v>0.527402460575104</v>
      </c>
      <c r="G4025" s="5">
        <v>0.463430136442184</v>
      </c>
      <c r="H4025" s="5">
        <v>8.34455394744873</v>
      </c>
      <c r="I4025" t="s">
        <v>57</v>
      </c>
    </row>
    <row r="4026" spans="1:9">
      <c r="A4026" s="4" t="s">
        <v>8103</v>
      </c>
      <c r="B4026" s="4" t="s">
        <v>8104</v>
      </c>
      <c r="C4026" s="4" t="s">
        <v>47</v>
      </c>
      <c r="D4026" s="2">
        <f>159699808/(10^6)</f>
        <v>159.699808</v>
      </c>
      <c r="E4026" s="5">
        <v>5.07869005203247</v>
      </c>
      <c r="F4026" s="5">
        <v>0.302007704973221</v>
      </c>
      <c r="G4026" s="5">
        <v>0.215282663702965</v>
      </c>
      <c r="H4026" s="5" t="s">
        <v>86</v>
      </c>
      <c r="I4026" t="s">
        <v>57</v>
      </c>
    </row>
    <row r="4027" spans="1:9">
      <c r="A4027" s="4" t="s">
        <v>8105</v>
      </c>
      <c r="B4027" s="4" t="s">
        <v>8106</v>
      </c>
      <c r="C4027" s="4" t="s">
        <v>47</v>
      </c>
      <c r="D4027" s="2">
        <f>159699808/(10^6)</f>
        <v>159.699808</v>
      </c>
      <c r="E4027" s="5">
        <v>5.07869005203247</v>
      </c>
      <c r="F4027" s="5">
        <v>0.302007704973221</v>
      </c>
      <c r="G4027" s="5">
        <v>0.215282663702965</v>
      </c>
      <c r="H4027" s="5" t="s">
        <v>86</v>
      </c>
      <c r="I4027" t="s">
        <v>57</v>
      </c>
    </row>
    <row r="4028" spans="1:9">
      <c r="A4028" s="4" t="s">
        <v>8107</v>
      </c>
      <c r="B4028" s="4" t="s">
        <v>8108</v>
      </c>
      <c r="C4028" s="4" t="s">
        <v>41</v>
      </c>
      <c r="D4028" s="2">
        <f>159691792/(10^6)</f>
        <v>159.691792</v>
      </c>
      <c r="E4028" s="5" t="s">
        <v>86</v>
      </c>
      <c r="F4028" s="5">
        <v>0.711304068565369</v>
      </c>
      <c r="G4028" s="5">
        <v>2.09185433387756</v>
      </c>
      <c r="H4028" s="5" t="s">
        <v>86</v>
      </c>
      <c r="I4028" t="s">
        <v>57</v>
      </c>
    </row>
    <row r="4029" spans="1:9">
      <c r="A4029" s="4" t="s">
        <v>8109</v>
      </c>
      <c r="B4029" s="4" t="s">
        <v>8110</v>
      </c>
      <c r="C4029" s="4" t="s">
        <v>51</v>
      </c>
      <c r="D4029" s="2">
        <f>159632528/(10^6)</f>
        <v>159.632528</v>
      </c>
      <c r="E4029" s="5" t="s">
        <v>86</v>
      </c>
      <c r="F4029" s="5">
        <v>3.18960213661194</v>
      </c>
      <c r="G4029" s="5">
        <v>6.47320365905762</v>
      </c>
      <c r="H4029" s="5" t="s">
        <v>86</v>
      </c>
      <c r="I4029" t="s">
        <v>57</v>
      </c>
    </row>
    <row r="4030" spans="1:9">
      <c r="A4030" s="4" t="s">
        <v>8111</v>
      </c>
      <c r="B4030" s="4" t="s">
        <v>8112</v>
      </c>
      <c r="C4030" s="4" t="s">
        <v>43</v>
      </c>
      <c r="D4030" s="2">
        <f>159174464/(10^6)</f>
        <v>159.174464</v>
      </c>
      <c r="E4030" s="5">
        <v>3.15796899795532</v>
      </c>
      <c r="F4030" s="5">
        <v>51.9632568359375</v>
      </c>
      <c r="G4030" s="5">
        <v>0.363779783248901</v>
      </c>
      <c r="H4030" s="5">
        <v>7.08508729934692</v>
      </c>
      <c r="I4030" t="s">
        <v>57</v>
      </c>
    </row>
    <row r="4031" spans="1:9">
      <c r="A4031" s="4" t="s">
        <v>8113</v>
      </c>
      <c r="B4031" s="4" t="s">
        <v>8114</v>
      </c>
      <c r="C4031" s="4" t="s">
        <v>51</v>
      </c>
      <c r="D4031" s="2">
        <f>158785520/(10^6)</f>
        <v>158.78552</v>
      </c>
      <c r="E4031" s="5" t="s">
        <v>86</v>
      </c>
      <c r="F4031" s="5">
        <v>4.683997631073</v>
      </c>
      <c r="G4031" s="5">
        <v>2.36974835395813</v>
      </c>
      <c r="H4031" s="5" t="s">
        <v>86</v>
      </c>
      <c r="I4031" t="s">
        <v>57</v>
      </c>
    </row>
    <row r="4032" spans="1:9">
      <c r="A4032" s="4" t="s">
        <v>8115</v>
      </c>
      <c r="B4032" s="4" t="s">
        <v>8116</v>
      </c>
      <c r="C4032" s="4" t="s">
        <v>47</v>
      </c>
      <c r="D4032" s="2">
        <f>158700000/(10^6)</f>
        <v>158.7</v>
      </c>
      <c r="E4032" s="5" t="s">
        <v>86</v>
      </c>
      <c r="F4032" s="5" t="s">
        <v>86</v>
      </c>
      <c r="G4032" s="5">
        <v>0.095624893903732</v>
      </c>
      <c r="H4032" s="5" t="s">
        <v>86</v>
      </c>
      <c r="I4032" t="s">
        <v>57</v>
      </c>
    </row>
    <row r="4033" spans="1:9">
      <c r="A4033" s="4" t="s">
        <v>8117</v>
      </c>
      <c r="B4033" s="4" t="s">
        <v>8118</v>
      </c>
      <c r="C4033" s="4" t="s">
        <v>27</v>
      </c>
      <c r="D4033" s="2">
        <f>158502960/(10^6)</f>
        <v>158.50296</v>
      </c>
      <c r="E4033" s="5" t="s">
        <v>86</v>
      </c>
      <c r="F4033" s="5">
        <v>2.45537090301514</v>
      </c>
      <c r="G4033" s="5">
        <v>1.03110027313232</v>
      </c>
      <c r="H4033" s="5" t="s">
        <v>86</v>
      </c>
      <c r="I4033" t="s">
        <v>57</v>
      </c>
    </row>
    <row r="4034" spans="1:9">
      <c r="A4034" s="4" t="s">
        <v>8119</v>
      </c>
      <c r="B4034" s="4" t="s">
        <v>8120</v>
      </c>
      <c r="C4034" s="4" t="s">
        <v>43</v>
      </c>
      <c r="D4034" s="2">
        <f>158325632/(10^6)</f>
        <v>158.325632</v>
      </c>
      <c r="E4034" s="5">
        <v>6.58790874481201</v>
      </c>
      <c r="F4034" s="5">
        <v>0.574862062931061</v>
      </c>
      <c r="G4034" s="5">
        <v>2.51791191101074</v>
      </c>
      <c r="H4034" s="5" t="s">
        <v>86</v>
      </c>
      <c r="I4034" t="s">
        <v>57</v>
      </c>
    </row>
    <row r="4035" spans="1:9">
      <c r="A4035" s="4" t="s">
        <v>8121</v>
      </c>
      <c r="B4035" s="4" t="s">
        <v>8122</v>
      </c>
      <c r="C4035" s="4" t="s">
        <v>43</v>
      </c>
      <c r="D4035" s="2">
        <f>158236544/(10^6)</f>
        <v>158.236544</v>
      </c>
      <c r="E4035" s="5">
        <v>7.60244178771973</v>
      </c>
      <c r="F4035" s="5">
        <v>0.553241908550262</v>
      </c>
      <c r="G4035" s="5">
        <v>3.16652917861939</v>
      </c>
      <c r="H4035" s="5" t="s">
        <v>86</v>
      </c>
      <c r="I4035" t="s">
        <v>57</v>
      </c>
    </row>
    <row r="4036" spans="1:9">
      <c r="A4036" s="4" t="s">
        <v>8123</v>
      </c>
      <c r="B4036" s="4" t="s">
        <v>8124</v>
      </c>
      <c r="C4036" s="4" t="s">
        <v>41</v>
      </c>
      <c r="D4036" s="2">
        <f>158112832/(10^6)</f>
        <v>158.112832</v>
      </c>
      <c r="E4036" s="5" t="s">
        <v>86</v>
      </c>
      <c r="F4036" s="5">
        <v>2.25799441337585</v>
      </c>
      <c r="G4036" s="5" t="s">
        <v>86</v>
      </c>
      <c r="H4036" s="5" t="s">
        <v>86</v>
      </c>
      <c r="I4036" t="s">
        <v>57</v>
      </c>
    </row>
    <row r="4037" spans="1:9">
      <c r="A4037" s="4" t="s">
        <v>8125</v>
      </c>
      <c r="B4037" s="4" t="s">
        <v>8126</v>
      </c>
      <c r="C4037" s="4" t="s">
        <v>43</v>
      </c>
      <c r="D4037" s="2">
        <f>158086320/(10^6)</f>
        <v>158.08632</v>
      </c>
      <c r="E4037" s="5">
        <v>6.28103923797607</v>
      </c>
      <c r="F4037" s="5">
        <v>0.797380268573761</v>
      </c>
      <c r="G4037" s="5">
        <v>2.96339321136475</v>
      </c>
      <c r="H4037" s="5" t="s">
        <v>86</v>
      </c>
      <c r="I4037" t="s">
        <v>57</v>
      </c>
    </row>
    <row r="4038" spans="1:9">
      <c r="A4038" s="4" t="s">
        <v>8127</v>
      </c>
      <c r="B4038" s="4" t="s">
        <v>8128</v>
      </c>
      <c r="C4038" s="4" t="s">
        <v>41</v>
      </c>
      <c r="D4038" s="2">
        <f>157747920/(10^6)</f>
        <v>157.74792</v>
      </c>
      <c r="E4038" s="5" t="s">
        <v>86</v>
      </c>
      <c r="F4038" s="5">
        <v>2.01665043830872</v>
      </c>
      <c r="G4038" s="5">
        <v>7.76240205764771</v>
      </c>
      <c r="H4038" s="5" t="s">
        <v>86</v>
      </c>
      <c r="I4038" t="s">
        <v>57</v>
      </c>
    </row>
    <row r="4039" spans="1:9">
      <c r="A4039" s="4" t="s">
        <v>8129</v>
      </c>
      <c r="B4039" s="4" t="s">
        <v>8130</v>
      </c>
      <c r="C4039" s="4" t="s">
        <v>43</v>
      </c>
      <c r="D4039" s="2">
        <f>157430448/(10^6)</f>
        <v>157.430448</v>
      </c>
      <c r="E4039" s="5">
        <v>6.97021627426147</v>
      </c>
      <c r="F4039" s="5">
        <v>0.601241171360016</v>
      </c>
      <c r="G4039" s="5">
        <v>3.92573833465576</v>
      </c>
      <c r="H4039" s="5" t="s">
        <v>86</v>
      </c>
      <c r="I4039" t="s">
        <v>57</v>
      </c>
    </row>
    <row r="4040" spans="1:9">
      <c r="A4040" s="4" t="s">
        <v>8131</v>
      </c>
      <c r="B4040" s="4" t="s">
        <v>8132</v>
      </c>
      <c r="C4040" s="4" t="s">
        <v>51</v>
      </c>
      <c r="D4040" s="2">
        <f>157195872/(10^6)</f>
        <v>157.195872</v>
      </c>
      <c r="E4040" s="5" t="s">
        <v>86</v>
      </c>
      <c r="F4040" s="5">
        <v>0.69845849275589</v>
      </c>
      <c r="G4040" s="5">
        <v>0.236085519194603</v>
      </c>
      <c r="H4040" s="5">
        <v>6.1598072052002</v>
      </c>
      <c r="I4040" t="s">
        <v>57</v>
      </c>
    </row>
    <row r="4041" spans="1:9">
      <c r="A4041" s="4" t="s">
        <v>8133</v>
      </c>
      <c r="B4041" s="4" t="s">
        <v>8134</v>
      </c>
      <c r="C4041" s="4" t="s">
        <v>31</v>
      </c>
      <c r="D4041" s="2">
        <f>157137056/(10^6)</f>
        <v>157.137056</v>
      </c>
      <c r="E4041" s="5">
        <v>5.69013833999634</v>
      </c>
      <c r="F4041" s="5">
        <v>0.292154043912888</v>
      </c>
      <c r="G4041" s="5">
        <v>0.020397245883942</v>
      </c>
      <c r="H4041" s="5">
        <v>7.18394613265991</v>
      </c>
      <c r="I4041" t="s">
        <v>57</v>
      </c>
    </row>
    <row r="4042" spans="1:9">
      <c r="A4042" s="4" t="s">
        <v>8135</v>
      </c>
      <c r="B4042" s="4" t="s">
        <v>8136</v>
      </c>
      <c r="C4042" s="4" t="s">
        <v>47</v>
      </c>
      <c r="D4042" s="2">
        <f>156990608/(10^6)</f>
        <v>156.990608</v>
      </c>
      <c r="E4042" s="5">
        <v>8.38309097290039</v>
      </c>
      <c r="F4042" s="5">
        <v>0.572947144508362</v>
      </c>
      <c r="G4042" s="5">
        <v>0.165351554751396</v>
      </c>
      <c r="H4042" s="5">
        <v>5.45136976242065</v>
      </c>
      <c r="I4042" t="s">
        <v>57</v>
      </c>
    </row>
    <row r="4043" spans="1:9">
      <c r="A4043" s="4" t="s">
        <v>8137</v>
      </c>
      <c r="B4043" s="4" t="s">
        <v>8138</v>
      </c>
      <c r="C4043" s="4" t="s">
        <v>41</v>
      </c>
      <c r="D4043" s="2">
        <f>156946976/(10^6)</f>
        <v>156.946976</v>
      </c>
      <c r="E4043" s="5" t="s">
        <v>86</v>
      </c>
      <c r="F4043" s="5">
        <v>2.62741875648498</v>
      </c>
      <c r="G4043" s="5" t="s">
        <v>86</v>
      </c>
      <c r="H4043" s="5" t="s">
        <v>86</v>
      </c>
      <c r="I4043" t="s">
        <v>57</v>
      </c>
    </row>
    <row r="4044" spans="1:9">
      <c r="A4044" s="4" t="s">
        <v>8139</v>
      </c>
      <c r="B4044" s="4" t="s">
        <v>8140</v>
      </c>
      <c r="C4044" s="4" t="s">
        <v>49</v>
      </c>
      <c r="D4044" s="2">
        <f>156915280/(10^6)</f>
        <v>156.91528</v>
      </c>
      <c r="E4044" s="5" t="s">
        <v>86</v>
      </c>
      <c r="F4044" s="5" t="s">
        <v>86</v>
      </c>
      <c r="G4044" s="5" t="s">
        <v>86</v>
      </c>
      <c r="H4044" s="5" t="s">
        <v>86</v>
      </c>
      <c r="I4044" t="s">
        <v>57</v>
      </c>
    </row>
    <row r="4045" spans="1:9">
      <c r="A4045" s="4" t="s">
        <v>8141</v>
      </c>
      <c r="B4045" s="4" t="s">
        <v>8142</v>
      </c>
      <c r="C4045" s="4" t="s">
        <v>43</v>
      </c>
      <c r="D4045" s="2">
        <f>156551552/(10^6)</f>
        <v>156.551552</v>
      </c>
      <c r="E4045" s="5">
        <v>7.98534774780273</v>
      </c>
      <c r="F4045" s="5">
        <v>0.828073084354401</v>
      </c>
      <c r="G4045" s="5">
        <v>1.94516813755035</v>
      </c>
      <c r="H4045" s="5" t="s">
        <v>86</v>
      </c>
      <c r="I4045" t="s">
        <v>57</v>
      </c>
    </row>
    <row r="4046" spans="1:9">
      <c r="A4046" s="4" t="s">
        <v>8143</v>
      </c>
      <c r="B4046" s="4" t="s">
        <v>8144</v>
      </c>
      <c r="C4046" s="4" t="s">
        <v>43</v>
      </c>
      <c r="D4046" s="2">
        <f>156372080/(10^6)</f>
        <v>156.37208</v>
      </c>
      <c r="E4046" s="5">
        <v>6.3864541053772</v>
      </c>
      <c r="F4046" s="5">
        <v>0.512149572372437</v>
      </c>
      <c r="G4046" s="5">
        <v>0.979386031627655</v>
      </c>
      <c r="H4046" s="5" t="s">
        <v>86</v>
      </c>
      <c r="I4046" t="s">
        <v>57</v>
      </c>
    </row>
    <row r="4047" spans="1:9">
      <c r="A4047" s="4" t="s">
        <v>8145</v>
      </c>
      <c r="B4047" s="4" t="s">
        <v>8146</v>
      </c>
      <c r="C4047" s="4" t="s">
        <v>49</v>
      </c>
      <c r="D4047" s="2">
        <f>156285056/(10^6)</f>
        <v>156.285056</v>
      </c>
      <c r="E4047" s="5">
        <v>84.7071685791016</v>
      </c>
      <c r="F4047" s="5">
        <v>1.32282888889313</v>
      </c>
      <c r="G4047" s="5" t="s">
        <v>86</v>
      </c>
      <c r="H4047" s="5" t="s">
        <v>86</v>
      </c>
      <c r="I4047" t="s">
        <v>57</v>
      </c>
    </row>
    <row r="4048" spans="1:9">
      <c r="A4048" s="4" t="s">
        <v>8147</v>
      </c>
      <c r="B4048" s="4" t="s">
        <v>8148</v>
      </c>
      <c r="C4048" s="4" t="s">
        <v>41</v>
      </c>
      <c r="D4048" s="2">
        <f>156098064/(10^6)</f>
        <v>156.098064</v>
      </c>
      <c r="E4048" s="5" t="s">
        <v>86</v>
      </c>
      <c r="F4048" s="5" t="s">
        <v>86</v>
      </c>
      <c r="G4048" s="5" t="s">
        <v>86</v>
      </c>
      <c r="H4048" s="5" t="s">
        <v>86</v>
      </c>
      <c r="I4048" t="s">
        <v>57</v>
      </c>
    </row>
    <row r="4049" spans="1:9">
      <c r="A4049" s="4" t="s">
        <v>8149</v>
      </c>
      <c r="B4049" s="4" t="s">
        <v>8150</v>
      </c>
      <c r="C4049" s="4" t="s">
        <v>43</v>
      </c>
      <c r="D4049" s="2">
        <f>155921136/(10^6)</f>
        <v>155.921136</v>
      </c>
      <c r="E4049" s="5">
        <v>11.234977722168</v>
      </c>
      <c r="F4049" s="5">
        <v>0.814792454242706</v>
      </c>
      <c r="G4049" s="5">
        <v>1.93929195404053</v>
      </c>
      <c r="H4049" s="5" t="s">
        <v>86</v>
      </c>
      <c r="I4049" t="s">
        <v>57</v>
      </c>
    </row>
    <row r="4050" spans="1:9">
      <c r="A4050" s="4" t="s">
        <v>8151</v>
      </c>
      <c r="B4050" s="4" t="s">
        <v>8152</v>
      </c>
      <c r="C4050" s="4" t="s">
        <v>41</v>
      </c>
      <c r="D4050" s="2">
        <f>155386832/(10^6)</f>
        <v>155.386832</v>
      </c>
      <c r="E4050" s="5" t="s">
        <v>86</v>
      </c>
      <c r="F4050" s="5" t="s">
        <v>86</v>
      </c>
      <c r="G4050" s="5">
        <v>1.49627423286438</v>
      </c>
      <c r="H4050" s="5">
        <v>7.5889310836792</v>
      </c>
      <c r="I4050" t="s">
        <v>57</v>
      </c>
    </row>
    <row r="4051" spans="1:9">
      <c r="A4051" s="4" t="s">
        <v>8153</v>
      </c>
      <c r="B4051" s="4" t="s">
        <v>8154</v>
      </c>
      <c r="C4051" s="4" t="s">
        <v>43</v>
      </c>
      <c r="D4051" s="2">
        <f>153867760/(10^6)</f>
        <v>153.86776</v>
      </c>
      <c r="E4051" s="5">
        <v>11.3818187713623</v>
      </c>
      <c r="F4051" s="5">
        <v>1.20124208927154</v>
      </c>
      <c r="G4051" s="5">
        <v>2.61995244026184</v>
      </c>
      <c r="H4051" s="5" t="s">
        <v>86</v>
      </c>
      <c r="I4051" t="s">
        <v>57</v>
      </c>
    </row>
    <row r="4052" spans="1:9">
      <c r="A4052" s="4" t="s">
        <v>8155</v>
      </c>
      <c r="B4052" s="4" t="s">
        <v>8156</v>
      </c>
      <c r="C4052" s="4" t="s">
        <v>43</v>
      </c>
      <c r="D4052" s="2">
        <f>153396608/(10^6)</f>
        <v>153.396608</v>
      </c>
      <c r="E4052" s="5" t="s">
        <v>86</v>
      </c>
      <c r="F4052" s="5" t="s">
        <v>86</v>
      </c>
      <c r="G4052" s="5" t="s">
        <v>86</v>
      </c>
      <c r="H4052" s="5" t="s">
        <v>86</v>
      </c>
      <c r="I4052" t="s">
        <v>57</v>
      </c>
    </row>
    <row r="4053" spans="1:9">
      <c r="A4053" s="4" t="s">
        <v>8157</v>
      </c>
      <c r="B4053" s="4" t="s">
        <v>8158</v>
      </c>
      <c r="C4053" s="4" t="s">
        <v>43</v>
      </c>
      <c r="D4053" s="2">
        <f>153302736/(10^6)</f>
        <v>153.302736</v>
      </c>
      <c r="E4053" s="5">
        <v>7.58490610122681</v>
      </c>
      <c r="F4053" s="5">
        <v>0.690016329288483</v>
      </c>
      <c r="G4053" s="5">
        <v>2.03190231323242</v>
      </c>
      <c r="H4053" s="5" t="s">
        <v>86</v>
      </c>
      <c r="I4053" t="s">
        <v>57</v>
      </c>
    </row>
    <row r="4054" spans="1:9">
      <c r="A4054" s="4" t="s">
        <v>8159</v>
      </c>
      <c r="B4054" s="4" t="s">
        <v>8160</v>
      </c>
      <c r="C4054" s="4" t="s">
        <v>43</v>
      </c>
      <c r="D4054" s="2">
        <f>152958592/(10^6)</f>
        <v>152.958592</v>
      </c>
      <c r="E4054" s="5">
        <v>8.33973407745361</v>
      </c>
      <c r="F4054" s="5">
        <v>0.607496976852417</v>
      </c>
      <c r="G4054" s="5">
        <v>1.66621911525726</v>
      </c>
      <c r="H4054" s="5" t="s">
        <v>86</v>
      </c>
      <c r="I4054" t="s">
        <v>57</v>
      </c>
    </row>
    <row r="4055" spans="1:9">
      <c r="A4055" s="4" t="s">
        <v>8161</v>
      </c>
      <c r="B4055" s="4" t="s">
        <v>8162</v>
      </c>
      <c r="C4055" s="4" t="s">
        <v>43</v>
      </c>
      <c r="D4055" s="2">
        <f>152924480/(10^6)</f>
        <v>152.92448</v>
      </c>
      <c r="E4055" s="5">
        <v>6.44179010391235</v>
      </c>
      <c r="F4055" s="5">
        <v>0.76335597038269</v>
      </c>
      <c r="G4055" s="5">
        <v>1.33694183826446</v>
      </c>
      <c r="H4055" s="5" t="s">
        <v>86</v>
      </c>
      <c r="I4055" t="s">
        <v>57</v>
      </c>
    </row>
    <row r="4056" spans="1:9">
      <c r="A4056" s="4" t="s">
        <v>8163</v>
      </c>
      <c r="B4056" s="4" t="s">
        <v>8164</v>
      </c>
      <c r="C4056" s="4" t="s">
        <v>35</v>
      </c>
      <c r="D4056" s="2">
        <f>152474368/(10^6)</f>
        <v>152.474368</v>
      </c>
      <c r="E4056" s="5">
        <v>17.4317264556885</v>
      </c>
      <c r="F4056" s="5">
        <v>1.17623627185822</v>
      </c>
      <c r="G4056" s="5">
        <v>0.417456865310669</v>
      </c>
      <c r="H4056" s="5">
        <v>3.963698387146</v>
      </c>
      <c r="I4056" t="s">
        <v>57</v>
      </c>
    </row>
    <row r="4057" spans="1:9">
      <c r="A4057" s="4" t="s">
        <v>8165</v>
      </c>
      <c r="B4057" s="4" t="s">
        <v>8166</v>
      </c>
      <c r="C4057" s="4" t="s">
        <v>43</v>
      </c>
      <c r="D4057" s="2">
        <f>151990624/(10^6)</f>
        <v>151.990624</v>
      </c>
      <c r="E4057" s="5">
        <v>6.70883750915527</v>
      </c>
      <c r="F4057" s="5">
        <v>0.769855380058289</v>
      </c>
      <c r="G4057" s="5">
        <v>1.588583111763</v>
      </c>
      <c r="H4057" s="5" t="s">
        <v>86</v>
      </c>
      <c r="I4057" t="s">
        <v>57</v>
      </c>
    </row>
    <row r="4058" spans="1:9">
      <c r="A4058" s="4" t="s">
        <v>8167</v>
      </c>
      <c r="B4058" s="4" t="s">
        <v>8168</v>
      </c>
      <c r="C4058" s="4" t="s">
        <v>49</v>
      </c>
      <c r="D4058" s="2">
        <f>151591904/(10^6)</f>
        <v>151.591904</v>
      </c>
      <c r="E4058" s="5" t="s">
        <v>86</v>
      </c>
      <c r="F4058" s="5">
        <v>1.20694768428802</v>
      </c>
      <c r="G4058" s="5" t="s">
        <v>86</v>
      </c>
      <c r="H4058" s="5" t="s">
        <v>86</v>
      </c>
      <c r="I4058" t="s">
        <v>57</v>
      </c>
    </row>
    <row r="4059" spans="1:9">
      <c r="A4059" s="4" t="s">
        <v>8169</v>
      </c>
      <c r="B4059" s="4" t="s">
        <v>8170</v>
      </c>
      <c r="C4059" s="4" t="s">
        <v>37</v>
      </c>
      <c r="D4059" s="2">
        <f>151441328/(10^6)</f>
        <v>151.441328</v>
      </c>
      <c r="E4059" s="5" t="s">
        <v>86</v>
      </c>
      <c r="F4059" s="5">
        <v>0.268115788698196</v>
      </c>
      <c r="G4059" s="5">
        <v>0.124811716377735</v>
      </c>
      <c r="H4059" s="5" t="s">
        <v>86</v>
      </c>
      <c r="I4059" t="s">
        <v>57</v>
      </c>
    </row>
    <row r="4060" spans="1:9">
      <c r="A4060" s="4" t="s">
        <v>8171</v>
      </c>
      <c r="B4060" s="4" t="s">
        <v>8172</v>
      </c>
      <c r="C4060" s="4" t="s">
        <v>51</v>
      </c>
      <c r="D4060" s="2">
        <f>151331136/(10^6)</f>
        <v>151.331136</v>
      </c>
      <c r="E4060" s="5" t="s">
        <v>86</v>
      </c>
      <c r="F4060" s="5">
        <v>0.550220966339111</v>
      </c>
      <c r="G4060" s="5">
        <v>0.782965362071991</v>
      </c>
      <c r="H4060" s="5" t="s">
        <v>86</v>
      </c>
      <c r="I4060" t="s">
        <v>57</v>
      </c>
    </row>
    <row r="4061" spans="1:9">
      <c r="A4061" s="4" t="s">
        <v>8173</v>
      </c>
      <c r="B4061" s="4" t="s">
        <v>8174</v>
      </c>
      <c r="C4061" s="4" t="s">
        <v>41</v>
      </c>
      <c r="D4061" s="2">
        <f>151217536/(10^6)</f>
        <v>151.217536</v>
      </c>
      <c r="E4061" s="5" t="s">
        <v>86</v>
      </c>
      <c r="F4061" s="5">
        <v>7.04642295837402</v>
      </c>
      <c r="G4061" s="5">
        <v>2.16968536376953</v>
      </c>
      <c r="H4061" s="5" t="s">
        <v>86</v>
      </c>
      <c r="I4061" t="s">
        <v>57</v>
      </c>
    </row>
    <row r="4062" spans="1:9">
      <c r="A4062" s="4" t="s">
        <v>8175</v>
      </c>
      <c r="B4062" s="4" t="s">
        <v>8176</v>
      </c>
      <c r="C4062" s="4" t="s">
        <v>41</v>
      </c>
      <c r="D4062" s="2">
        <f>151079808/(10^6)</f>
        <v>151.079808</v>
      </c>
      <c r="E4062" s="5" t="s">
        <v>86</v>
      </c>
      <c r="F4062" s="5">
        <v>2.69381332397461</v>
      </c>
      <c r="G4062" s="5">
        <v>0.361647188663483</v>
      </c>
      <c r="H4062" s="5">
        <v>13.5217361450195</v>
      </c>
      <c r="I4062" t="s">
        <v>57</v>
      </c>
    </row>
    <row r="4063" spans="1:9">
      <c r="A4063" s="4" t="s">
        <v>8177</v>
      </c>
      <c r="B4063" s="4" t="s">
        <v>8178</v>
      </c>
      <c r="C4063" s="4" t="s">
        <v>51</v>
      </c>
      <c r="D4063" s="2">
        <f>151074912/(10^6)</f>
        <v>151.074912</v>
      </c>
      <c r="E4063" s="5" t="s">
        <v>86</v>
      </c>
      <c r="F4063" s="5">
        <v>0.734100043773651</v>
      </c>
      <c r="G4063" s="5">
        <v>0.400411635637283</v>
      </c>
      <c r="H4063" s="5" t="s">
        <v>86</v>
      </c>
      <c r="I4063" t="s">
        <v>57</v>
      </c>
    </row>
    <row r="4064" spans="1:9">
      <c r="A4064" s="4" t="s">
        <v>8179</v>
      </c>
      <c r="B4064" s="4" t="s">
        <v>8180</v>
      </c>
      <c r="C4064" s="4" t="s">
        <v>33</v>
      </c>
      <c r="D4064" s="2">
        <f>150980304/(10^6)</f>
        <v>150.980304</v>
      </c>
      <c r="E4064" s="5" t="s">
        <v>86</v>
      </c>
      <c r="F4064" s="5">
        <v>5.55469131469727</v>
      </c>
      <c r="G4064" s="5" t="s">
        <v>86</v>
      </c>
      <c r="H4064" s="5" t="s">
        <v>86</v>
      </c>
      <c r="I4064" t="s">
        <v>57</v>
      </c>
    </row>
    <row r="4065" spans="1:9">
      <c r="A4065" s="4" t="s">
        <v>8181</v>
      </c>
      <c r="B4065" s="4" t="s">
        <v>8182</v>
      </c>
      <c r="C4065" s="4" t="s">
        <v>47</v>
      </c>
      <c r="D4065" s="2">
        <f>150805888/(10^6)</f>
        <v>150.805888</v>
      </c>
      <c r="E4065" s="5">
        <v>8.91374588012695</v>
      </c>
      <c r="F4065" s="5">
        <v>0.934874355792999</v>
      </c>
      <c r="G4065" s="5">
        <v>0.137852802872658</v>
      </c>
      <c r="H4065" s="5">
        <v>5.00705242156982</v>
      </c>
      <c r="I4065" t="s">
        <v>57</v>
      </c>
    </row>
    <row r="4066" spans="1:9">
      <c r="A4066" s="4" t="s">
        <v>8183</v>
      </c>
      <c r="B4066" s="4" t="s">
        <v>8184</v>
      </c>
      <c r="C4066" s="4" t="s">
        <v>31</v>
      </c>
      <c r="D4066" s="2">
        <f>150216000/(10^6)</f>
        <v>150.216</v>
      </c>
      <c r="E4066" s="5">
        <v>13.3931150436401</v>
      </c>
      <c r="F4066" s="5">
        <v>0.849050998687744</v>
      </c>
      <c r="G4066" s="5">
        <v>5.25357246398926</v>
      </c>
      <c r="H4066" s="5" t="s">
        <v>86</v>
      </c>
      <c r="I4066" t="s">
        <v>57</v>
      </c>
    </row>
    <row r="4067" spans="1:9">
      <c r="A4067" s="4" t="s">
        <v>8185</v>
      </c>
      <c r="B4067" s="4" t="s">
        <v>8186</v>
      </c>
      <c r="C4067" s="4" t="s">
        <v>43</v>
      </c>
      <c r="D4067" s="2">
        <f>150028208/(10^6)</f>
        <v>150.028208</v>
      </c>
      <c r="E4067" s="5">
        <v>15.1088428497314</v>
      </c>
      <c r="F4067" s="5">
        <v>0.765744805335999</v>
      </c>
      <c r="G4067" s="5">
        <v>2.36935210227966</v>
      </c>
      <c r="H4067" s="5" t="s">
        <v>86</v>
      </c>
      <c r="I4067" t="s">
        <v>57</v>
      </c>
    </row>
    <row r="4068" spans="1:9">
      <c r="A4068" s="4" t="s">
        <v>8187</v>
      </c>
      <c r="B4068" s="4" t="s">
        <v>8188</v>
      </c>
      <c r="C4068" s="4" t="s">
        <v>43</v>
      </c>
      <c r="D4068" s="2">
        <f>149489296/(10^6)</f>
        <v>149.489296</v>
      </c>
      <c r="E4068" s="5">
        <v>10.2564096450806</v>
      </c>
      <c r="F4068" s="5" t="s">
        <v>86</v>
      </c>
      <c r="G4068" s="5" t="s">
        <v>86</v>
      </c>
      <c r="H4068" s="5" t="s">
        <v>86</v>
      </c>
      <c r="I4068" t="s">
        <v>57</v>
      </c>
    </row>
    <row r="4069" spans="1:9">
      <c r="A4069" s="4" t="s">
        <v>8189</v>
      </c>
      <c r="B4069" s="4" t="s">
        <v>8190</v>
      </c>
      <c r="C4069" s="4" t="s">
        <v>33</v>
      </c>
      <c r="D4069" s="2">
        <f>149378928/(10^6)</f>
        <v>149.378928</v>
      </c>
      <c r="E4069" s="5">
        <v>0.802752315998077</v>
      </c>
      <c r="F4069" s="5">
        <v>0.443454504013062</v>
      </c>
      <c r="G4069" s="5">
        <v>0.090865388512611</v>
      </c>
      <c r="H4069" s="5">
        <v>106.75415802002</v>
      </c>
      <c r="I4069" t="s">
        <v>57</v>
      </c>
    </row>
    <row r="4070" spans="1:9">
      <c r="A4070" s="4" t="s">
        <v>8191</v>
      </c>
      <c r="B4070" s="4" t="s">
        <v>8192</v>
      </c>
      <c r="C4070" s="4" t="s">
        <v>33</v>
      </c>
      <c r="D4070" s="2">
        <f>149378928/(10^6)</f>
        <v>149.378928</v>
      </c>
      <c r="E4070" s="5">
        <v>0.802752315998077</v>
      </c>
      <c r="F4070" s="5">
        <v>0.443454504013062</v>
      </c>
      <c r="G4070" s="5">
        <v>0.090865388512611</v>
      </c>
      <c r="H4070" s="5">
        <v>106.75415802002</v>
      </c>
      <c r="I4070" t="s">
        <v>57</v>
      </c>
    </row>
    <row r="4071" spans="1:9">
      <c r="A4071" s="4" t="s">
        <v>8193</v>
      </c>
      <c r="B4071" s="4" t="s">
        <v>8194</v>
      </c>
      <c r="C4071" s="4" t="s">
        <v>31</v>
      </c>
      <c r="D4071" s="2">
        <f>149302528/(10^6)</f>
        <v>149.302528</v>
      </c>
      <c r="E4071" s="5">
        <v>3.25888514518738</v>
      </c>
      <c r="F4071" s="5">
        <v>0.170652016997337</v>
      </c>
      <c r="G4071" s="5">
        <v>0.629531264305115</v>
      </c>
      <c r="H4071" s="5">
        <v>25.4843158721924</v>
      </c>
      <c r="I4071" t="s">
        <v>57</v>
      </c>
    </row>
    <row r="4072" spans="1:9">
      <c r="A4072" s="4" t="s">
        <v>8195</v>
      </c>
      <c r="B4072" s="4" t="s">
        <v>8196</v>
      </c>
      <c r="C4072" s="4" t="s">
        <v>43</v>
      </c>
      <c r="D4072" s="2">
        <f>149202624/(10^6)</f>
        <v>149.202624</v>
      </c>
      <c r="E4072" s="5" t="s">
        <v>86</v>
      </c>
      <c r="F4072" s="5">
        <v>0.608604252338409</v>
      </c>
      <c r="G4072" s="5">
        <v>0.328387945890427</v>
      </c>
      <c r="H4072" s="5" t="s">
        <v>86</v>
      </c>
      <c r="I4072" t="s">
        <v>57</v>
      </c>
    </row>
    <row r="4073" spans="1:9">
      <c r="A4073" s="4" t="s">
        <v>8197</v>
      </c>
      <c r="B4073" s="4" t="s">
        <v>8198</v>
      </c>
      <c r="C4073" s="4" t="s">
        <v>31</v>
      </c>
      <c r="D4073" s="2">
        <f>148838400/(10^6)</f>
        <v>148.8384</v>
      </c>
      <c r="E4073" s="5" t="s">
        <v>86</v>
      </c>
      <c r="F4073" s="5">
        <v>0.28808605670929</v>
      </c>
      <c r="G4073" s="5">
        <v>0.473514437675476</v>
      </c>
      <c r="H4073" s="5">
        <v>10.205714225769</v>
      </c>
      <c r="I4073" t="s">
        <v>57</v>
      </c>
    </row>
    <row r="4074" spans="1:9">
      <c r="A4074" s="4" t="s">
        <v>8199</v>
      </c>
      <c r="B4074" s="4" t="s">
        <v>8200</v>
      </c>
      <c r="C4074" s="4" t="s">
        <v>43</v>
      </c>
      <c r="D4074" s="2">
        <f>148769904/(10^6)</f>
        <v>148.769904</v>
      </c>
      <c r="E4074" s="5" t="s">
        <v>86</v>
      </c>
      <c r="F4074" s="5" t="s">
        <v>86</v>
      </c>
      <c r="G4074" s="5" t="s">
        <v>86</v>
      </c>
      <c r="H4074" s="5" t="s">
        <v>86</v>
      </c>
      <c r="I4074" t="s">
        <v>57</v>
      </c>
    </row>
    <row r="4075" spans="1:9">
      <c r="A4075" s="4" t="s">
        <v>8201</v>
      </c>
      <c r="B4075" s="4" t="s">
        <v>8202</v>
      </c>
      <c r="C4075" s="4" t="s">
        <v>41</v>
      </c>
      <c r="D4075" s="2">
        <f>148739920/(10^6)</f>
        <v>148.73992</v>
      </c>
      <c r="E4075" s="5" t="s">
        <v>86</v>
      </c>
      <c r="F4075" s="5">
        <v>1.72691833972931</v>
      </c>
      <c r="G4075" s="5" t="s">
        <v>86</v>
      </c>
      <c r="H4075" s="5" t="s">
        <v>86</v>
      </c>
      <c r="I4075" t="s">
        <v>57</v>
      </c>
    </row>
    <row r="4076" spans="1:9">
      <c r="A4076" s="4" t="s">
        <v>8203</v>
      </c>
      <c r="B4076" s="4" t="s">
        <v>8204</v>
      </c>
      <c r="C4076" s="4" t="s">
        <v>31</v>
      </c>
      <c r="D4076" s="2">
        <f>148563008/(10^6)</f>
        <v>148.563008</v>
      </c>
      <c r="E4076" s="5">
        <v>5.92932033538818</v>
      </c>
      <c r="F4076" s="5">
        <v>0.721856534481049</v>
      </c>
      <c r="G4076" s="5">
        <v>3.70931529998779</v>
      </c>
      <c r="H4076" s="5" t="s">
        <v>86</v>
      </c>
      <c r="I4076" t="s">
        <v>57</v>
      </c>
    </row>
    <row r="4077" spans="1:9">
      <c r="A4077" s="4" t="s">
        <v>8205</v>
      </c>
      <c r="B4077" s="4" t="s">
        <v>8206</v>
      </c>
      <c r="C4077" s="4" t="s">
        <v>43</v>
      </c>
      <c r="D4077" s="2">
        <f>148140176/(10^6)</f>
        <v>148.140176</v>
      </c>
      <c r="E4077" s="5">
        <v>5.96153831481934</v>
      </c>
      <c r="F4077" s="5">
        <v>0.723889231681824</v>
      </c>
      <c r="G4077" s="5">
        <v>0.985083878040314</v>
      </c>
      <c r="H4077" s="5" t="s">
        <v>86</v>
      </c>
      <c r="I4077" t="s">
        <v>57</v>
      </c>
    </row>
    <row r="4078" spans="1:9">
      <c r="A4078" s="4" t="s">
        <v>8207</v>
      </c>
      <c r="B4078" s="4" t="s">
        <v>8208</v>
      </c>
      <c r="C4078" s="4" t="s">
        <v>33</v>
      </c>
      <c r="D4078" s="2">
        <f>147938544/(10^6)</f>
        <v>147.938544</v>
      </c>
      <c r="E4078" s="5" t="s">
        <v>86</v>
      </c>
      <c r="F4078" s="5">
        <v>2.1467125415802</v>
      </c>
      <c r="G4078" s="5">
        <v>2.70182871818542</v>
      </c>
      <c r="H4078" s="5" t="s">
        <v>86</v>
      </c>
      <c r="I4078" t="s">
        <v>57</v>
      </c>
    </row>
    <row r="4079" spans="1:9">
      <c r="A4079" s="4" t="s">
        <v>8209</v>
      </c>
      <c r="B4079" s="4" t="s">
        <v>8210</v>
      </c>
      <c r="C4079" s="4" t="s">
        <v>35</v>
      </c>
      <c r="D4079" s="2">
        <f>146749632/(10^6)</f>
        <v>146.749632</v>
      </c>
      <c r="E4079" s="5">
        <v>12.0600366592407</v>
      </c>
      <c r="F4079" s="5">
        <v>5.02008581161499</v>
      </c>
      <c r="G4079" s="5">
        <v>0.62522166967392</v>
      </c>
      <c r="H4079" s="5">
        <v>7.6035418510437</v>
      </c>
      <c r="I4079" t="s">
        <v>57</v>
      </c>
    </row>
    <row r="4080" spans="1:9">
      <c r="A4080" s="4" t="s">
        <v>8211</v>
      </c>
      <c r="B4080" s="4" t="s">
        <v>8212</v>
      </c>
      <c r="C4080" s="4" t="s">
        <v>41</v>
      </c>
      <c r="D4080" s="2">
        <f>146568800/(10^6)</f>
        <v>146.5688</v>
      </c>
      <c r="E4080" s="5" t="s">
        <v>86</v>
      </c>
      <c r="F4080" s="5" t="s">
        <v>86</v>
      </c>
      <c r="G4080" s="5" t="s">
        <v>86</v>
      </c>
      <c r="H4080" s="5" t="s">
        <v>86</v>
      </c>
      <c r="I4080" t="s">
        <v>57</v>
      </c>
    </row>
    <row r="4081" spans="1:9">
      <c r="A4081" s="4" t="s">
        <v>8213</v>
      </c>
      <c r="B4081" s="4" t="s">
        <v>8214</v>
      </c>
      <c r="C4081" s="4" t="s">
        <v>47</v>
      </c>
      <c r="D4081" s="2">
        <f>146514720/(10^6)</f>
        <v>146.51472</v>
      </c>
      <c r="E4081" s="5">
        <v>11.2929096221924</v>
      </c>
      <c r="F4081" s="5">
        <v>6.47206926345825</v>
      </c>
      <c r="G4081" s="5">
        <v>1.80033385753632</v>
      </c>
      <c r="H4081" s="5">
        <v>6.58080434799194</v>
      </c>
      <c r="I4081" t="s">
        <v>57</v>
      </c>
    </row>
    <row r="4082" spans="1:9">
      <c r="A4082" s="4" t="s">
        <v>8215</v>
      </c>
      <c r="B4082" s="4" t="s">
        <v>8216</v>
      </c>
      <c r="C4082" s="4" t="s">
        <v>43</v>
      </c>
      <c r="D4082" s="2">
        <f>146451904/(10^6)</f>
        <v>146.451904</v>
      </c>
      <c r="E4082" s="5">
        <v>9.36760139465332</v>
      </c>
      <c r="F4082" s="5">
        <v>0.799789011478424</v>
      </c>
      <c r="G4082" s="5">
        <v>1.68279385566711</v>
      </c>
      <c r="H4082" s="5" t="s">
        <v>86</v>
      </c>
      <c r="I4082" t="s">
        <v>57</v>
      </c>
    </row>
    <row r="4083" spans="1:9">
      <c r="A4083" s="4" t="s">
        <v>8217</v>
      </c>
      <c r="B4083" s="4" t="s">
        <v>8218</v>
      </c>
      <c r="C4083" s="4" t="s">
        <v>47</v>
      </c>
      <c r="D4083" s="2">
        <f>146356960/(10^6)</f>
        <v>146.35696</v>
      </c>
      <c r="E4083" s="5">
        <v>1.84108006954193</v>
      </c>
      <c r="F4083" s="5">
        <v>0.233822703361511</v>
      </c>
      <c r="G4083" s="5">
        <v>0.101076267659664</v>
      </c>
      <c r="H4083" s="5">
        <v>5.7491307258606</v>
      </c>
      <c r="I4083" t="s">
        <v>57</v>
      </c>
    </row>
    <row r="4084" spans="1:9">
      <c r="A4084" s="4" t="s">
        <v>8219</v>
      </c>
      <c r="B4084" s="4" t="s">
        <v>8220</v>
      </c>
      <c r="C4084" s="4" t="s">
        <v>47</v>
      </c>
      <c r="D4084" s="2">
        <f>146008128/(10^6)</f>
        <v>146.008128</v>
      </c>
      <c r="E4084" s="5">
        <v>8.87177276611328</v>
      </c>
      <c r="F4084" s="5">
        <v>0.480653196573257</v>
      </c>
      <c r="G4084" s="5">
        <v>0.297436833381653</v>
      </c>
      <c r="H4084" s="5">
        <v>3.09510540962219</v>
      </c>
      <c r="I4084" t="s">
        <v>57</v>
      </c>
    </row>
    <row r="4085" spans="1:9">
      <c r="A4085" s="4" t="s">
        <v>8221</v>
      </c>
      <c r="B4085" s="4" t="s">
        <v>8222</v>
      </c>
      <c r="C4085" s="4" t="s">
        <v>49</v>
      </c>
      <c r="D4085" s="2">
        <f>145894496/(10^6)</f>
        <v>145.894496</v>
      </c>
      <c r="E4085" s="5" t="s">
        <v>86</v>
      </c>
      <c r="F4085" s="5" t="s">
        <v>86</v>
      </c>
      <c r="G4085" s="5" t="s">
        <v>86</v>
      </c>
      <c r="H4085" s="5" t="s">
        <v>86</v>
      </c>
      <c r="I4085" t="s">
        <v>57</v>
      </c>
    </row>
    <row r="4086" spans="1:9">
      <c r="A4086" s="4" t="s">
        <v>8223</v>
      </c>
      <c r="B4086" s="4" t="s">
        <v>8224</v>
      </c>
      <c r="C4086" s="4" t="s">
        <v>41</v>
      </c>
      <c r="D4086" s="2">
        <f>145354304/(10^6)</f>
        <v>145.354304</v>
      </c>
      <c r="E4086" s="5">
        <v>45.2768516540527</v>
      </c>
      <c r="F4086" s="5">
        <v>25.4097862243652</v>
      </c>
      <c r="G4086" s="5">
        <v>2.98719954490662</v>
      </c>
      <c r="H4086" s="5">
        <v>18.0135173797607</v>
      </c>
      <c r="I4086" t="s">
        <v>57</v>
      </c>
    </row>
    <row r="4087" spans="1:9">
      <c r="A4087" s="4" t="s">
        <v>8225</v>
      </c>
      <c r="B4087" s="4" t="s">
        <v>8226</v>
      </c>
      <c r="C4087" s="4" t="s">
        <v>43</v>
      </c>
      <c r="D4087" s="2">
        <f>144749872/(10^6)</f>
        <v>144.749872</v>
      </c>
      <c r="E4087" s="5">
        <v>14.9778594970703</v>
      </c>
      <c r="F4087" s="5">
        <v>1.47211241722107</v>
      </c>
      <c r="G4087" s="5">
        <v>4.06706380844116</v>
      </c>
      <c r="H4087" s="5" t="s">
        <v>86</v>
      </c>
      <c r="I4087" t="s">
        <v>57</v>
      </c>
    </row>
    <row r="4088" spans="1:9">
      <c r="A4088" s="4" t="s">
        <v>8227</v>
      </c>
      <c r="B4088" s="4" t="s">
        <v>8228</v>
      </c>
      <c r="C4088" s="4" t="s">
        <v>43</v>
      </c>
      <c r="D4088" s="2">
        <f>144551024/(10^6)</f>
        <v>144.551024</v>
      </c>
      <c r="E4088" s="5">
        <v>9.2616548538208</v>
      </c>
      <c r="F4088" s="5">
        <v>0.932768285274506</v>
      </c>
      <c r="G4088" s="5">
        <v>1.87107944488525</v>
      </c>
      <c r="H4088" s="5" t="s">
        <v>86</v>
      </c>
      <c r="I4088" t="s">
        <v>57</v>
      </c>
    </row>
    <row r="4089" spans="1:9">
      <c r="A4089" s="4" t="s">
        <v>8229</v>
      </c>
      <c r="B4089" s="4" t="s">
        <v>8230</v>
      </c>
      <c r="C4089" s="4" t="s">
        <v>43</v>
      </c>
      <c r="D4089" s="2">
        <f>144485472/(10^6)</f>
        <v>144.485472</v>
      </c>
      <c r="E4089" s="5">
        <v>5.71564865112305</v>
      </c>
      <c r="F4089" s="5">
        <v>0.649169147014618</v>
      </c>
      <c r="G4089" s="5">
        <v>1.10513234138489</v>
      </c>
      <c r="H4089" s="5" t="s">
        <v>86</v>
      </c>
      <c r="I4089" t="s">
        <v>57</v>
      </c>
    </row>
    <row r="4090" spans="1:9">
      <c r="A4090" s="4" t="s">
        <v>8231</v>
      </c>
      <c r="B4090" s="4" t="s">
        <v>8232</v>
      </c>
      <c r="C4090" s="4" t="s">
        <v>41</v>
      </c>
      <c r="D4090" s="2">
        <f>144175744/(10^6)</f>
        <v>144.175744</v>
      </c>
      <c r="E4090" s="5" t="s">
        <v>86</v>
      </c>
      <c r="F4090" s="5">
        <v>1.92294836044312</v>
      </c>
      <c r="G4090" s="5" t="s">
        <v>86</v>
      </c>
      <c r="H4090" s="5" t="s">
        <v>86</v>
      </c>
      <c r="I4090" t="s">
        <v>57</v>
      </c>
    </row>
    <row r="4091" spans="1:9">
      <c r="A4091" s="4" t="s">
        <v>8233</v>
      </c>
      <c r="B4091" s="4" t="s">
        <v>8234</v>
      </c>
      <c r="C4091" s="4" t="s">
        <v>41</v>
      </c>
      <c r="D4091" s="2">
        <f>144023408/(10^6)</f>
        <v>144.023408</v>
      </c>
      <c r="E4091" s="5" t="s">
        <v>86</v>
      </c>
      <c r="F4091" s="5" t="s">
        <v>86</v>
      </c>
      <c r="G4091" s="5" t="s">
        <v>86</v>
      </c>
      <c r="H4091" s="5" t="s">
        <v>86</v>
      </c>
      <c r="I4091" t="s">
        <v>57</v>
      </c>
    </row>
    <row r="4092" spans="1:9">
      <c r="A4092" s="4" t="s">
        <v>8235</v>
      </c>
      <c r="B4092" s="4" t="s">
        <v>8236</v>
      </c>
      <c r="C4092" s="4" t="s">
        <v>41</v>
      </c>
      <c r="D4092" s="2">
        <f>143820368/(10^6)</f>
        <v>143.820368</v>
      </c>
      <c r="E4092" s="5" t="s">
        <v>86</v>
      </c>
      <c r="F4092" s="5">
        <v>2.12283563613892</v>
      </c>
      <c r="G4092" s="5">
        <v>72.2722396850586</v>
      </c>
      <c r="H4092" s="5" t="s">
        <v>86</v>
      </c>
      <c r="I4092" t="s">
        <v>57</v>
      </c>
    </row>
    <row r="4093" spans="1:9">
      <c r="A4093" s="4" t="s">
        <v>8237</v>
      </c>
      <c r="B4093" s="4" t="s">
        <v>8238</v>
      </c>
      <c r="C4093" s="4" t="s">
        <v>33</v>
      </c>
      <c r="D4093" s="2">
        <f>143585600/(10^6)</f>
        <v>143.5856</v>
      </c>
      <c r="E4093" s="5">
        <v>57.8121299743652</v>
      </c>
      <c r="F4093" s="5">
        <v>2.54192996025085</v>
      </c>
      <c r="G4093" s="5">
        <v>0.10423181951046</v>
      </c>
      <c r="H4093" s="5">
        <v>3.93793964385986</v>
      </c>
      <c r="I4093" t="s">
        <v>57</v>
      </c>
    </row>
    <row r="4094" spans="1:9">
      <c r="A4094" s="4" t="s">
        <v>8239</v>
      </c>
      <c r="B4094" s="4" t="s">
        <v>8240</v>
      </c>
      <c r="C4094" s="4" t="s">
        <v>43</v>
      </c>
      <c r="D4094" s="2">
        <f>143398816/(10^6)</f>
        <v>143.398816</v>
      </c>
      <c r="E4094" s="5">
        <v>9.04390335083008</v>
      </c>
      <c r="F4094" s="5">
        <v>0.837977111339569</v>
      </c>
      <c r="G4094" s="5">
        <v>1.67641603946686</v>
      </c>
      <c r="H4094" s="5" t="s">
        <v>86</v>
      </c>
      <c r="I4094" t="s">
        <v>57</v>
      </c>
    </row>
    <row r="4095" spans="1:9">
      <c r="A4095" s="4" t="s">
        <v>8241</v>
      </c>
      <c r="B4095" s="4" t="s">
        <v>8242</v>
      </c>
      <c r="C4095" s="4" t="s">
        <v>47</v>
      </c>
      <c r="D4095" s="2">
        <f>142315456/(10^6)</f>
        <v>142.315456</v>
      </c>
      <c r="E4095" s="5">
        <v>5.25975370407104</v>
      </c>
      <c r="F4095" s="5">
        <v>0.232025891542435</v>
      </c>
      <c r="G4095" s="5">
        <v>0.104063421487808</v>
      </c>
      <c r="H4095" s="5">
        <v>130.659255981445</v>
      </c>
      <c r="I4095" t="s">
        <v>57</v>
      </c>
    </row>
    <row r="4096" spans="1:9">
      <c r="A4096" s="4" t="s">
        <v>8243</v>
      </c>
      <c r="B4096" s="4" t="s">
        <v>8244</v>
      </c>
      <c r="C4096" s="4" t="s">
        <v>47</v>
      </c>
      <c r="D4096" s="2">
        <f>142259168/(10^6)</f>
        <v>142.259168</v>
      </c>
      <c r="E4096" s="5">
        <v>8.58220863342285</v>
      </c>
      <c r="F4096" s="5">
        <v>0.863445997238159</v>
      </c>
      <c r="G4096" s="5">
        <v>0.527916848659515</v>
      </c>
      <c r="H4096" s="5">
        <v>4.56836175918579</v>
      </c>
      <c r="I4096" t="s">
        <v>57</v>
      </c>
    </row>
    <row r="4097" spans="1:9">
      <c r="A4097" s="4" t="s">
        <v>8245</v>
      </c>
      <c r="B4097" s="4" t="s">
        <v>8246</v>
      </c>
      <c r="C4097" s="4" t="s">
        <v>37</v>
      </c>
      <c r="D4097" s="2">
        <f>142136288/(10^6)</f>
        <v>142.136288</v>
      </c>
      <c r="E4097" s="5" t="s">
        <v>86</v>
      </c>
      <c r="F4097" s="5">
        <v>1.62271153926849</v>
      </c>
      <c r="G4097" s="5" t="s">
        <v>86</v>
      </c>
      <c r="H4097" s="5" t="s">
        <v>86</v>
      </c>
      <c r="I4097" t="s">
        <v>57</v>
      </c>
    </row>
    <row r="4098" spans="1:9">
      <c r="A4098" s="4" t="s">
        <v>8247</v>
      </c>
      <c r="B4098" s="4" t="s">
        <v>8248</v>
      </c>
      <c r="C4098" s="4" t="s">
        <v>41</v>
      </c>
      <c r="D4098" s="2">
        <f>142038224/(10^6)</f>
        <v>142.038224</v>
      </c>
      <c r="E4098" s="5" t="s">
        <v>86</v>
      </c>
      <c r="F4098" s="5">
        <v>1.83785462379456</v>
      </c>
      <c r="G4098" s="5">
        <v>21.6401271820068</v>
      </c>
      <c r="H4098" s="5" t="s">
        <v>86</v>
      </c>
      <c r="I4098" t="s">
        <v>57</v>
      </c>
    </row>
    <row r="4099" spans="1:9">
      <c r="A4099" s="4" t="s">
        <v>8249</v>
      </c>
      <c r="B4099" s="4" t="s">
        <v>8250</v>
      </c>
      <c r="C4099" s="4" t="s">
        <v>43</v>
      </c>
      <c r="D4099" s="2">
        <f>141598464/(10^6)</f>
        <v>141.598464</v>
      </c>
      <c r="E4099" s="5">
        <v>7.4597487449646</v>
      </c>
      <c r="F4099" s="5">
        <v>0.622063398361206</v>
      </c>
      <c r="G4099" s="5">
        <v>5.0826005935669</v>
      </c>
      <c r="H4099" s="5">
        <v>6.57152795791626</v>
      </c>
      <c r="I4099" t="s">
        <v>57</v>
      </c>
    </row>
    <row r="4100" spans="1:9">
      <c r="A4100" s="4" t="s">
        <v>8251</v>
      </c>
      <c r="B4100" s="4" t="s">
        <v>8252</v>
      </c>
      <c r="C4100" s="4" t="s">
        <v>41</v>
      </c>
      <c r="D4100" s="2">
        <f>141520944/(10^6)</f>
        <v>141.520944</v>
      </c>
      <c r="E4100" s="5" t="s">
        <v>86</v>
      </c>
      <c r="F4100" s="5">
        <v>4.12553119659424</v>
      </c>
      <c r="G4100" s="5" t="s">
        <v>86</v>
      </c>
      <c r="H4100" s="5" t="s">
        <v>86</v>
      </c>
      <c r="I4100" t="s">
        <v>57</v>
      </c>
    </row>
    <row r="4101" spans="1:9">
      <c r="A4101" s="4" t="s">
        <v>8253</v>
      </c>
      <c r="B4101" s="4" t="s">
        <v>8254</v>
      </c>
      <c r="C4101" s="4" t="s">
        <v>49</v>
      </c>
      <c r="D4101" s="2">
        <f>141504000/(10^6)</f>
        <v>141.504</v>
      </c>
      <c r="E4101" s="5" t="s">
        <v>86</v>
      </c>
      <c r="F4101" s="5">
        <v>1.23221564292908</v>
      </c>
      <c r="G4101" s="5" t="s">
        <v>86</v>
      </c>
      <c r="H4101" s="5" t="s">
        <v>86</v>
      </c>
      <c r="I4101" t="s">
        <v>57</v>
      </c>
    </row>
    <row r="4102" spans="1:9">
      <c r="A4102" s="4" t="s">
        <v>8255</v>
      </c>
      <c r="B4102" s="4" t="s">
        <v>8256</v>
      </c>
      <c r="C4102" s="4" t="s">
        <v>47</v>
      </c>
      <c r="D4102" s="2">
        <f>141342272/(10^6)</f>
        <v>141.342272</v>
      </c>
      <c r="E4102" s="5" t="s">
        <v>86</v>
      </c>
      <c r="F4102" s="5" t="s">
        <v>86</v>
      </c>
      <c r="G4102" s="5">
        <v>294.811340332031</v>
      </c>
      <c r="H4102" s="5" t="s">
        <v>86</v>
      </c>
      <c r="I4102" t="s">
        <v>57</v>
      </c>
    </row>
    <row r="4103" spans="1:9">
      <c r="A4103" s="4" t="s">
        <v>8257</v>
      </c>
      <c r="B4103" s="4" t="s">
        <v>8258</v>
      </c>
      <c r="C4103" s="4" t="s">
        <v>43</v>
      </c>
      <c r="D4103" s="2">
        <f>141299504/(10^6)</f>
        <v>141.299504</v>
      </c>
      <c r="E4103" s="5">
        <v>21.5686283111572</v>
      </c>
      <c r="F4103" s="5" t="s">
        <v>86</v>
      </c>
      <c r="G4103" s="5" t="s">
        <v>86</v>
      </c>
      <c r="H4103" s="5" t="s">
        <v>86</v>
      </c>
      <c r="I4103" t="s">
        <v>57</v>
      </c>
    </row>
    <row r="4104" spans="1:9">
      <c r="A4104" s="4" t="s">
        <v>8259</v>
      </c>
      <c r="B4104" s="4" t="s">
        <v>8260</v>
      </c>
      <c r="C4104" s="4" t="s">
        <v>31</v>
      </c>
      <c r="D4104" s="2">
        <f>140904064/(10^6)</f>
        <v>140.904064</v>
      </c>
      <c r="E4104" s="5">
        <v>32.6557426452637</v>
      </c>
      <c r="F4104" s="5">
        <v>0.462457358837128</v>
      </c>
      <c r="G4104" s="5">
        <v>1.13439083099365</v>
      </c>
      <c r="H4104" s="5">
        <v>3.53465104103088</v>
      </c>
      <c r="I4104" t="s">
        <v>57</v>
      </c>
    </row>
    <row r="4105" spans="1:9">
      <c r="A4105" s="4" t="s">
        <v>8261</v>
      </c>
      <c r="B4105" s="4" t="s">
        <v>8262</v>
      </c>
      <c r="C4105" s="4" t="s">
        <v>41</v>
      </c>
      <c r="D4105" s="2">
        <f>140706448/(10^6)</f>
        <v>140.706448</v>
      </c>
      <c r="E4105" s="5" t="s">
        <v>86</v>
      </c>
      <c r="F4105" s="5" t="s">
        <v>86</v>
      </c>
      <c r="G4105" s="5" t="s">
        <v>86</v>
      </c>
      <c r="H4105" s="5" t="s">
        <v>86</v>
      </c>
      <c r="I4105" t="s">
        <v>57</v>
      </c>
    </row>
    <row r="4106" spans="1:9">
      <c r="A4106" s="4" t="s">
        <v>8263</v>
      </c>
      <c r="B4106" s="4" t="s">
        <v>8264</v>
      </c>
      <c r="C4106" s="4" t="s">
        <v>37</v>
      </c>
      <c r="D4106" s="2">
        <f>140584736/(10^6)</f>
        <v>140.584736</v>
      </c>
      <c r="E4106" s="5">
        <v>12.6656513214111</v>
      </c>
      <c r="F4106" s="5">
        <v>0.823024868965149</v>
      </c>
      <c r="G4106" s="5">
        <v>0.541722297668457</v>
      </c>
      <c r="H4106" s="5">
        <v>23.4460487365723</v>
      </c>
      <c r="I4106" t="s">
        <v>57</v>
      </c>
    </row>
    <row r="4107" spans="1:9">
      <c r="A4107" s="4" t="s">
        <v>8265</v>
      </c>
      <c r="B4107" s="4" t="s">
        <v>8266</v>
      </c>
      <c r="C4107" s="4" t="s">
        <v>47</v>
      </c>
      <c r="D4107" s="2">
        <f>140499440/(10^6)</f>
        <v>140.49944</v>
      </c>
      <c r="E4107" s="5" t="s">
        <v>86</v>
      </c>
      <c r="F4107" s="5" t="s">
        <v>86</v>
      </c>
      <c r="G4107" s="5" t="s">
        <v>86</v>
      </c>
      <c r="H4107" s="5" t="s">
        <v>86</v>
      </c>
      <c r="I4107" t="s">
        <v>57</v>
      </c>
    </row>
    <row r="4108" spans="1:9">
      <c r="A4108" s="4" t="s">
        <v>8267</v>
      </c>
      <c r="B4108" s="4" t="s">
        <v>8268</v>
      </c>
      <c r="C4108" s="4" t="s">
        <v>43</v>
      </c>
      <c r="D4108" s="2">
        <f>140238016/(10^6)</f>
        <v>140.238016</v>
      </c>
      <c r="E4108" s="5">
        <v>6.15540504455566</v>
      </c>
      <c r="F4108" s="5">
        <v>0.630817711353302</v>
      </c>
      <c r="G4108" s="5">
        <v>1.37968754768372</v>
      </c>
      <c r="H4108" s="5" t="s">
        <v>86</v>
      </c>
      <c r="I4108" t="s">
        <v>57</v>
      </c>
    </row>
    <row r="4109" spans="1:9">
      <c r="A4109" s="4" t="s">
        <v>8269</v>
      </c>
      <c r="B4109" s="4" t="s">
        <v>8270</v>
      </c>
      <c r="C4109" s="4" t="s">
        <v>31</v>
      </c>
      <c r="D4109" s="2">
        <f>139881600/(10^6)</f>
        <v>139.8816</v>
      </c>
      <c r="E4109" s="5">
        <v>15.8669490814209</v>
      </c>
      <c r="F4109" s="5">
        <v>0.88520336151123</v>
      </c>
      <c r="G4109" s="5">
        <v>1.78925061225891</v>
      </c>
      <c r="H4109" s="5">
        <v>1.78253161907196</v>
      </c>
      <c r="I4109" t="s">
        <v>57</v>
      </c>
    </row>
    <row r="4110" spans="1:9">
      <c r="A4110" s="4" t="s">
        <v>8271</v>
      </c>
      <c r="B4110" s="4" t="s">
        <v>8272</v>
      </c>
      <c r="C4110" s="4" t="s">
        <v>51</v>
      </c>
      <c r="D4110" s="2">
        <f>139852384/(10^6)</f>
        <v>139.852384</v>
      </c>
      <c r="E4110" s="5">
        <v>34.1333312988281</v>
      </c>
      <c r="F4110" s="5">
        <v>1.84400701522827</v>
      </c>
      <c r="G4110" s="5">
        <v>1.6359795331955</v>
      </c>
      <c r="H4110" s="5">
        <v>16.9455223083496</v>
      </c>
      <c r="I4110" t="s">
        <v>57</v>
      </c>
    </row>
    <row r="4111" spans="1:9">
      <c r="A4111" s="4" t="s">
        <v>8273</v>
      </c>
      <c r="B4111" s="4" t="s">
        <v>8274</v>
      </c>
      <c r="C4111" s="4" t="s">
        <v>43</v>
      </c>
      <c r="D4111" s="2">
        <f>139395280/(10^6)</f>
        <v>139.39528</v>
      </c>
      <c r="E4111" s="5">
        <v>10.9253530502319</v>
      </c>
      <c r="F4111" s="5">
        <v>0.662426590919495</v>
      </c>
      <c r="G4111" s="5">
        <v>1.84769260883331</v>
      </c>
      <c r="H4111" s="5" t="s">
        <v>86</v>
      </c>
      <c r="I4111" t="s">
        <v>57</v>
      </c>
    </row>
    <row r="4112" spans="1:9">
      <c r="A4112" s="4" t="s">
        <v>8275</v>
      </c>
      <c r="B4112" s="4" t="s">
        <v>8276</v>
      </c>
      <c r="C4112" s="4" t="s">
        <v>37</v>
      </c>
      <c r="D4112" s="2">
        <f>139252832/(10^6)</f>
        <v>139.252832</v>
      </c>
      <c r="E4112" s="5" t="s">
        <v>86</v>
      </c>
      <c r="F4112" s="5" t="s">
        <v>86</v>
      </c>
      <c r="G4112" s="5" t="s">
        <v>86</v>
      </c>
      <c r="H4112" s="5" t="s">
        <v>86</v>
      </c>
      <c r="I4112" t="s">
        <v>57</v>
      </c>
    </row>
    <row r="4113" spans="1:9">
      <c r="A4113" s="4" t="s">
        <v>8277</v>
      </c>
      <c r="B4113" s="4" t="s">
        <v>8278</v>
      </c>
      <c r="C4113" s="4" t="s">
        <v>41</v>
      </c>
      <c r="D4113" s="2">
        <f>139114128/(10^6)</f>
        <v>139.114128</v>
      </c>
      <c r="E4113" s="5" t="s">
        <v>86</v>
      </c>
      <c r="F4113" s="5">
        <v>4.52584934234619</v>
      </c>
      <c r="G4113" s="5" t="s">
        <v>86</v>
      </c>
      <c r="H4113" s="5" t="s">
        <v>86</v>
      </c>
      <c r="I4113" t="s">
        <v>57</v>
      </c>
    </row>
    <row r="4114" spans="1:9">
      <c r="A4114" s="4" t="s">
        <v>8279</v>
      </c>
      <c r="B4114" s="4" t="s">
        <v>8280</v>
      </c>
      <c r="C4114" s="4" t="s">
        <v>41</v>
      </c>
      <c r="D4114" s="2">
        <f>138959504/(10^6)</f>
        <v>138.959504</v>
      </c>
      <c r="E4114" s="5" t="s">
        <v>86</v>
      </c>
      <c r="F4114" s="5">
        <v>1.74028956890106</v>
      </c>
      <c r="G4114" s="5">
        <v>3.4424729347229</v>
      </c>
      <c r="H4114" s="5" t="s">
        <v>86</v>
      </c>
      <c r="I4114" t="s">
        <v>57</v>
      </c>
    </row>
    <row r="4115" spans="1:9">
      <c r="A4115" s="4" t="s">
        <v>8281</v>
      </c>
      <c r="B4115" s="4" t="s">
        <v>8282</v>
      </c>
      <c r="C4115" s="4" t="s">
        <v>43</v>
      </c>
      <c r="D4115" s="2">
        <f>138835872/(10^6)</f>
        <v>138.835872</v>
      </c>
      <c r="E4115" s="5">
        <v>14.183801651001</v>
      </c>
      <c r="F4115" s="5">
        <v>0.698232650756836</v>
      </c>
      <c r="G4115" s="5">
        <v>3.88671970367432</v>
      </c>
      <c r="H4115" s="5">
        <v>4.488938331604</v>
      </c>
      <c r="I4115" t="s">
        <v>57</v>
      </c>
    </row>
    <row r="4116" spans="1:9">
      <c r="A4116" s="4" t="s">
        <v>8283</v>
      </c>
      <c r="B4116" s="4" t="s">
        <v>8284</v>
      </c>
      <c r="C4116" s="4" t="s">
        <v>43</v>
      </c>
      <c r="D4116" s="2">
        <f>138818592/(10^6)</f>
        <v>138.818592</v>
      </c>
      <c r="E4116" s="5">
        <v>4.84163761138916</v>
      </c>
      <c r="F4116" s="5">
        <v>0.556718111038208</v>
      </c>
      <c r="G4116" s="5">
        <v>2.03571581840515</v>
      </c>
      <c r="H4116" s="5" t="s">
        <v>86</v>
      </c>
      <c r="I4116" t="s">
        <v>57</v>
      </c>
    </row>
    <row r="4117" spans="1:9">
      <c r="A4117" s="4" t="s">
        <v>8285</v>
      </c>
      <c r="B4117" s="4" t="s">
        <v>8286</v>
      </c>
      <c r="C4117" s="4" t="s">
        <v>41</v>
      </c>
      <c r="D4117" s="2">
        <f>138771888/(10^6)</f>
        <v>138.771888</v>
      </c>
      <c r="E4117" s="5">
        <v>254.915252685547</v>
      </c>
      <c r="F4117" s="5">
        <v>0.604987144470215</v>
      </c>
      <c r="G4117" s="5">
        <v>0.437915354967117</v>
      </c>
      <c r="H4117" s="5">
        <v>49.1626930236816</v>
      </c>
      <c r="I4117" t="s">
        <v>57</v>
      </c>
    </row>
    <row r="4118" spans="1:9">
      <c r="A4118" s="4" t="s">
        <v>8287</v>
      </c>
      <c r="B4118" s="4" t="s">
        <v>8288</v>
      </c>
      <c r="C4118" s="4" t="s">
        <v>43</v>
      </c>
      <c r="D4118" s="2">
        <f>138620208/(10^6)</f>
        <v>138.620208</v>
      </c>
      <c r="E4118" s="5">
        <v>7.43345546722412</v>
      </c>
      <c r="F4118" s="5">
        <v>1.56944882869721</v>
      </c>
      <c r="G4118" s="5">
        <v>0.36756432056427</v>
      </c>
      <c r="H4118" s="5" t="s">
        <v>86</v>
      </c>
      <c r="I4118" t="s">
        <v>57</v>
      </c>
    </row>
    <row r="4119" spans="1:9">
      <c r="A4119" s="4" t="s">
        <v>8289</v>
      </c>
      <c r="B4119" s="4" t="s">
        <v>8290</v>
      </c>
      <c r="C4119" s="4" t="s">
        <v>49</v>
      </c>
      <c r="D4119" s="2">
        <f>138331568/(10^6)</f>
        <v>138.331568</v>
      </c>
      <c r="E4119" s="5" t="s">
        <v>86</v>
      </c>
      <c r="F4119" s="5">
        <v>1.09180605411529</v>
      </c>
      <c r="G4119" s="5" t="s">
        <v>86</v>
      </c>
      <c r="H4119" s="5" t="s">
        <v>86</v>
      </c>
      <c r="I4119" t="s">
        <v>57</v>
      </c>
    </row>
    <row r="4120" spans="1:9">
      <c r="A4120" s="4" t="s">
        <v>8291</v>
      </c>
      <c r="B4120" s="4" t="s">
        <v>8292</v>
      </c>
      <c r="C4120" s="4" t="s">
        <v>43</v>
      </c>
      <c r="D4120" s="2">
        <f>138141952/(10^6)</f>
        <v>138.141952</v>
      </c>
      <c r="E4120" s="5">
        <v>7.64668035507202</v>
      </c>
      <c r="F4120" s="5">
        <v>0.722124338150024</v>
      </c>
      <c r="G4120" s="5">
        <v>1.42346882820129</v>
      </c>
      <c r="H4120" s="5" t="s">
        <v>86</v>
      </c>
      <c r="I4120" t="s">
        <v>57</v>
      </c>
    </row>
    <row r="4121" spans="1:9">
      <c r="A4121" s="4" t="s">
        <v>8293</v>
      </c>
      <c r="B4121" s="4" t="s">
        <v>8294</v>
      </c>
      <c r="C4121" s="4" t="s">
        <v>43</v>
      </c>
      <c r="D4121" s="2">
        <f>138026176/(10^6)</f>
        <v>138.026176</v>
      </c>
      <c r="E4121" s="5">
        <v>14.2201833724976</v>
      </c>
      <c r="F4121" s="5">
        <v>1.10249555110931</v>
      </c>
      <c r="G4121" s="5">
        <v>2.03427767753601</v>
      </c>
      <c r="H4121" s="5" t="s">
        <v>86</v>
      </c>
      <c r="I4121" t="s">
        <v>57</v>
      </c>
    </row>
    <row r="4122" spans="1:9">
      <c r="A4122" s="4" t="s">
        <v>8295</v>
      </c>
      <c r="B4122" s="4" t="s">
        <v>8296</v>
      </c>
      <c r="C4122" s="4" t="s">
        <v>41</v>
      </c>
      <c r="D4122" s="2">
        <f>137573888/(10^6)</f>
        <v>137.573888</v>
      </c>
      <c r="E4122" s="5" t="s">
        <v>86</v>
      </c>
      <c r="F4122" s="5">
        <v>2.281982421875</v>
      </c>
      <c r="G4122" s="5" t="s">
        <v>86</v>
      </c>
      <c r="H4122" s="5" t="s">
        <v>86</v>
      </c>
      <c r="I4122" t="s">
        <v>57</v>
      </c>
    </row>
    <row r="4123" spans="1:9">
      <c r="A4123" s="4" t="s">
        <v>8297</v>
      </c>
      <c r="B4123" s="4" t="s">
        <v>8298</v>
      </c>
      <c r="C4123" s="4" t="s">
        <v>43</v>
      </c>
      <c r="D4123" s="2">
        <f>137295248/(10^6)</f>
        <v>137.295248</v>
      </c>
      <c r="E4123" s="5" t="s">
        <v>86</v>
      </c>
      <c r="F4123" s="5" t="s">
        <v>86</v>
      </c>
      <c r="G4123" s="5" t="s">
        <v>86</v>
      </c>
      <c r="H4123" s="5" t="s">
        <v>86</v>
      </c>
      <c r="I4123" t="s">
        <v>57</v>
      </c>
    </row>
    <row r="4124" spans="1:9">
      <c r="A4124" s="4" t="s">
        <v>8299</v>
      </c>
      <c r="B4124" s="4" t="s">
        <v>8300</v>
      </c>
      <c r="C4124" s="4" t="s">
        <v>41</v>
      </c>
      <c r="D4124" s="2">
        <f>137282320/(10^6)</f>
        <v>137.28232</v>
      </c>
      <c r="E4124" s="5" t="s">
        <v>86</v>
      </c>
      <c r="F4124" s="5">
        <v>2.28489112854004</v>
      </c>
      <c r="G4124" s="5" t="s">
        <v>86</v>
      </c>
      <c r="H4124" s="5" t="s">
        <v>86</v>
      </c>
      <c r="I4124" t="s">
        <v>57</v>
      </c>
    </row>
    <row r="4125" spans="1:9">
      <c r="A4125" s="4" t="s">
        <v>8301</v>
      </c>
      <c r="B4125" s="4" t="s">
        <v>8302</v>
      </c>
      <c r="C4125" s="4" t="s">
        <v>43</v>
      </c>
      <c r="D4125" s="2">
        <f>137201472/(10^6)</f>
        <v>137.201472</v>
      </c>
      <c r="E4125" s="5">
        <v>5.93854427337646</v>
      </c>
      <c r="F4125" s="5">
        <v>0.485050886869431</v>
      </c>
      <c r="G4125" s="5">
        <v>1.9021817445755</v>
      </c>
      <c r="H4125" s="5" t="s">
        <v>86</v>
      </c>
      <c r="I4125" t="s">
        <v>57</v>
      </c>
    </row>
    <row r="4126" spans="1:9">
      <c r="A4126" s="4" t="s">
        <v>8303</v>
      </c>
      <c r="B4126" s="4" t="s">
        <v>8304</v>
      </c>
      <c r="C4126" s="4" t="s">
        <v>47</v>
      </c>
      <c r="D4126" s="2">
        <f>136823200/(10^6)</f>
        <v>136.8232</v>
      </c>
      <c r="E4126" s="5">
        <v>2.65964365005493</v>
      </c>
      <c r="F4126" s="5">
        <v>1.55640077590942</v>
      </c>
      <c r="G4126" s="5">
        <v>0.29416823387146</v>
      </c>
      <c r="H4126" s="5">
        <v>5.98553895950317</v>
      </c>
      <c r="I4126" t="s">
        <v>57</v>
      </c>
    </row>
    <row r="4127" spans="1:9">
      <c r="A4127" s="4" t="s">
        <v>8305</v>
      </c>
      <c r="B4127" s="4" t="s">
        <v>8306</v>
      </c>
      <c r="C4127" s="4" t="s">
        <v>49</v>
      </c>
      <c r="D4127" s="2">
        <f>136566480/(10^6)</f>
        <v>136.56648</v>
      </c>
      <c r="E4127" s="5" t="s">
        <v>86</v>
      </c>
      <c r="F4127" s="5" t="s">
        <v>86</v>
      </c>
      <c r="G4127" s="5" t="s">
        <v>86</v>
      </c>
      <c r="H4127" s="5" t="s">
        <v>86</v>
      </c>
      <c r="I4127" t="s">
        <v>57</v>
      </c>
    </row>
    <row r="4128" spans="1:9">
      <c r="A4128" s="4" t="s">
        <v>8307</v>
      </c>
      <c r="B4128" s="4" t="s">
        <v>8308</v>
      </c>
      <c r="C4128" s="4" t="s">
        <v>27</v>
      </c>
      <c r="D4128" s="2">
        <f>136405600/(10^6)</f>
        <v>136.4056</v>
      </c>
      <c r="E4128" s="5" t="s">
        <v>86</v>
      </c>
      <c r="F4128" s="5">
        <v>1.32119417190552</v>
      </c>
      <c r="G4128" s="5">
        <v>1.26281523704529</v>
      </c>
      <c r="H4128" s="5">
        <v>3.73205995559692</v>
      </c>
      <c r="I4128" t="s">
        <v>57</v>
      </c>
    </row>
    <row r="4129" spans="1:9">
      <c r="A4129" s="4" t="s">
        <v>8309</v>
      </c>
      <c r="B4129" s="4" t="s">
        <v>8310</v>
      </c>
      <c r="C4129" s="4" t="s">
        <v>51</v>
      </c>
      <c r="D4129" s="2">
        <f>136366784/(10^6)</f>
        <v>136.366784</v>
      </c>
      <c r="E4129" s="5" t="s">
        <v>86</v>
      </c>
      <c r="F4129" s="5">
        <v>2.2738401889801</v>
      </c>
      <c r="G4129" s="5">
        <v>0.404025733470917</v>
      </c>
      <c r="H4129" s="5" t="s">
        <v>86</v>
      </c>
      <c r="I4129" t="s">
        <v>57</v>
      </c>
    </row>
    <row r="4130" spans="1:9">
      <c r="A4130" s="4" t="s">
        <v>8311</v>
      </c>
      <c r="B4130" s="4" t="s">
        <v>8312</v>
      </c>
      <c r="C4130" s="4" t="s">
        <v>41</v>
      </c>
      <c r="D4130" s="2">
        <f>135957312/(10^6)</f>
        <v>135.957312</v>
      </c>
      <c r="E4130" s="5" t="s">
        <v>86</v>
      </c>
      <c r="F4130" s="5" t="s">
        <v>86</v>
      </c>
      <c r="G4130" s="5" t="s">
        <v>86</v>
      </c>
      <c r="H4130" s="5" t="s">
        <v>86</v>
      </c>
      <c r="I4130" t="s">
        <v>57</v>
      </c>
    </row>
    <row r="4131" spans="1:9">
      <c r="A4131" s="4" t="s">
        <v>8313</v>
      </c>
      <c r="B4131" s="4" t="s">
        <v>8314</v>
      </c>
      <c r="C4131" s="4" t="s">
        <v>51</v>
      </c>
      <c r="D4131" s="2">
        <f>135266528/(10^6)</f>
        <v>135.266528</v>
      </c>
      <c r="E4131" s="5">
        <v>10.0550031661987</v>
      </c>
      <c r="F4131" s="5" t="s">
        <v>86</v>
      </c>
      <c r="G4131" s="5">
        <v>3.12329912185669</v>
      </c>
      <c r="H4131" s="5">
        <v>10.2549505233765</v>
      </c>
      <c r="I4131" t="s">
        <v>57</v>
      </c>
    </row>
    <row r="4132" spans="1:9">
      <c r="A4132" s="4" t="s">
        <v>8315</v>
      </c>
      <c r="B4132" s="4" t="s">
        <v>8316</v>
      </c>
      <c r="C4132" s="4" t="s">
        <v>43</v>
      </c>
      <c r="D4132" s="2">
        <f>134737088/(10^6)</f>
        <v>134.737088</v>
      </c>
      <c r="E4132" s="5">
        <v>5.8544774055481</v>
      </c>
      <c r="F4132" s="5">
        <v>0.692233204841614</v>
      </c>
      <c r="G4132" s="5">
        <v>1.0666161775589</v>
      </c>
      <c r="H4132" s="5" t="s">
        <v>86</v>
      </c>
      <c r="I4132" t="s">
        <v>57</v>
      </c>
    </row>
    <row r="4133" spans="1:9">
      <c r="A4133" s="4" t="s">
        <v>8317</v>
      </c>
      <c r="B4133" s="4" t="s">
        <v>8318</v>
      </c>
      <c r="C4133" s="4" t="s">
        <v>41</v>
      </c>
      <c r="D4133" s="2">
        <f>134714656/(10^6)</f>
        <v>134.714656</v>
      </c>
      <c r="E4133" s="5" t="s">
        <v>86</v>
      </c>
      <c r="F4133" s="5" t="s">
        <v>86</v>
      </c>
      <c r="G4133" s="5" t="s">
        <v>86</v>
      </c>
      <c r="H4133" s="5" t="s">
        <v>86</v>
      </c>
      <c r="I4133" t="s">
        <v>57</v>
      </c>
    </row>
    <row r="4134" spans="1:9">
      <c r="A4134" s="4" t="s">
        <v>8319</v>
      </c>
      <c r="B4134" s="4" t="s">
        <v>8320</v>
      </c>
      <c r="C4134" s="4" t="s">
        <v>41</v>
      </c>
      <c r="D4134" s="2">
        <f>134679504/(10^6)</f>
        <v>134.679504</v>
      </c>
      <c r="E4134" s="5" t="s">
        <v>86</v>
      </c>
      <c r="F4134" s="5" t="s">
        <v>86</v>
      </c>
      <c r="G4134" s="5">
        <v>6.39874839782715</v>
      </c>
      <c r="H4134" s="5" t="s">
        <v>86</v>
      </c>
      <c r="I4134" t="s">
        <v>57</v>
      </c>
    </row>
    <row r="4135" spans="1:9">
      <c r="A4135" s="4" t="s">
        <v>8321</v>
      </c>
      <c r="B4135" s="4" t="s">
        <v>8322</v>
      </c>
      <c r="C4135" s="4" t="s">
        <v>31</v>
      </c>
      <c r="D4135" s="2">
        <f>134510320/(10^6)</f>
        <v>134.51032</v>
      </c>
      <c r="E4135" s="5">
        <v>2.19448614120483</v>
      </c>
      <c r="F4135" s="5">
        <v>0.417163819074631</v>
      </c>
      <c r="G4135" s="5">
        <v>0.327554643154144</v>
      </c>
      <c r="H4135" s="5">
        <v>6.09408092498779</v>
      </c>
      <c r="I4135" t="s">
        <v>57</v>
      </c>
    </row>
    <row r="4136" spans="1:9">
      <c r="A4136" s="4" t="s">
        <v>8323</v>
      </c>
      <c r="B4136" s="4" t="s">
        <v>8324</v>
      </c>
      <c r="C4136" s="4" t="s">
        <v>27</v>
      </c>
      <c r="D4136" s="2">
        <f>134456160/(10^6)</f>
        <v>134.45616</v>
      </c>
      <c r="E4136" s="5" t="s">
        <v>86</v>
      </c>
      <c r="F4136" s="5">
        <v>0.048910863697529</v>
      </c>
      <c r="G4136" s="5">
        <v>0.084281891584396</v>
      </c>
      <c r="H4136" s="5">
        <v>2.45954275131226</v>
      </c>
      <c r="I4136" t="s">
        <v>57</v>
      </c>
    </row>
    <row r="4137" spans="1:9">
      <c r="A4137" s="4" t="s">
        <v>8325</v>
      </c>
      <c r="B4137" s="4" t="s">
        <v>8326</v>
      </c>
      <c r="C4137" s="4" t="s">
        <v>43</v>
      </c>
      <c r="D4137" s="2">
        <f>134275936/(10^6)</f>
        <v>134.275936</v>
      </c>
      <c r="E4137" s="5">
        <v>11.7517099380493</v>
      </c>
      <c r="F4137" s="5">
        <v>0.773684084415436</v>
      </c>
      <c r="G4137" s="5">
        <v>1.92356288433075</v>
      </c>
      <c r="H4137" s="5" t="s">
        <v>86</v>
      </c>
      <c r="I4137" t="s">
        <v>57</v>
      </c>
    </row>
    <row r="4138" spans="1:9">
      <c r="A4138" s="4" t="s">
        <v>8327</v>
      </c>
      <c r="B4138" s="4" t="s">
        <v>8328</v>
      </c>
      <c r="C4138" s="4" t="s">
        <v>47</v>
      </c>
      <c r="D4138" s="2">
        <f>134233072/(10^6)</f>
        <v>134.233072</v>
      </c>
      <c r="E4138" s="5">
        <v>7.29119873046875</v>
      </c>
      <c r="F4138" s="5">
        <v>0.444062262773514</v>
      </c>
      <c r="G4138" s="5">
        <v>0.261227518320084</v>
      </c>
      <c r="H4138" s="5" t="s">
        <v>86</v>
      </c>
      <c r="I4138" t="s">
        <v>57</v>
      </c>
    </row>
    <row r="4139" spans="1:9">
      <c r="A4139" s="4" t="s">
        <v>8329</v>
      </c>
      <c r="B4139" s="4" t="s">
        <v>8330</v>
      </c>
      <c r="C4139" s="4" t="s">
        <v>41</v>
      </c>
      <c r="D4139" s="2">
        <f>134164472/(10^6)</f>
        <v>134.164472</v>
      </c>
      <c r="E4139" s="5" t="s">
        <v>86</v>
      </c>
      <c r="F4139" s="5">
        <v>104.18571472168</v>
      </c>
      <c r="G4139" s="5">
        <v>2.57600355148315</v>
      </c>
      <c r="H4139" s="5" t="s">
        <v>86</v>
      </c>
      <c r="I4139" t="s">
        <v>57</v>
      </c>
    </row>
    <row r="4140" spans="1:9">
      <c r="A4140" s="4" t="s">
        <v>8331</v>
      </c>
      <c r="B4140" s="4" t="s">
        <v>8332</v>
      </c>
      <c r="C4140" s="4" t="s">
        <v>41</v>
      </c>
      <c r="D4140" s="2">
        <f>133916312/(10^6)</f>
        <v>133.916312</v>
      </c>
      <c r="E4140" s="5" t="s">
        <v>86</v>
      </c>
      <c r="F4140" s="5">
        <v>1.03598165512085</v>
      </c>
      <c r="G4140" s="5" t="s">
        <v>86</v>
      </c>
      <c r="H4140" s="5" t="s">
        <v>86</v>
      </c>
      <c r="I4140" t="s">
        <v>57</v>
      </c>
    </row>
    <row r="4141" spans="1:9">
      <c r="A4141" s="4" t="s">
        <v>8333</v>
      </c>
      <c r="B4141" s="4" t="s">
        <v>8334</v>
      </c>
      <c r="C4141" s="4" t="s">
        <v>41</v>
      </c>
      <c r="D4141" s="2">
        <f>133721904/(10^6)</f>
        <v>133.721904</v>
      </c>
      <c r="E4141" s="5" t="s">
        <v>86</v>
      </c>
      <c r="F4141" s="5">
        <v>10.7758169174194</v>
      </c>
      <c r="G4141" s="5" t="s">
        <v>86</v>
      </c>
      <c r="H4141" s="5" t="s">
        <v>86</v>
      </c>
      <c r="I4141" t="s">
        <v>57</v>
      </c>
    </row>
    <row r="4142" spans="1:9">
      <c r="A4142" s="4" t="s">
        <v>8335</v>
      </c>
      <c r="B4142" s="4" t="s">
        <v>8336</v>
      </c>
      <c r="C4142" s="4" t="s">
        <v>43</v>
      </c>
      <c r="D4142" s="2">
        <f>133578192/(10^6)</f>
        <v>133.578192</v>
      </c>
      <c r="E4142" s="5">
        <v>7.47712087631226</v>
      </c>
      <c r="F4142" s="5">
        <v>0.570947825908661</v>
      </c>
      <c r="G4142" s="5">
        <v>1.40016210079193</v>
      </c>
      <c r="H4142" s="5" t="s">
        <v>86</v>
      </c>
      <c r="I4142" t="s">
        <v>57</v>
      </c>
    </row>
    <row r="4143" spans="1:9">
      <c r="A4143" s="4" t="s">
        <v>8337</v>
      </c>
      <c r="B4143" s="4" t="s">
        <v>8338</v>
      </c>
      <c r="C4143" s="4" t="s">
        <v>43</v>
      </c>
      <c r="D4143" s="2">
        <f>133527240/(10^6)</f>
        <v>133.52724</v>
      </c>
      <c r="E4143" s="5">
        <v>7.95524787902832</v>
      </c>
      <c r="F4143" s="5">
        <v>0.591741740703583</v>
      </c>
      <c r="G4143" s="5">
        <v>1.43086075782776</v>
      </c>
      <c r="H4143" s="5" t="s">
        <v>86</v>
      </c>
      <c r="I4143" t="s">
        <v>57</v>
      </c>
    </row>
    <row r="4144" spans="1:9">
      <c r="A4144" s="4" t="s">
        <v>8339</v>
      </c>
      <c r="B4144" s="4" t="s">
        <v>8340</v>
      </c>
      <c r="C4144" s="4" t="s">
        <v>47</v>
      </c>
      <c r="D4144" s="2">
        <f>133409560/(10^6)</f>
        <v>133.40956</v>
      </c>
      <c r="E4144" s="5">
        <v>7.87216758728027</v>
      </c>
      <c r="F4144" s="5">
        <v>2.48581790924072</v>
      </c>
      <c r="G4144" s="5">
        <v>0.200761884450912</v>
      </c>
      <c r="H4144" s="5">
        <v>6.09372091293335</v>
      </c>
      <c r="I4144" t="s">
        <v>57</v>
      </c>
    </row>
    <row r="4145" spans="1:9">
      <c r="A4145" s="4" t="s">
        <v>8341</v>
      </c>
      <c r="B4145" s="4" t="s">
        <v>8342</v>
      </c>
      <c r="C4145" s="4" t="s">
        <v>43</v>
      </c>
      <c r="D4145" s="2">
        <f>133269112/(10^6)</f>
        <v>133.269112</v>
      </c>
      <c r="E4145" s="5">
        <v>8.01980018615723</v>
      </c>
      <c r="F4145" s="5">
        <v>2.04915904998779</v>
      </c>
      <c r="G4145" s="5">
        <v>0.800258159637451</v>
      </c>
      <c r="H4145" s="5">
        <v>5.97779273986816</v>
      </c>
      <c r="I4145" t="s">
        <v>57</v>
      </c>
    </row>
    <row r="4146" spans="1:9">
      <c r="A4146" s="4" t="s">
        <v>8343</v>
      </c>
      <c r="B4146" s="4" t="s">
        <v>8344</v>
      </c>
      <c r="C4146" s="4" t="s">
        <v>43</v>
      </c>
      <c r="D4146" s="2">
        <f>133254368/(10^6)</f>
        <v>133.254368</v>
      </c>
      <c r="E4146" s="5">
        <v>3.37636542320252</v>
      </c>
      <c r="F4146" s="5">
        <v>0.531379103660583</v>
      </c>
      <c r="G4146" s="5">
        <v>2.07274889945984</v>
      </c>
      <c r="H4146" s="5" t="s">
        <v>86</v>
      </c>
      <c r="I4146" t="s">
        <v>57</v>
      </c>
    </row>
    <row r="4147" spans="1:9">
      <c r="A4147" s="4" t="s">
        <v>8345</v>
      </c>
      <c r="B4147" s="4" t="s">
        <v>8346</v>
      </c>
      <c r="C4147" s="4" t="s">
        <v>51</v>
      </c>
      <c r="D4147" s="2">
        <f>133005104/(10^6)</f>
        <v>133.005104</v>
      </c>
      <c r="E4147" s="5" t="s">
        <v>86</v>
      </c>
      <c r="F4147" s="5" t="s">
        <v>86</v>
      </c>
      <c r="G4147" s="5" t="s">
        <v>86</v>
      </c>
      <c r="H4147" s="5" t="s">
        <v>86</v>
      </c>
      <c r="I4147" t="s">
        <v>57</v>
      </c>
    </row>
    <row r="4148" spans="1:9">
      <c r="A4148" s="4" t="s">
        <v>8347</v>
      </c>
      <c r="B4148" s="4" t="s">
        <v>8348</v>
      </c>
      <c r="C4148" s="4" t="s">
        <v>43</v>
      </c>
      <c r="D4148" s="2">
        <f>132899504/(10^6)</f>
        <v>132.899504</v>
      </c>
      <c r="E4148" s="5">
        <v>13.3461542129517</v>
      </c>
      <c r="F4148" s="5">
        <v>1.03682744503021</v>
      </c>
      <c r="G4148" s="5">
        <v>2.22483062744141</v>
      </c>
      <c r="H4148" s="5" t="s">
        <v>86</v>
      </c>
      <c r="I4148" t="s">
        <v>57</v>
      </c>
    </row>
    <row r="4149" spans="1:9">
      <c r="A4149" s="4" t="s">
        <v>8349</v>
      </c>
      <c r="B4149" s="4" t="s">
        <v>8350</v>
      </c>
      <c r="C4149" s="4" t="s">
        <v>47</v>
      </c>
      <c r="D4149" s="2">
        <f>132638568/(10^6)</f>
        <v>132.638568</v>
      </c>
      <c r="E4149" s="5">
        <v>12.2231492996216</v>
      </c>
      <c r="F4149" s="5">
        <v>0.368132740259171</v>
      </c>
      <c r="G4149" s="5">
        <v>0.101196318864822</v>
      </c>
      <c r="H4149" s="5">
        <v>5.30363178253174</v>
      </c>
      <c r="I4149" t="s">
        <v>57</v>
      </c>
    </row>
    <row r="4150" spans="1:9">
      <c r="A4150" s="4" t="s">
        <v>8351</v>
      </c>
      <c r="B4150" s="4" t="s">
        <v>8352</v>
      </c>
      <c r="C4150" s="4" t="s">
        <v>51</v>
      </c>
      <c r="D4150" s="2">
        <f>132376792/(10^6)</f>
        <v>132.376792</v>
      </c>
      <c r="E4150" s="5" t="s">
        <v>86</v>
      </c>
      <c r="F4150" s="5" t="s">
        <v>86</v>
      </c>
      <c r="G4150" s="5">
        <v>0.324704557657242</v>
      </c>
      <c r="H4150" s="5">
        <v>13.18505859375</v>
      </c>
      <c r="I4150" t="s">
        <v>57</v>
      </c>
    </row>
    <row r="4151" spans="1:9">
      <c r="A4151" s="4" t="s">
        <v>8353</v>
      </c>
      <c r="B4151" s="4" t="s">
        <v>8354</v>
      </c>
      <c r="C4151" s="4" t="s">
        <v>51</v>
      </c>
      <c r="D4151" s="2">
        <f>132266320/(10^6)</f>
        <v>132.26632</v>
      </c>
      <c r="E4151" s="5" t="s">
        <v>86</v>
      </c>
      <c r="F4151" s="5">
        <v>2.69487738609314</v>
      </c>
      <c r="G4151" s="5">
        <v>2.01702046394348</v>
      </c>
      <c r="H4151" s="5" t="s">
        <v>86</v>
      </c>
      <c r="I4151" t="s">
        <v>57</v>
      </c>
    </row>
    <row r="4152" spans="1:9">
      <c r="A4152" s="4" t="s">
        <v>8355</v>
      </c>
      <c r="B4152" s="4" t="s">
        <v>8356</v>
      </c>
      <c r="C4152" s="4" t="s">
        <v>31</v>
      </c>
      <c r="D4152" s="2">
        <f>132177312/(10^6)</f>
        <v>132.177312</v>
      </c>
      <c r="E4152" s="5">
        <v>20.57008934021</v>
      </c>
      <c r="F4152" s="5">
        <v>2.85599255561829</v>
      </c>
      <c r="G4152" s="5">
        <v>0.68248987197876</v>
      </c>
      <c r="H4152" s="5">
        <v>7.97446441650391</v>
      </c>
      <c r="I4152" t="s">
        <v>57</v>
      </c>
    </row>
    <row r="4153" spans="1:9">
      <c r="A4153" s="4" t="s">
        <v>8357</v>
      </c>
      <c r="B4153" s="4" t="s">
        <v>8358</v>
      </c>
      <c r="C4153" s="4" t="s">
        <v>41</v>
      </c>
      <c r="D4153" s="2">
        <f>132062640/(10^6)</f>
        <v>132.06264</v>
      </c>
      <c r="E4153" s="5">
        <v>1.91700863838196</v>
      </c>
      <c r="F4153" s="5" t="s">
        <v>86</v>
      </c>
      <c r="G4153" s="5">
        <v>0.018811840564013</v>
      </c>
      <c r="H4153" s="5">
        <v>7.55889463424683</v>
      </c>
      <c r="I4153" t="s">
        <v>57</v>
      </c>
    </row>
    <row r="4154" spans="1:9">
      <c r="A4154" s="4" t="s">
        <v>8359</v>
      </c>
      <c r="B4154" s="4" t="s">
        <v>8360</v>
      </c>
      <c r="C4154" s="4" t="s">
        <v>43</v>
      </c>
      <c r="D4154" s="2">
        <f>132000000/(10^6)</f>
        <v>132</v>
      </c>
      <c r="E4154" s="5" t="s">
        <v>86</v>
      </c>
      <c r="F4154" s="5" t="s">
        <v>86</v>
      </c>
      <c r="G4154" s="5" t="s">
        <v>86</v>
      </c>
      <c r="H4154" s="5" t="s">
        <v>86</v>
      </c>
      <c r="I4154" t="s">
        <v>57</v>
      </c>
    </row>
    <row r="4155" spans="1:9">
      <c r="A4155" s="4" t="s">
        <v>8361</v>
      </c>
      <c r="B4155" s="4" t="s">
        <v>8362</v>
      </c>
      <c r="C4155" s="4" t="s">
        <v>45</v>
      </c>
      <c r="D4155" s="2">
        <f>131975880/(10^6)</f>
        <v>131.97588</v>
      </c>
      <c r="E4155" s="5" t="s">
        <v>86</v>
      </c>
      <c r="F4155" s="5">
        <v>0.552302300930023</v>
      </c>
      <c r="G4155" s="5">
        <v>2.17897939682007</v>
      </c>
      <c r="H4155" s="5" t="s">
        <v>86</v>
      </c>
      <c r="I4155" t="s">
        <v>57</v>
      </c>
    </row>
    <row r="4156" spans="1:9">
      <c r="A4156" s="4" t="s">
        <v>8363</v>
      </c>
      <c r="B4156" s="4" t="s">
        <v>8364</v>
      </c>
      <c r="C4156" s="4" t="s">
        <v>41</v>
      </c>
      <c r="D4156" s="2">
        <f>131913360/(10^6)</f>
        <v>131.91336</v>
      </c>
      <c r="E4156" s="5" t="s">
        <v>86</v>
      </c>
      <c r="F4156" s="5">
        <v>3.75635552406311</v>
      </c>
      <c r="G4156" s="5">
        <v>10.7394018173218</v>
      </c>
      <c r="H4156" s="5" t="s">
        <v>86</v>
      </c>
      <c r="I4156" t="s">
        <v>57</v>
      </c>
    </row>
    <row r="4157" spans="1:9">
      <c r="A4157" s="4" t="s">
        <v>8365</v>
      </c>
      <c r="B4157" s="4" t="s">
        <v>8366</v>
      </c>
      <c r="C4157" s="4" t="s">
        <v>41</v>
      </c>
      <c r="D4157" s="2">
        <f>131830744/(10^6)</f>
        <v>131.830744</v>
      </c>
      <c r="E4157" s="5" t="s">
        <v>86</v>
      </c>
      <c r="F4157" s="5" t="s">
        <v>86</v>
      </c>
      <c r="G4157" s="5">
        <v>19.0718975067139</v>
      </c>
      <c r="H4157" s="5" t="s">
        <v>86</v>
      </c>
      <c r="I4157" t="s">
        <v>57</v>
      </c>
    </row>
    <row r="4158" spans="1:9">
      <c r="A4158" s="4" t="s">
        <v>8367</v>
      </c>
      <c r="B4158" s="4" t="s">
        <v>8368</v>
      </c>
      <c r="C4158" s="4" t="s">
        <v>43</v>
      </c>
      <c r="D4158" s="2">
        <f>131604328/(10^6)</f>
        <v>131.604328</v>
      </c>
      <c r="E4158" s="5">
        <v>9.16214561462402</v>
      </c>
      <c r="F4158" s="5">
        <v>0.788877189159393</v>
      </c>
      <c r="G4158" s="5">
        <v>1.31069445610046</v>
      </c>
      <c r="H4158" s="5" t="s">
        <v>86</v>
      </c>
      <c r="I4158" t="s">
        <v>57</v>
      </c>
    </row>
    <row r="4159" spans="1:9">
      <c r="A4159" s="4" t="s">
        <v>8369</v>
      </c>
      <c r="B4159" s="4" t="s">
        <v>8370</v>
      </c>
      <c r="C4159" s="4" t="s">
        <v>43</v>
      </c>
      <c r="D4159" s="2">
        <f>131529968/(10^6)</f>
        <v>131.529968</v>
      </c>
      <c r="E4159" s="5">
        <v>11.6428575515747</v>
      </c>
      <c r="F4159" s="5">
        <v>0.984361529350281</v>
      </c>
      <c r="G4159" s="5">
        <v>2.40332078933716</v>
      </c>
      <c r="H4159" s="5" t="s">
        <v>86</v>
      </c>
      <c r="I4159" t="s">
        <v>57</v>
      </c>
    </row>
    <row r="4160" spans="1:9">
      <c r="A4160" s="4" t="s">
        <v>8371</v>
      </c>
      <c r="B4160" s="4" t="s">
        <v>8372</v>
      </c>
      <c r="C4160" s="4" t="s">
        <v>41</v>
      </c>
      <c r="D4160" s="2">
        <f>131438272/(10^6)</f>
        <v>131.438272</v>
      </c>
      <c r="E4160" s="5" t="s">
        <v>86</v>
      </c>
      <c r="F4160" s="5">
        <v>50.1053657531738</v>
      </c>
      <c r="G4160" s="5" t="s">
        <v>86</v>
      </c>
      <c r="H4160" s="5" t="s">
        <v>86</v>
      </c>
      <c r="I4160" t="s">
        <v>57</v>
      </c>
    </row>
    <row r="4161" spans="1:9">
      <c r="A4161" s="4" t="s">
        <v>8373</v>
      </c>
      <c r="B4161" s="4" t="s">
        <v>8374</v>
      </c>
      <c r="C4161" s="4" t="s">
        <v>43</v>
      </c>
      <c r="D4161" s="2">
        <f>131394856/(10^6)</f>
        <v>131.394856</v>
      </c>
      <c r="E4161" s="5">
        <v>7.6764874458313</v>
      </c>
      <c r="F4161" s="5">
        <v>0.770747780799866</v>
      </c>
      <c r="G4161" s="5">
        <v>1.67610216140747</v>
      </c>
      <c r="H4161" s="5" t="s">
        <v>86</v>
      </c>
      <c r="I4161" t="s">
        <v>57</v>
      </c>
    </row>
    <row r="4162" spans="1:9">
      <c r="A4162" s="4" t="s">
        <v>8375</v>
      </c>
      <c r="B4162" s="4" t="s">
        <v>8376</v>
      </c>
      <c r="C4162" s="4" t="s">
        <v>41</v>
      </c>
      <c r="D4162" s="2">
        <f>131297776/(10^6)</f>
        <v>131.297776</v>
      </c>
      <c r="E4162" s="5" t="s">
        <v>86</v>
      </c>
      <c r="F4162" s="5" t="s">
        <v>86</v>
      </c>
      <c r="G4162" s="5" t="s">
        <v>86</v>
      </c>
      <c r="H4162" s="5" t="s">
        <v>86</v>
      </c>
      <c r="I4162" t="s">
        <v>57</v>
      </c>
    </row>
    <row r="4163" spans="1:9">
      <c r="A4163" s="4" t="s">
        <v>8377</v>
      </c>
      <c r="B4163" s="4" t="s">
        <v>8378</v>
      </c>
      <c r="C4163" s="4" t="s">
        <v>51</v>
      </c>
      <c r="D4163" s="2">
        <f>131213000/(10^6)</f>
        <v>131.213</v>
      </c>
      <c r="E4163" s="5" t="s">
        <v>86</v>
      </c>
      <c r="F4163" s="5">
        <v>2.11593627929688</v>
      </c>
      <c r="G4163" s="5">
        <v>1.09306848049164</v>
      </c>
      <c r="H4163" s="5" t="s">
        <v>86</v>
      </c>
      <c r="I4163" t="s">
        <v>57</v>
      </c>
    </row>
    <row r="4164" spans="1:9">
      <c r="A4164" s="4" t="s">
        <v>8379</v>
      </c>
      <c r="B4164" s="4" t="s">
        <v>8380</v>
      </c>
      <c r="C4164" s="4" t="s">
        <v>47</v>
      </c>
      <c r="D4164" s="2">
        <f>131089712/(10^6)</f>
        <v>131.089712</v>
      </c>
      <c r="E4164" s="5">
        <v>10.7531213760376</v>
      </c>
      <c r="F4164" s="5">
        <v>0.826358020305634</v>
      </c>
      <c r="G4164" s="5">
        <v>0.339224249124527</v>
      </c>
      <c r="H4164" s="5">
        <v>8.44520473480225</v>
      </c>
      <c r="I4164" t="s">
        <v>57</v>
      </c>
    </row>
    <row r="4165" spans="1:9">
      <c r="A4165" s="4" t="s">
        <v>8381</v>
      </c>
      <c r="B4165" s="4" t="s">
        <v>8382</v>
      </c>
      <c r="C4165" s="4" t="s">
        <v>33</v>
      </c>
      <c r="D4165" s="2">
        <f>130333200/(10^6)</f>
        <v>130.3332</v>
      </c>
      <c r="E4165" s="5">
        <v>8.64556407928467</v>
      </c>
      <c r="F4165" s="5">
        <v>0.792739689350128</v>
      </c>
      <c r="G4165" s="5">
        <v>0.773256123065948</v>
      </c>
      <c r="H4165" s="5">
        <v>5.20663070678711</v>
      </c>
      <c r="I4165" t="s">
        <v>57</v>
      </c>
    </row>
    <row r="4166" spans="1:9">
      <c r="A4166" s="4" t="s">
        <v>8383</v>
      </c>
      <c r="B4166" s="4" t="s">
        <v>8384</v>
      </c>
      <c r="C4166" s="4" t="s">
        <v>31</v>
      </c>
      <c r="D4166" s="2">
        <f>130174160/(10^6)</f>
        <v>130.17416</v>
      </c>
      <c r="E4166" s="5">
        <v>2.77617883682251</v>
      </c>
      <c r="F4166" s="5">
        <v>0.297071754932404</v>
      </c>
      <c r="G4166" s="5">
        <v>0.188519239425659</v>
      </c>
      <c r="H4166" s="5">
        <v>4.70176410675049</v>
      </c>
      <c r="I4166" t="s">
        <v>57</v>
      </c>
    </row>
    <row r="4167" spans="1:9">
      <c r="A4167" s="4" t="s">
        <v>8385</v>
      </c>
      <c r="B4167" s="4" t="s">
        <v>8386</v>
      </c>
      <c r="C4167" s="4" t="s">
        <v>27</v>
      </c>
      <c r="D4167" s="2">
        <f>130107544/(10^6)</f>
        <v>130.107544</v>
      </c>
      <c r="E4167" s="5">
        <v>1.23726952075958</v>
      </c>
      <c r="F4167" s="5">
        <v>0.376188725233078</v>
      </c>
      <c r="G4167" s="5">
        <v>0.294488787651062</v>
      </c>
      <c r="H4167" s="5">
        <v>5.93596601486206</v>
      </c>
      <c r="I4167" t="s">
        <v>57</v>
      </c>
    </row>
    <row r="4168" spans="1:9">
      <c r="A4168" s="4" t="s">
        <v>8387</v>
      </c>
      <c r="B4168" s="4" t="s">
        <v>8388</v>
      </c>
      <c r="C4168" s="4" t="s">
        <v>43</v>
      </c>
      <c r="D4168" s="2">
        <f>130045208/(10^6)</f>
        <v>130.045208</v>
      </c>
      <c r="E4168" s="5">
        <v>9.24852085113525</v>
      </c>
      <c r="F4168" s="5">
        <v>0.942159295082092</v>
      </c>
      <c r="G4168" s="5">
        <v>2.02547383308411</v>
      </c>
      <c r="H4168" s="5" t="s">
        <v>86</v>
      </c>
      <c r="I4168" t="s">
        <v>57</v>
      </c>
    </row>
    <row r="4169" spans="1:9">
      <c r="A4169" s="4" t="s">
        <v>8389</v>
      </c>
      <c r="B4169" s="4" t="s">
        <v>8390</v>
      </c>
      <c r="C4169" s="4" t="s">
        <v>41</v>
      </c>
      <c r="D4169" s="2">
        <f>129915960/(10^6)</f>
        <v>129.91596</v>
      </c>
      <c r="E4169" s="5" t="s">
        <v>86</v>
      </c>
      <c r="F4169" s="5">
        <v>1.44758009910583</v>
      </c>
      <c r="G4169" s="5">
        <v>10.8566303253174</v>
      </c>
      <c r="H4169" s="5" t="s">
        <v>86</v>
      </c>
      <c r="I4169" t="s">
        <v>57</v>
      </c>
    </row>
    <row r="4170" spans="1:9">
      <c r="A4170" s="4" t="s">
        <v>8391</v>
      </c>
      <c r="B4170" s="4" t="s">
        <v>8392</v>
      </c>
      <c r="C4170" s="4" t="s">
        <v>27</v>
      </c>
      <c r="D4170" s="2">
        <f>129864352/(10^6)</f>
        <v>129.864352</v>
      </c>
      <c r="E4170" s="5" t="s">
        <v>86</v>
      </c>
      <c r="F4170" s="5">
        <v>0.10627505928278</v>
      </c>
      <c r="G4170" s="5">
        <v>0.125488698482513</v>
      </c>
      <c r="H4170" s="5" t="s">
        <v>86</v>
      </c>
      <c r="I4170" t="s">
        <v>57</v>
      </c>
    </row>
    <row r="4171" spans="1:9">
      <c r="A4171" s="4" t="s">
        <v>8393</v>
      </c>
      <c r="B4171" s="4" t="s">
        <v>8394</v>
      </c>
      <c r="C4171" s="4" t="s">
        <v>43</v>
      </c>
      <c r="D4171" s="2">
        <f>129404664/(10^6)</f>
        <v>129.404664</v>
      </c>
      <c r="E4171" s="5">
        <v>1.28032505512238</v>
      </c>
      <c r="F4171" s="5">
        <v>0.468737542629242</v>
      </c>
      <c r="G4171" s="5">
        <v>3.67707085609436</v>
      </c>
      <c r="H4171" s="5">
        <v>14.3038234710693</v>
      </c>
      <c r="I4171" t="s">
        <v>57</v>
      </c>
    </row>
    <row r="4172" spans="1:9">
      <c r="A4172" s="4" t="s">
        <v>8395</v>
      </c>
      <c r="B4172" s="4" t="s">
        <v>8396</v>
      </c>
      <c r="C4172" s="4" t="s">
        <v>45</v>
      </c>
      <c r="D4172" s="2">
        <f>129217472/(10^6)</f>
        <v>129.217472</v>
      </c>
      <c r="E4172" s="5" t="s">
        <v>86</v>
      </c>
      <c r="F4172" s="5">
        <v>1.06676948070526</v>
      </c>
      <c r="G4172" s="5" t="s">
        <v>86</v>
      </c>
      <c r="H4172" s="5">
        <v>56.6809120178223</v>
      </c>
      <c r="I4172" t="s">
        <v>57</v>
      </c>
    </row>
    <row r="4173" spans="1:9">
      <c r="A4173" s="4" t="s">
        <v>8397</v>
      </c>
      <c r="B4173" s="4" t="s">
        <v>8398</v>
      </c>
      <c r="C4173" s="4" t="s">
        <v>41</v>
      </c>
      <c r="D4173" s="2">
        <f>128690512/(10^6)</f>
        <v>128.690512</v>
      </c>
      <c r="E4173" s="5" t="s">
        <v>86</v>
      </c>
      <c r="F4173" s="5">
        <v>3.80977725982666</v>
      </c>
      <c r="G4173" s="5" t="s">
        <v>86</v>
      </c>
      <c r="H4173" s="5" t="s">
        <v>86</v>
      </c>
      <c r="I4173" t="s">
        <v>57</v>
      </c>
    </row>
    <row r="4174" spans="1:9">
      <c r="A4174" s="4" t="s">
        <v>8399</v>
      </c>
      <c r="B4174" s="4" t="s">
        <v>8400</v>
      </c>
      <c r="C4174" s="4" t="s">
        <v>41</v>
      </c>
      <c r="D4174" s="2">
        <f>128625664/(10^6)</f>
        <v>128.625664</v>
      </c>
      <c r="E4174" s="5" t="s">
        <v>86</v>
      </c>
      <c r="F4174" s="5">
        <v>10.7537508010864</v>
      </c>
      <c r="G4174" s="5" t="s">
        <v>86</v>
      </c>
      <c r="H4174" s="5" t="s">
        <v>86</v>
      </c>
      <c r="I4174" t="s">
        <v>57</v>
      </c>
    </row>
    <row r="4175" spans="1:9">
      <c r="A4175" s="4" t="s">
        <v>8401</v>
      </c>
      <c r="B4175" s="4" t="s">
        <v>8402</v>
      </c>
      <c r="C4175" s="4" t="s">
        <v>43</v>
      </c>
      <c r="D4175" s="2">
        <f>128589280/(10^6)</f>
        <v>128.58928</v>
      </c>
      <c r="E4175" s="5">
        <v>10.1368989944458</v>
      </c>
      <c r="F4175" s="5">
        <v>0.607340693473816</v>
      </c>
      <c r="G4175" s="5">
        <v>2.09638381004333</v>
      </c>
      <c r="H4175" s="5" t="s">
        <v>86</v>
      </c>
      <c r="I4175" t="s">
        <v>57</v>
      </c>
    </row>
    <row r="4176" spans="1:9">
      <c r="A4176" s="4" t="s">
        <v>8403</v>
      </c>
      <c r="B4176" s="4" t="s">
        <v>8404</v>
      </c>
      <c r="C4176" s="4" t="s">
        <v>47</v>
      </c>
      <c r="D4176" s="2">
        <f>128508768/(10^6)</f>
        <v>128.508768</v>
      </c>
      <c r="E4176" s="5">
        <v>5.8259220123291</v>
      </c>
      <c r="F4176" s="5">
        <v>0.803677082061768</v>
      </c>
      <c r="G4176" s="5">
        <v>0.206519663333893</v>
      </c>
      <c r="H4176" s="5">
        <v>3.23717856407165</v>
      </c>
      <c r="I4176" t="s">
        <v>57</v>
      </c>
    </row>
    <row r="4177" spans="1:9">
      <c r="A4177" s="4" t="s">
        <v>8405</v>
      </c>
      <c r="B4177" s="4" t="s">
        <v>8406</v>
      </c>
      <c r="C4177" s="4" t="s">
        <v>51</v>
      </c>
      <c r="D4177" s="2">
        <f>128404152/(10^6)</f>
        <v>128.404152</v>
      </c>
      <c r="E4177" s="5" t="s">
        <v>86</v>
      </c>
      <c r="F4177" s="5">
        <v>3.21482849121094</v>
      </c>
      <c r="G4177" s="5" t="s">
        <v>86</v>
      </c>
      <c r="H4177" s="5">
        <v>17.8789234161377</v>
      </c>
      <c r="I4177" t="s">
        <v>57</v>
      </c>
    </row>
    <row r="4178" spans="1:9">
      <c r="A4178" s="4" t="s">
        <v>8407</v>
      </c>
      <c r="B4178" s="4" t="s">
        <v>8408</v>
      </c>
      <c r="C4178" s="4" t="s">
        <v>43</v>
      </c>
      <c r="D4178" s="2">
        <f>128343920/(10^6)</f>
        <v>128.34392</v>
      </c>
      <c r="E4178" s="5">
        <v>6.33729219436646</v>
      </c>
      <c r="F4178" s="5">
        <v>0.732071042060852</v>
      </c>
      <c r="G4178" s="5">
        <v>0.953132927417755</v>
      </c>
      <c r="H4178" s="5" t="s">
        <v>86</v>
      </c>
      <c r="I4178" t="s">
        <v>57</v>
      </c>
    </row>
    <row r="4179" spans="1:9">
      <c r="A4179" s="4" t="s">
        <v>8409</v>
      </c>
      <c r="B4179" s="4" t="s">
        <v>8410</v>
      </c>
      <c r="C4179" s="4" t="s">
        <v>41</v>
      </c>
      <c r="D4179" s="2">
        <f>127966144/(10^6)</f>
        <v>127.966144</v>
      </c>
      <c r="E4179" s="5" t="s">
        <v>86</v>
      </c>
      <c r="F4179" s="5" t="s">
        <v>86</v>
      </c>
      <c r="G4179" s="5" t="s">
        <v>86</v>
      </c>
      <c r="H4179" s="5" t="s">
        <v>86</v>
      </c>
      <c r="I4179" t="s">
        <v>57</v>
      </c>
    </row>
    <row r="4180" spans="1:9">
      <c r="A4180" s="4" t="s">
        <v>8411</v>
      </c>
      <c r="B4180" s="4" t="s">
        <v>8412</v>
      </c>
      <c r="C4180" s="4" t="s">
        <v>47</v>
      </c>
      <c r="D4180" s="2">
        <f>127951272/(10^6)</f>
        <v>127.951272</v>
      </c>
      <c r="E4180" s="5">
        <v>6.62711906433105</v>
      </c>
      <c r="F4180" s="5">
        <v>0.713604867458344</v>
      </c>
      <c r="G4180" s="5">
        <v>0.205232337117195</v>
      </c>
      <c r="H4180" s="5">
        <v>5.16772747039795</v>
      </c>
      <c r="I4180" t="s">
        <v>57</v>
      </c>
    </row>
    <row r="4181" spans="1:9">
      <c r="A4181" s="4" t="s">
        <v>8413</v>
      </c>
      <c r="B4181" s="4" t="s">
        <v>8414</v>
      </c>
      <c r="C4181" s="4" t="s">
        <v>43</v>
      </c>
      <c r="D4181" s="2">
        <f>127706192/(10^6)</f>
        <v>127.706192</v>
      </c>
      <c r="E4181" s="5" t="s">
        <v>86</v>
      </c>
      <c r="F4181" s="5">
        <v>0.512460887432098</v>
      </c>
      <c r="G4181" s="5">
        <v>0.992742478847504</v>
      </c>
      <c r="H4181" s="5" t="s">
        <v>86</v>
      </c>
      <c r="I4181" t="s">
        <v>57</v>
      </c>
    </row>
    <row r="4182" spans="1:9">
      <c r="A4182" s="4" t="s">
        <v>8415</v>
      </c>
      <c r="B4182" s="4" t="s">
        <v>8416</v>
      </c>
      <c r="C4182" s="4" t="s">
        <v>31</v>
      </c>
      <c r="D4182" s="2">
        <f>127489072/(10^6)</f>
        <v>127.489072</v>
      </c>
      <c r="E4182" s="5" t="s">
        <v>86</v>
      </c>
      <c r="F4182" s="5">
        <v>0.132196888327599</v>
      </c>
      <c r="G4182" s="5" t="s">
        <v>86</v>
      </c>
      <c r="H4182" s="5" t="s">
        <v>86</v>
      </c>
      <c r="I4182" t="s">
        <v>57</v>
      </c>
    </row>
    <row r="4183" spans="1:9">
      <c r="A4183" s="4" t="s">
        <v>8417</v>
      </c>
      <c r="B4183" s="4" t="s">
        <v>8418</v>
      </c>
      <c r="C4183" s="4" t="s">
        <v>43</v>
      </c>
      <c r="D4183" s="2">
        <f>127252640/(10^6)</f>
        <v>127.25264</v>
      </c>
      <c r="E4183" s="5" t="s">
        <v>86</v>
      </c>
      <c r="F4183" s="5" t="s">
        <v>86</v>
      </c>
      <c r="G4183" s="5" t="s">
        <v>86</v>
      </c>
      <c r="H4183" s="5" t="s">
        <v>86</v>
      </c>
      <c r="I4183" t="s">
        <v>57</v>
      </c>
    </row>
    <row r="4184" spans="1:9">
      <c r="A4184" s="4" t="s">
        <v>8419</v>
      </c>
      <c r="B4184" s="4" t="s">
        <v>8420</v>
      </c>
      <c r="C4184" s="4" t="s">
        <v>49</v>
      </c>
      <c r="D4184" s="2">
        <f>127187008/(10^6)</f>
        <v>127.187008</v>
      </c>
      <c r="E4184" s="5" t="s">
        <v>86</v>
      </c>
      <c r="F4184" s="5" t="s">
        <v>86</v>
      </c>
      <c r="G4184" s="5" t="s">
        <v>86</v>
      </c>
      <c r="H4184" s="5" t="s">
        <v>86</v>
      </c>
      <c r="I4184" t="s">
        <v>57</v>
      </c>
    </row>
    <row r="4185" spans="1:9">
      <c r="A4185" s="4" t="s">
        <v>8421</v>
      </c>
      <c r="B4185" s="4" t="s">
        <v>8422</v>
      </c>
      <c r="C4185" s="4" t="s">
        <v>43</v>
      </c>
      <c r="D4185" s="2">
        <f>126877760/(10^6)</f>
        <v>126.87776</v>
      </c>
      <c r="E4185" s="5">
        <v>7.84630870819092</v>
      </c>
      <c r="F4185" s="5">
        <v>0.6989506483078</v>
      </c>
      <c r="G4185" s="5">
        <v>1.52844631671906</v>
      </c>
      <c r="H4185" s="5" t="s">
        <v>86</v>
      </c>
      <c r="I4185" t="s">
        <v>57</v>
      </c>
    </row>
    <row r="4186" spans="1:9">
      <c r="A4186" s="4" t="s">
        <v>8423</v>
      </c>
      <c r="B4186" s="4" t="s">
        <v>8424</v>
      </c>
      <c r="C4186" s="4" t="s">
        <v>43</v>
      </c>
      <c r="D4186" s="2">
        <f>126720000/(10^6)</f>
        <v>126.72</v>
      </c>
      <c r="E4186" s="5" t="s">
        <v>86</v>
      </c>
      <c r="F4186" s="5" t="s">
        <v>86</v>
      </c>
      <c r="G4186" s="5" t="s">
        <v>86</v>
      </c>
      <c r="H4186" s="5" t="s">
        <v>86</v>
      </c>
      <c r="I4186" t="s">
        <v>57</v>
      </c>
    </row>
    <row r="4187" spans="1:9">
      <c r="A4187" s="4" t="s">
        <v>8425</v>
      </c>
      <c r="B4187" s="4" t="s">
        <v>8426</v>
      </c>
      <c r="C4187" s="4" t="s">
        <v>43</v>
      </c>
      <c r="D4187" s="2">
        <f>126671544/(10^6)</f>
        <v>126.671544</v>
      </c>
      <c r="E4187" s="5">
        <v>12.7142858505249</v>
      </c>
      <c r="F4187" s="5">
        <v>0.889575719833374</v>
      </c>
      <c r="G4187" s="5">
        <v>2.51676368713379</v>
      </c>
      <c r="H4187" s="5" t="s">
        <v>86</v>
      </c>
      <c r="I4187" t="s">
        <v>57</v>
      </c>
    </row>
    <row r="4188" spans="1:9">
      <c r="A4188" s="4" t="s">
        <v>8427</v>
      </c>
      <c r="B4188" s="4" t="s">
        <v>8428</v>
      </c>
      <c r="C4188" s="4" t="s">
        <v>51</v>
      </c>
      <c r="D4188" s="2">
        <f>126149456/(10^6)</f>
        <v>126.149456</v>
      </c>
      <c r="E4188" s="5">
        <v>27.6812038421631</v>
      </c>
      <c r="F4188" s="5">
        <v>1.70508348941803</v>
      </c>
      <c r="G4188" s="5">
        <v>1.32413792610169</v>
      </c>
      <c r="H4188" s="5">
        <v>11.9643182754517</v>
      </c>
      <c r="I4188" t="s">
        <v>57</v>
      </c>
    </row>
    <row r="4189" spans="1:9">
      <c r="A4189" s="4" t="s">
        <v>8429</v>
      </c>
      <c r="B4189" s="4" t="s">
        <v>8430</v>
      </c>
      <c r="C4189" s="4" t="s">
        <v>31</v>
      </c>
      <c r="D4189" s="2">
        <f>126124648/(10^6)</f>
        <v>126.124648</v>
      </c>
      <c r="E4189" s="5">
        <v>7.54239797592163</v>
      </c>
      <c r="F4189" s="5">
        <v>1.1962057352066</v>
      </c>
      <c r="G4189" s="5">
        <v>0.500564754009247</v>
      </c>
      <c r="H4189" s="5">
        <v>9.16672801971436</v>
      </c>
      <c r="I4189" t="s">
        <v>57</v>
      </c>
    </row>
    <row r="4190" spans="1:9">
      <c r="A4190" s="4" t="s">
        <v>8431</v>
      </c>
      <c r="B4190" s="4" t="s">
        <v>8432</v>
      </c>
      <c r="C4190" s="4" t="s">
        <v>43</v>
      </c>
      <c r="D4190" s="2">
        <f>125974672/(10^6)</f>
        <v>125.974672</v>
      </c>
      <c r="E4190" s="5">
        <v>9.02542304992676</v>
      </c>
      <c r="F4190" s="5">
        <v>0.938950061798096</v>
      </c>
      <c r="G4190" s="5">
        <v>1.87927150726318</v>
      </c>
      <c r="H4190" s="5" t="s">
        <v>86</v>
      </c>
      <c r="I4190" t="s">
        <v>57</v>
      </c>
    </row>
    <row r="4191" spans="1:9">
      <c r="A4191" s="4" t="s">
        <v>8433</v>
      </c>
      <c r="B4191" s="4" t="s">
        <v>8434</v>
      </c>
      <c r="C4191" s="4" t="s">
        <v>35</v>
      </c>
      <c r="D4191" s="2">
        <f>125747208/(10^6)</f>
        <v>125.747208</v>
      </c>
      <c r="E4191" s="5" t="s">
        <v>86</v>
      </c>
      <c r="F4191" s="5">
        <v>0.613865077495575</v>
      </c>
      <c r="G4191" s="5">
        <v>1.89370262622833</v>
      </c>
      <c r="H4191" s="5">
        <v>39.4717292785645</v>
      </c>
      <c r="I4191" t="s">
        <v>57</v>
      </c>
    </row>
    <row r="4192" spans="1:9">
      <c r="A4192" s="4" t="s">
        <v>8435</v>
      </c>
      <c r="B4192" s="4" t="s">
        <v>8436</v>
      </c>
      <c r="C4192" s="4" t="s">
        <v>51</v>
      </c>
      <c r="D4192" s="2">
        <f>125584928/(10^6)</f>
        <v>125.584928</v>
      </c>
      <c r="E4192" s="5" t="s">
        <v>86</v>
      </c>
      <c r="F4192" s="5">
        <v>5.52695846557617</v>
      </c>
      <c r="G4192" s="5">
        <v>171.557556152344</v>
      </c>
      <c r="H4192" s="5" t="s">
        <v>86</v>
      </c>
      <c r="I4192" t="s">
        <v>57</v>
      </c>
    </row>
    <row r="4193" spans="1:9">
      <c r="A4193" s="4" t="s">
        <v>8437</v>
      </c>
      <c r="B4193" s="4" t="s">
        <v>8438</v>
      </c>
      <c r="C4193" s="4" t="s">
        <v>43</v>
      </c>
      <c r="D4193" s="2">
        <f>125550392/(10^6)</f>
        <v>125.550392</v>
      </c>
      <c r="E4193" s="5">
        <v>6.82327604293823</v>
      </c>
      <c r="F4193" s="5">
        <v>0.682923257350922</v>
      </c>
      <c r="G4193" s="5">
        <v>1.392453789711</v>
      </c>
      <c r="H4193" s="5" t="s">
        <v>86</v>
      </c>
      <c r="I4193" t="s">
        <v>57</v>
      </c>
    </row>
    <row r="4194" spans="1:9">
      <c r="A4194" s="4" t="s">
        <v>8439</v>
      </c>
      <c r="B4194" s="4" t="s">
        <v>8440</v>
      </c>
      <c r="C4194" s="4" t="s">
        <v>49</v>
      </c>
      <c r="D4194" s="2">
        <f>125117872/(10^6)</f>
        <v>125.117872</v>
      </c>
      <c r="E4194" s="5" t="s">
        <v>86</v>
      </c>
      <c r="F4194" s="5" t="s">
        <v>86</v>
      </c>
      <c r="G4194" s="5" t="s">
        <v>86</v>
      </c>
      <c r="H4194" s="5" t="s">
        <v>86</v>
      </c>
      <c r="I4194" t="s">
        <v>57</v>
      </c>
    </row>
    <row r="4195" spans="1:9">
      <c r="A4195" s="4" t="s">
        <v>8441</v>
      </c>
      <c r="B4195" s="4" t="s">
        <v>8442</v>
      </c>
      <c r="C4195" s="4" t="s">
        <v>27</v>
      </c>
      <c r="D4195" s="2">
        <f>125093296/(10^6)</f>
        <v>125.093296</v>
      </c>
      <c r="E4195" s="5" t="s">
        <v>86</v>
      </c>
      <c r="F4195" s="5">
        <v>0.273560434579849</v>
      </c>
      <c r="G4195" s="5">
        <v>0.544939041137695</v>
      </c>
      <c r="H4195" s="5">
        <v>4.70191955566406</v>
      </c>
      <c r="I4195" t="s">
        <v>57</v>
      </c>
    </row>
    <row r="4196" spans="1:9">
      <c r="A4196" s="4" t="s">
        <v>8443</v>
      </c>
      <c r="B4196" s="4" t="s">
        <v>8444</v>
      </c>
      <c r="C4196" s="4" t="s">
        <v>51</v>
      </c>
      <c r="D4196" s="2">
        <f>125053824/(10^6)</f>
        <v>125.053824</v>
      </c>
      <c r="E4196" s="5">
        <v>29.0323295593262</v>
      </c>
      <c r="F4196" s="5">
        <v>1.40834033489227</v>
      </c>
      <c r="G4196" s="5">
        <v>0.469565451145172</v>
      </c>
      <c r="H4196" s="5">
        <v>8.70780849456787</v>
      </c>
      <c r="I4196" t="s">
        <v>57</v>
      </c>
    </row>
    <row r="4197" spans="1:9">
      <c r="A4197" s="4" t="s">
        <v>8445</v>
      </c>
      <c r="B4197" s="4" t="s">
        <v>8446</v>
      </c>
      <c r="C4197" s="4" t="s">
        <v>43</v>
      </c>
      <c r="D4197" s="2">
        <f>125052760/(10^6)</f>
        <v>125.05276</v>
      </c>
      <c r="E4197" s="5">
        <v>9.88311672210693</v>
      </c>
      <c r="F4197" s="5">
        <v>1.11005091667175</v>
      </c>
      <c r="G4197" s="5">
        <v>2.58805298805237</v>
      </c>
      <c r="H4197" s="5" t="s">
        <v>86</v>
      </c>
      <c r="I4197" t="s">
        <v>57</v>
      </c>
    </row>
    <row r="4198" spans="1:9">
      <c r="A4198" s="4" t="s">
        <v>8447</v>
      </c>
      <c r="B4198" s="4" t="s">
        <v>8448</v>
      </c>
      <c r="C4198" s="4" t="s">
        <v>41</v>
      </c>
      <c r="D4198" s="2">
        <f>124919392/(10^6)</f>
        <v>124.919392</v>
      </c>
      <c r="E4198" s="5" t="s">
        <v>86</v>
      </c>
      <c r="F4198" s="5" t="s">
        <v>86</v>
      </c>
      <c r="G4198" s="5" t="s">
        <v>86</v>
      </c>
      <c r="H4198" s="5" t="s">
        <v>86</v>
      </c>
      <c r="I4198" t="s">
        <v>57</v>
      </c>
    </row>
    <row r="4199" spans="1:9">
      <c r="A4199" s="4" t="s">
        <v>8449</v>
      </c>
      <c r="B4199" s="4" t="s">
        <v>8450</v>
      </c>
      <c r="C4199" s="4" t="s">
        <v>49</v>
      </c>
      <c r="D4199" s="2">
        <f>124836376/(10^6)</f>
        <v>124.836376</v>
      </c>
      <c r="E4199" s="5" t="s">
        <v>86</v>
      </c>
      <c r="F4199" s="5">
        <v>1.89912390708923</v>
      </c>
      <c r="G4199" s="5" t="s">
        <v>86</v>
      </c>
      <c r="H4199" s="5" t="s">
        <v>86</v>
      </c>
      <c r="I4199" t="s">
        <v>57</v>
      </c>
    </row>
    <row r="4200" spans="1:9">
      <c r="A4200" s="4" t="s">
        <v>8451</v>
      </c>
      <c r="B4200" s="4" t="s">
        <v>8452</v>
      </c>
      <c r="C4200" s="4" t="s">
        <v>43</v>
      </c>
      <c r="D4200" s="2">
        <f>124829304/(10^6)</f>
        <v>124.829304</v>
      </c>
      <c r="E4200" s="5">
        <v>7.6168065071106</v>
      </c>
      <c r="F4200" s="5">
        <v>0.730775713920593</v>
      </c>
      <c r="G4200" s="5">
        <v>1.98016631603241</v>
      </c>
      <c r="H4200" s="5" t="s">
        <v>86</v>
      </c>
      <c r="I4200" t="s">
        <v>57</v>
      </c>
    </row>
    <row r="4201" spans="1:9">
      <c r="A4201" s="4" t="s">
        <v>8453</v>
      </c>
      <c r="B4201" s="4" t="s">
        <v>8454</v>
      </c>
      <c r="C4201" s="4" t="s">
        <v>49</v>
      </c>
      <c r="D4201" s="2">
        <f>124604560/(10^6)</f>
        <v>124.60456</v>
      </c>
      <c r="E4201" s="5">
        <v>102.473709106445</v>
      </c>
      <c r="F4201" s="5">
        <v>0.291431695222855</v>
      </c>
      <c r="G4201" s="5" t="s">
        <v>86</v>
      </c>
      <c r="H4201" s="5" t="s">
        <v>86</v>
      </c>
      <c r="I4201" t="s">
        <v>57</v>
      </c>
    </row>
    <row r="4202" spans="1:9">
      <c r="A4202" s="4" t="s">
        <v>8455</v>
      </c>
      <c r="B4202" s="4" t="s">
        <v>8456</v>
      </c>
      <c r="C4202" s="4" t="s">
        <v>47</v>
      </c>
      <c r="D4202" s="2">
        <f>124586264/(10^6)</f>
        <v>124.586264</v>
      </c>
      <c r="E4202" s="5">
        <v>1271.76086425781</v>
      </c>
      <c r="F4202" s="5">
        <v>1.47892665863037</v>
      </c>
      <c r="G4202" s="5">
        <v>1.1938236951828</v>
      </c>
      <c r="H4202" s="5">
        <v>23.3590774536133</v>
      </c>
      <c r="I4202" t="s">
        <v>57</v>
      </c>
    </row>
    <row r="4203" spans="1:9">
      <c r="A4203" s="4" t="s">
        <v>8457</v>
      </c>
      <c r="B4203" s="4" t="s">
        <v>8458</v>
      </c>
      <c r="C4203" s="4" t="s">
        <v>43</v>
      </c>
      <c r="D4203" s="2">
        <f>124575528/(10^6)</f>
        <v>124.575528</v>
      </c>
      <c r="E4203" s="5">
        <v>89.2857131958008</v>
      </c>
      <c r="F4203" s="5">
        <v>1.39362061023712</v>
      </c>
      <c r="G4203" s="5">
        <v>2.99594306945801</v>
      </c>
      <c r="H4203" s="5" t="s">
        <v>86</v>
      </c>
      <c r="I4203" t="s">
        <v>57</v>
      </c>
    </row>
    <row r="4204" spans="1:9">
      <c r="A4204" s="4" t="s">
        <v>8459</v>
      </c>
      <c r="B4204" s="4" t="s">
        <v>8460</v>
      </c>
      <c r="C4204" s="4" t="s">
        <v>51</v>
      </c>
      <c r="D4204" s="2">
        <f>124440696/(10^6)</f>
        <v>124.440696</v>
      </c>
      <c r="E4204" s="5">
        <v>93.2580490112305</v>
      </c>
      <c r="F4204" s="5">
        <v>12.2724256515503</v>
      </c>
      <c r="G4204" s="5">
        <v>5.55442333221436</v>
      </c>
      <c r="H4204" s="5" t="s">
        <v>86</v>
      </c>
      <c r="I4204" t="s">
        <v>57</v>
      </c>
    </row>
    <row r="4205" spans="1:9">
      <c r="A4205" s="4" t="s">
        <v>8461</v>
      </c>
      <c r="B4205" s="4" t="s">
        <v>8462</v>
      </c>
      <c r="C4205" s="4" t="s">
        <v>37</v>
      </c>
      <c r="D4205" s="2">
        <f>124352744/(10^6)</f>
        <v>124.352744</v>
      </c>
      <c r="E4205" s="5">
        <v>3.51896858215332</v>
      </c>
      <c r="F4205" s="5">
        <v>1.14965641498566</v>
      </c>
      <c r="G4205" s="5">
        <v>1.75648128986359</v>
      </c>
      <c r="H4205" s="5" t="s">
        <v>86</v>
      </c>
      <c r="I4205" t="s">
        <v>57</v>
      </c>
    </row>
    <row r="4206" spans="1:9">
      <c r="A4206" s="4" t="s">
        <v>8463</v>
      </c>
      <c r="B4206" s="4" t="s">
        <v>8464</v>
      </c>
      <c r="C4206" s="4" t="s">
        <v>41</v>
      </c>
      <c r="D4206" s="2">
        <f>124036928/(10^6)</f>
        <v>124.036928</v>
      </c>
      <c r="E4206" s="5" t="s">
        <v>86</v>
      </c>
      <c r="F4206" s="5">
        <v>1.74064910411835</v>
      </c>
      <c r="G4206" s="5">
        <v>4.32570266723633</v>
      </c>
      <c r="H4206" s="5" t="s">
        <v>86</v>
      </c>
      <c r="I4206" t="s">
        <v>57</v>
      </c>
    </row>
    <row r="4207" spans="1:9">
      <c r="A4207" s="4" t="s">
        <v>8465</v>
      </c>
      <c r="B4207" s="4" t="s">
        <v>8466</v>
      </c>
      <c r="C4207" s="4" t="s">
        <v>35</v>
      </c>
      <c r="D4207" s="2">
        <f>123561936/(10^6)</f>
        <v>123.561936</v>
      </c>
      <c r="E4207" s="5" t="s">
        <v>86</v>
      </c>
      <c r="F4207" s="5">
        <v>25.5634613037109</v>
      </c>
      <c r="G4207" s="5">
        <v>63.0181503295898</v>
      </c>
      <c r="H4207" s="5" t="s">
        <v>86</v>
      </c>
      <c r="I4207" t="s">
        <v>57</v>
      </c>
    </row>
    <row r="4208" spans="1:9">
      <c r="A4208" s="4" t="s">
        <v>8467</v>
      </c>
      <c r="B4208" s="4" t="s">
        <v>8468</v>
      </c>
      <c r="C4208" s="4" t="s">
        <v>41</v>
      </c>
      <c r="D4208" s="2">
        <f>123385016/(10^6)</f>
        <v>123.385016</v>
      </c>
      <c r="E4208" s="5" t="s">
        <v>86</v>
      </c>
      <c r="F4208" s="5">
        <v>1.97155475616455</v>
      </c>
      <c r="G4208" s="5">
        <v>16.8626461029053</v>
      </c>
      <c r="H4208" s="5" t="s">
        <v>86</v>
      </c>
      <c r="I4208" t="s">
        <v>57</v>
      </c>
    </row>
    <row r="4209" spans="1:9">
      <c r="A4209" s="4" t="s">
        <v>8469</v>
      </c>
      <c r="B4209" s="4" t="s">
        <v>8470</v>
      </c>
      <c r="C4209" s="4" t="s">
        <v>47</v>
      </c>
      <c r="D4209" s="2">
        <f>123256968/(10^6)</f>
        <v>123.256968</v>
      </c>
      <c r="E4209" s="5" t="s">
        <v>86</v>
      </c>
      <c r="F4209" s="5">
        <v>0.148458421230316</v>
      </c>
      <c r="G4209" s="5">
        <v>0.011017558164895</v>
      </c>
      <c r="H4209" s="5">
        <v>6.41863870620728</v>
      </c>
      <c r="I4209" t="s">
        <v>57</v>
      </c>
    </row>
    <row r="4210" spans="1:9">
      <c r="A4210" s="4" t="s">
        <v>8471</v>
      </c>
      <c r="B4210" s="4" t="s">
        <v>8472</v>
      </c>
      <c r="C4210" s="4" t="s">
        <v>41</v>
      </c>
      <c r="D4210" s="2">
        <f>123181744/(10^6)</f>
        <v>123.181744</v>
      </c>
      <c r="E4210" s="5" t="s">
        <v>86</v>
      </c>
      <c r="F4210" s="5">
        <v>0.719093501567841</v>
      </c>
      <c r="G4210" s="5" t="s">
        <v>86</v>
      </c>
      <c r="H4210" s="5" t="s">
        <v>86</v>
      </c>
      <c r="I4210" t="s">
        <v>57</v>
      </c>
    </row>
    <row r="4211" spans="1:9">
      <c r="A4211" s="4" t="s">
        <v>8473</v>
      </c>
      <c r="B4211" s="4" t="s">
        <v>8474</v>
      </c>
      <c r="C4211" s="4" t="s">
        <v>31</v>
      </c>
      <c r="D4211" s="2">
        <f>123180280/(10^6)</f>
        <v>123.18028</v>
      </c>
      <c r="E4211" s="5">
        <v>9.56631946563721</v>
      </c>
      <c r="F4211" s="5">
        <v>3.91871404647827</v>
      </c>
      <c r="G4211" s="5">
        <v>0.827694058418274</v>
      </c>
      <c r="H4211" s="5">
        <v>7.55457878112793</v>
      </c>
      <c r="I4211" t="s">
        <v>57</v>
      </c>
    </row>
    <row r="4212" spans="1:9">
      <c r="A4212" s="4" t="s">
        <v>8475</v>
      </c>
      <c r="B4212" s="4" t="s">
        <v>8476</v>
      </c>
      <c r="C4212" s="4" t="s">
        <v>41</v>
      </c>
      <c r="D4212" s="2">
        <f>123077296/(10^6)</f>
        <v>123.077296</v>
      </c>
      <c r="E4212" s="5" t="s">
        <v>86</v>
      </c>
      <c r="F4212" s="5">
        <v>6.48269271850586</v>
      </c>
      <c r="G4212" s="5">
        <v>2.0318865776062</v>
      </c>
      <c r="H4212" s="5" t="s">
        <v>86</v>
      </c>
      <c r="I4212" t="s">
        <v>57</v>
      </c>
    </row>
    <row r="4213" spans="1:9">
      <c r="A4213" s="4" t="s">
        <v>8477</v>
      </c>
      <c r="B4213" s="4" t="s">
        <v>8478</v>
      </c>
      <c r="C4213" s="4" t="s">
        <v>43</v>
      </c>
      <c r="D4213" s="2">
        <f>122906032/(10^6)</f>
        <v>122.906032</v>
      </c>
      <c r="E4213" s="5">
        <v>5.41416454315186</v>
      </c>
      <c r="F4213" s="5">
        <v>0.764403343200684</v>
      </c>
      <c r="G4213" s="5">
        <v>1.43736743927002</v>
      </c>
      <c r="H4213" s="5" t="s">
        <v>86</v>
      </c>
      <c r="I4213" t="s">
        <v>57</v>
      </c>
    </row>
    <row r="4214" spans="1:9">
      <c r="A4214" s="4" t="s">
        <v>8479</v>
      </c>
      <c r="B4214" s="4" t="s">
        <v>8480</v>
      </c>
      <c r="C4214" s="4" t="s">
        <v>47</v>
      </c>
      <c r="D4214" s="2">
        <f>122735264/(10^6)</f>
        <v>122.735264</v>
      </c>
      <c r="E4214" s="5">
        <v>63.1142883300781</v>
      </c>
      <c r="F4214" s="5">
        <v>0.302066564559937</v>
      </c>
      <c r="G4214" s="5">
        <v>0.062717750668526</v>
      </c>
      <c r="H4214" s="5">
        <v>2.93083357810974</v>
      </c>
      <c r="I4214" t="s">
        <v>57</v>
      </c>
    </row>
    <row r="4215" spans="1:9">
      <c r="A4215" s="4" t="s">
        <v>8481</v>
      </c>
      <c r="B4215" s="4" t="s">
        <v>8482</v>
      </c>
      <c r="C4215" s="4" t="s">
        <v>43</v>
      </c>
      <c r="D4215" s="2">
        <f>122567120/(10^6)</f>
        <v>122.56712</v>
      </c>
      <c r="E4215" s="5">
        <v>7.67177629470825</v>
      </c>
      <c r="F4215" s="5">
        <v>0.634737372398376</v>
      </c>
      <c r="G4215" s="5">
        <v>1.78488862514496</v>
      </c>
      <c r="H4215" s="5" t="s">
        <v>86</v>
      </c>
      <c r="I4215" t="s">
        <v>57</v>
      </c>
    </row>
    <row r="4216" spans="1:9">
      <c r="A4216" s="4" t="s">
        <v>8483</v>
      </c>
      <c r="B4216" s="4" t="s">
        <v>8484</v>
      </c>
      <c r="C4216" s="4" t="s">
        <v>43</v>
      </c>
      <c r="D4216" s="2">
        <f>122534304/(10^6)</f>
        <v>122.534304</v>
      </c>
      <c r="E4216" s="5">
        <v>9.40458679199219</v>
      </c>
      <c r="F4216" s="5">
        <v>0.938924193382263</v>
      </c>
      <c r="G4216" s="5">
        <v>1.57001435756683</v>
      </c>
      <c r="H4216" s="5" t="s">
        <v>86</v>
      </c>
      <c r="I4216" t="s">
        <v>57</v>
      </c>
    </row>
    <row r="4217" spans="1:9">
      <c r="A4217" s="4" t="s">
        <v>8485</v>
      </c>
      <c r="B4217" s="4" t="s">
        <v>8486</v>
      </c>
      <c r="C4217" s="4" t="s">
        <v>41</v>
      </c>
      <c r="D4217" s="2">
        <f>122459208/(10^6)</f>
        <v>122.459208</v>
      </c>
      <c r="E4217" s="5" t="s">
        <v>86</v>
      </c>
      <c r="F4217" s="5">
        <v>3.28796672821045</v>
      </c>
      <c r="G4217" s="5">
        <v>62.4297676086426</v>
      </c>
      <c r="H4217" s="5" t="s">
        <v>86</v>
      </c>
      <c r="I4217" t="s">
        <v>57</v>
      </c>
    </row>
    <row r="4218" spans="1:9">
      <c r="A4218" s="4" t="s">
        <v>8487</v>
      </c>
      <c r="B4218" s="4" t="s">
        <v>8488</v>
      </c>
      <c r="C4218" s="4" t="s">
        <v>41</v>
      </c>
      <c r="D4218" s="2">
        <f>122323472/(10^6)</f>
        <v>122.323472</v>
      </c>
      <c r="E4218" s="5" t="s">
        <v>86</v>
      </c>
      <c r="F4218" s="5">
        <v>2.86007380485535</v>
      </c>
      <c r="G4218" s="5" t="s">
        <v>86</v>
      </c>
      <c r="H4218" s="5" t="s">
        <v>86</v>
      </c>
      <c r="I4218" t="s">
        <v>57</v>
      </c>
    </row>
    <row r="4219" spans="1:9">
      <c r="A4219" s="4" t="s">
        <v>8489</v>
      </c>
      <c r="B4219" s="4" t="s">
        <v>8490</v>
      </c>
      <c r="C4219" s="4" t="s">
        <v>37</v>
      </c>
      <c r="D4219" s="2">
        <f>122246256/(10^6)</f>
        <v>122.246256</v>
      </c>
      <c r="E4219" s="5" t="s">
        <v>86</v>
      </c>
      <c r="F4219" s="5">
        <v>4.97503566741943</v>
      </c>
      <c r="G4219" s="5">
        <v>3.33697485923767</v>
      </c>
      <c r="H4219" s="5" t="s">
        <v>86</v>
      </c>
      <c r="I4219" t="s">
        <v>57</v>
      </c>
    </row>
    <row r="4220" spans="1:9">
      <c r="A4220" s="4" t="s">
        <v>8491</v>
      </c>
      <c r="B4220" s="4" t="s">
        <v>8492</v>
      </c>
      <c r="C4220" s="4" t="s">
        <v>35</v>
      </c>
      <c r="D4220" s="2">
        <f>121654200/(10^6)</f>
        <v>121.6542</v>
      </c>
      <c r="E4220" s="5" t="s">
        <v>86</v>
      </c>
      <c r="F4220" s="5">
        <v>0.712275803089142</v>
      </c>
      <c r="G4220" s="5">
        <v>0.207916021347046</v>
      </c>
      <c r="H4220" s="5">
        <v>6.12479496002197</v>
      </c>
      <c r="I4220" t="s">
        <v>57</v>
      </c>
    </row>
    <row r="4221" spans="1:9">
      <c r="A4221" s="4" t="s">
        <v>8493</v>
      </c>
      <c r="B4221" s="4" t="s">
        <v>8494</v>
      </c>
      <c r="C4221" s="4" t="s">
        <v>49</v>
      </c>
      <c r="D4221" s="2">
        <f>121345384/(10^6)</f>
        <v>121.345384</v>
      </c>
      <c r="E4221" s="5" t="s">
        <v>86</v>
      </c>
      <c r="F4221" s="5" t="s">
        <v>86</v>
      </c>
      <c r="G4221" s="5" t="s">
        <v>86</v>
      </c>
      <c r="H4221" s="5" t="s">
        <v>86</v>
      </c>
      <c r="I4221" t="s">
        <v>57</v>
      </c>
    </row>
    <row r="4222" spans="1:9">
      <c r="A4222" s="4" t="s">
        <v>8495</v>
      </c>
      <c r="B4222" s="4" t="s">
        <v>8496</v>
      </c>
      <c r="C4222" s="4" t="s">
        <v>43</v>
      </c>
      <c r="D4222" s="2">
        <f>121278064/(10^6)</f>
        <v>121.278064</v>
      </c>
      <c r="E4222" s="5">
        <v>11.1717042922974</v>
      </c>
      <c r="F4222" s="5">
        <v>2.99978590011597</v>
      </c>
      <c r="G4222" s="5">
        <v>4.47993659973145</v>
      </c>
      <c r="H4222" s="5" t="s">
        <v>86</v>
      </c>
      <c r="I4222" t="s">
        <v>57</v>
      </c>
    </row>
    <row r="4223" spans="1:9">
      <c r="A4223" s="4" t="s">
        <v>8497</v>
      </c>
      <c r="B4223" s="4" t="s">
        <v>8498</v>
      </c>
      <c r="C4223" s="4" t="s">
        <v>31</v>
      </c>
      <c r="D4223" s="2">
        <f>120868656/(10^6)</f>
        <v>120.868656</v>
      </c>
      <c r="E4223" s="5">
        <v>57.2808036804199</v>
      </c>
      <c r="F4223" s="5">
        <v>1.23195898532867</v>
      </c>
      <c r="G4223" s="5">
        <v>1.32235777378082</v>
      </c>
      <c r="H4223" s="5" t="s">
        <v>86</v>
      </c>
      <c r="I4223" t="s">
        <v>57</v>
      </c>
    </row>
    <row r="4224" spans="1:9">
      <c r="A4224" s="4" t="s">
        <v>8499</v>
      </c>
      <c r="B4224" s="4" t="s">
        <v>8500</v>
      </c>
      <c r="C4224" s="4" t="s">
        <v>47</v>
      </c>
      <c r="D4224" s="2">
        <f>120851648/(10^6)</f>
        <v>120.851648</v>
      </c>
      <c r="E4224" s="5">
        <v>9.56649684906006</v>
      </c>
      <c r="F4224" s="5">
        <v>0.90307891368866</v>
      </c>
      <c r="G4224" s="5">
        <v>0.395265191793442</v>
      </c>
      <c r="H4224" s="5">
        <v>5.53240823745728</v>
      </c>
      <c r="I4224" t="s">
        <v>57</v>
      </c>
    </row>
    <row r="4225" spans="1:9">
      <c r="A4225" s="4" t="s">
        <v>8501</v>
      </c>
      <c r="B4225" s="4" t="s">
        <v>8502</v>
      </c>
      <c r="C4225" s="4" t="s">
        <v>43</v>
      </c>
      <c r="D4225" s="2">
        <f>120794736/(10^6)</f>
        <v>120.794736</v>
      </c>
      <c r="E4225" s="5">
        <v>6.04639625549316</v>
      </c>
      <c r="F4225" s="5">
        <v>0.512305676937103</v>
      </c>
      <c r="G4225" s="5">
        <v>1.14663910865784</v>
      </c>
      <c r="H4225" s="5" t="s">
        <v>86</v>
      </c>
      <c r="I4225" t="s">
        <v>57</v>
      </c>
    </row>
    <row r="4226" spans="1:9">
      <c r="A4226" s="4" t="s">
        <v>8503</v>
      </c>
      <c r="B4226" s="4" t="s">
        <v>8504</v>
      </c>
      <c r="C4226" s="4" t="s">
        <v>43</v>
      </c>
      <c r="D4226" s="2">
        <f>120060000/(10^6)</f>
        <v>120.06</v>
      </c>
      <c r="E4226" s="5" t="s">
        <v>86</v>
      </c>
      <c r="F4226" s="5" t="s">
        <v>86</v>
      </c>
      <c r="G4226" s="5" t="s">
        <v>86</v>
      </c>
      <c r="H4226" s="5" t="s">
        <v>86</v>
      </c>
      <c r="I4226" t="s">
        <v>57</v>
      </c>
    </row>
    <row r="4227" spans="1:9">
      <c r="A4227" s="4" t="s">
        <v>8505</v>
      </c>
      <c r="B4227" s="4" t="s">
        <v>8506</v>
      </c>
      <c r="C4227" s="4" t="s">
        <v>43</v>
      </c>
      <c r="D4227" s="2">
        <f>119743752/(10^6)</f>
        <v>119.743752</v>
      </c>
      <c r="E4227" s="5" t="s">
        <v>86</v>
      </c>
      <c r="F4227" s="5" t="s">
        <v>86</v>
      </c>
      <c r="G4227" s="5" t="s">
        <v>86</v>
      </c>
      <c r="H4227" s="5" t="s">
        <v>86</v>
      </c>
      <c r="I4227" t="s">
        <v>57</v>
      </c>
    </row>
    <row r="4228" spans="1:9">
      <c r="A4228" s="4" t="s">
        <v>8507</v>
      </c>
      <c r="B4228" s="4" t="s">
        <v>8508</v>
      </c>
      <c r="C4228" s="4" t="s">
        <v>49</v>
      </c>
      <c r="D4228" s="2">
        <f>119375000/(10^6)</f>
        <v>119.375</v>
      </c>
      <c r="E4228" s="5" t="s">
        <v>86</v>
      </c>
      <c r="F4228" s="5">
        <v>0.347286850214005</v>
      </c>
      <c r="G4228" s="5" t="s">
        <v>86</v>
      </c>
      <c r="H4228" s="5" t="s">
        <v>86</v>
      </c>
      <c r="I4228" t="s">
        <v>57</v>
      </c>
    </row>
    <row r="4229" spans="1:9">
      <c r="A4229" s="4" t="s">
        <v>8509</v>
      </c>
      <c r="B4229" s="4" t="s">
        <v>8510</v>
      </c>
      <c r="C4229" s="4" t="s">
        <v>43</v>
      </c>
      <c r="D4229" s="2">
        <f>118923816/(10^6)</f>
        <v>118.923816</v>
      </c>
      <c r="E4229" s="5">
        <v>7.0391526222229</v>
      </c>
      <c r="F4229" s="5">
        <v>0.798896253108978</v>
      </c>
      <c r="G4229" s="5">
        <v>1.42294728755951</v>
      </c>
      <c r="H4229" s="5" t="s">
        <v>86</v>
      </c>
      <c r="I4229" t="s">
        <v>57</v>
      </c>
    </row>
    <row r="4230" spans="1:9">
      <c r="A4230" s="4" t="s">
        <v>8511</v>
      </c>
      <c r="B4230" s="4" t="s">
        <v>8512</v>
      </c>
      <c r="C4230" s="4" t="s">
        <v>35</v>
      </c>
      <c r="D4230" s="2">
        <f>118757496/(10^6)</f>
        <v>118.757496</v>
      </c>
      <c r="E4230" s="5" t="s">
        <v>86</v>
      </c>
      <c r="F4230" s="5">
        <v>1.23330807685852</v>
      </c>
      <c r="G4230" s="5">
        <v>0.423131465911865</v>
      </c>
      <c r="H4230" s="5" t="s">
        <v>86</v>
      </c>
      <c r="I4230" t="s">
        <v>57</v>
      </c>
    </row>
    <row r="4231" spans="1:9">
      <c r="A4231" s="4" t="s">
        <v>8513</v>
      </c>
      <c r="B4231" s="4" t="s">
        <v>8514</v>
      </c>
      <c r="C4231" s="4" t="s">
        <v>27</v>
      </c>
      <c r="D4231" s="2">
        <f>118751256/(10^6)</f>
        <v>118.751256</v>
      </c>
      <c r="E4231" s="5" t="s">
        <v>86</v>
      </c>
      <c r="F4231" s="5" t="s">
        <v>86</v>
      </c>
      <c r="G4231" s="5" t="s">
        <v>86</v>
      </c>
      <c r="H4231" s="5" t="s">
        <v>86</v>
      </c>
      <c r="I4231" t="s">
        <v>57</v>
      </c>
    </row>
    <row r="4232" spans="1:9">
      <c r="A4232" s="4" t="s">
        <v>8515</v>
      </c>
      <c r="B4232" s="4" t="s">
        <v>8516</v>
      </c>
      <c r="C4232" s="4" t="s">
        <v>41</v>
      </c>
      <c r="D4232" s="2">
        <f>118658280/(10^6)</f>
        <v>118.65828</v>
      </c>
      <c r="E4232" s="5" t="s">
        <v>86</v>
      </c>
      <c r="F4232" s="5" t="s">
        <v>86</v>
      </c>
      <c r="G4232" s="5">
        <v>5.12894105911255</v>
      </c>
      <c r="H4232" s="5" t="s">
        <v>86</v>
      </c>
      <c r="I4232" t="s">
        <v>57</v>
      </c>
    </row>
    <row r="4233" spans="1:9">
      <c r="A4233" s="4" t="s">
        <v>8517</v>
      </c>
      <c r="B4233" s="4" t="s">
        <v>8518</v>
      </c>
      <c r="C4233" s="4" t="s">
        <v>31</v>
      </c>
      <c r="D4233" s="2">
        <f>118554080/(10^6)</f>
        <v>118.55408</v>
      </c>
      <c r="E4233" s="5" t="s">
        <v>86</v>
      </c>
      <c r="F4233" s="5">
        <v>0.37081241607666</v>
      </c>
      <c r="G4233" s="5">
        <v>0.138179555535316</v>
      </c>
      <c r="H4233" s="5">
        <v>21.1025791168213</v>
      </c>
      <c r="I4233" t="s">
        <v>57</v>
      </c>
    </row>
    <row r="4234" spans="1:9">
      <c r="A4234" s="4" t="s">
        <v>8519</v>
      </c>
      <c r="B4234" s="4" t="s">
        <v>8520</v>
      </c>
      <c r="C4234" s="4" t="s">
        <v>47</v>
      </c>
      <c r="D4234" s="2">
        <f>118420664/(10^6)</f>
        <v>118.420664</v>
      </c>
      <c r="E4234" s="5" t="s">
        <v>86</v>
      </c>
      <c r="F4234" s="5">
        <v>0.738096475601196</v>
      </c>
      <c r="G4234" s="5">
        <v>0.182834044098854</v>
      </c>
      <c r="H4234" s="5">
        <v>48.9210433959961</v>
      </c>
      <c r="I4234" t="s">
        <v>57</v>
      </c>
    </row>
    <row r="4235" spans="1:9">
      <c r="A4235" s="4" t="s">
        <v>8521</v>
      </c>
      <c r="B4235" s="4" t="s">
        <v>8522</v>
      </c>
      <c r="C4235" s="4" t="s">
        <v>41</v>
      </c>
      <c r="D4235" s="2">
        <f>118380000/(10^6)</f>
        <v>118.38</v>
      </c>
      <c r="E4235" s="5" t="s">
        <v>86</v>
      </c>
      <c r="F4235" s="5">
        <v>12.4653558731079</v>
      </c>
      <c r="G4235" s="5">
        <v>4.9086799621582</v>
      </c>
      <c r="H4235" s="5" t="s">
        <v>86</v>
      </c>
      <c r="I4235" t="s">
        <v>57</v>
      </c>
    </row>
    <row r="4236" spans="1:9">
      <c r="A4236" s="4" t="s">
        <v>8523</v>
      </c>
      <c r="B4236" s="4" t="s">
        <v>8524</v>
      </c>
      <c r="C4236" s="4" t="s">
        <v>41</v>
      </c>
      <c r="D4236" s="2">
        <f>118363072/(10^6)</f>
        <v>118.363072</v>
      </c>
      <c r="E4236" s="5" t="s">
        <v>86</v>
      </c>
      <c r="F4236" s="5">
        <v>1.04781544208527</v>
      </c>
      <c r="G4236" s="5">
        <v>32.5586166381836</v>
      </c>
      <c r="H4236" s="5" t="s">
        <v>86</v>
      </c>
      <c r="I4236" t="s">
        <v>57</v>
      </c>
    </row>
    <row r="4237" spans="1:9">
      <c r="A4237" s="4" t="s">
        <v>8525</v>
      </c>
      <c r="B4237" s="4" t="s">
        <v>8526</v>
      </c>
      <c r="C4237" s="4" t="s">
        <v>31</v>
      </c>
      <c r="D4237" s="2">
        <f>117745120/(10^6)</f>
        <v>117.74512</v>
      </c>
      <c r="E4237" s="5" t="s">
        <v>86</v>
      </c>
      <c r="F4237" s="5">
        <v>1.54561698436737</v>
      </c>
      <c r="G4237" s="5">
        <v>1.79447853565216</v>
      </c>
      <c r="H4237" s="5" t="s">
        <v>86</v>
      </c>
      <c r="I4237" t="s">
        <v>57</v>
      </c>
    </row>
    <row r="4238" spans="1:9">
      <c r="A4238" s="4" t="s">
        <v>8527</v>
      </c>
      <c r="B4238" s="4" t="s">
        <v>8528</v>
      </c>
      <c r="C4238" s="4" t="s">
        <v>49</v>
      </c>
      <c r="D4238" s="2">
        <f>117707040/(10^6)</f>
        <v>117.70704</v>
      </c>
      <c r="E4238" s="5" t="s">
        <v>86</v>
      </c>
      <c r="F4238" s="5" t="s">
        <v>86</v>
      </c>
      <c r="G4238" s="5" t="s">
        <v>86</v>
      </c>
      <c r="H4238" s="5" t="s">
        <v>86</v>
      </c>
      <c r="I4238" t="s">
        <v>57</v>
      </c>
    </row>
    <row r="4239" spans="1:9">
      <c r="A4239" s="4" t="s">
        <v>8529</v>
      </c>
      <c r="B4239" s="4" t="s">
        <v>8530</v>
      </c>
      <c r="C4239" s="4" t="s">
        <v>43</v>
      </c>
      <c r="D4239" s="2">
        <f>117630288/(10^6)</f>
        <v>117.630288</v>
      </c>
      <c r="E4239" s="5">
        <v>7.62855958938599</v>
      </c>
      <c r="F4239" s="5">
        <v>0.927359461784363</v>
      </c>
      <c r="G4239" s="5">
        <v>1.83858203887939</v>
      </c>
      <c r="H4239" s="5" t="s">
        <v>86</v>
      </c>
      <c r="I4239" t="s">
        <v>57</v>
      </c>
    </row>
    <row r="4240" spans="1:9">
      <c r="A4240" s="4" t="s">
        <v>8531</v>
      </c>
      <c r="B4240" s="4" t="s">
        <v>8532</v>
      </c>
      <c r="C4240" s="4" t="s">
        <v>41</v>
      </c>
      <c r="D4240" s="2">
        <f>117467320/(10^6)</f>
        <v>117.46732</v>
      </c>
      <c r="E4240" s="5" t="s">
        <v>86</v>
      </c>
      <c r="F4240" s="5">
        <v>1.65773820877075</v>
      </c>
      <c r="G4240" s="5">
        <v>1.4643406867981</v>
      </c>
      <c r="H4240" s="5">
        <v>14.8870992660522</v>
      </c>
      <c r="I4240" t="s">
        <v>57</v>
      </c>
    </row>
    <row r="4241" spans="1:9">
      <c r="A4241" s="4" t="s">
        <v>8533</v>
      </c>
      <c r="B4241" s="4" t="s">
        <v>8534</v>
      </c>
      <c r="C4241" s="4" t="s">
        <v>43</v>
      </c>
      <c r="D4241" s="2">
        <f>117205936/(10^6)</f>
        <v>117.205936</v>
      </c>
      <c r="E4241" s="5" t="s">
        <v>86</v>
      </c>
      <c r="F4241" s="5" t="s">
        <v>86</v>
      </c>
      <c r="G4241" s="5" t="s">
        <v>86</v>
      </c>
      <c r="H4241" s="5" t="s">
        <v>86</v>
      </c>
      <c r="I4241" t="s">
        <v>57</v>
      </c>
    </row>
    <row r="4242" spans="1:9">
      <c r="A4242" s="4" t="s">
        <v>8535</v>
      </c>
      <c r="B4242" s="4" t="s">
        <v>8536</v>
      </c>
      <c r="C4242" s="4" t="s">
        <v>31</v>
      </c>
      <c r="D4242" s="2">
        <f>117078680/(10^6)</f>
        <v>117.07868</v>
      </c>
      <c r="E4242" s="5" t="s">
        <v>86</v>
      </c>
      <c r="F4242" s="5">
        <v>0.585365176200867</v>
      </c>
      <c r="G4242" s="5">
        <v>0.193028286099434</v>
      </c>
      <c r="H4242" s="5">
        <v>6.21627998352051</v>
      </c>
      <c r="I4242" t="s">
        <v>57</v>
      </c>
    </row>
    <row r="4243" spans="1:9">
      <c r="A4243" s="4" t="s">
        <v>8537</v>
      </c>
      <c r="B4243" s="4" t="s">
        <v>8538</v>
      </c>
      <c r="C4243" s="4" t="s">
        <v>41</v>
      </c>
      <c r="D4243" s="2">
        <f>116703976/(10^6)</f>
        <v>116.703976</v>
      </c>
      <c r="E4243" s="5" t="s">
        <v>86</v>
      </c>
      <c r="F4243" s="5" t="s">
        <v>86</v>
      </c>
      <c r="G4243" s="5" t="s">
        <v>86</v>
      </c>
      <c r="H4243" s="5" t="s">
        <v>86</v>
      </c>
      <c r="I4243" t="s">
        <v>57</v>
      </c>
    </row>
    <row r="4244" spans="1:9">
      <c r="A4244" s="4" t="s">
        <v>8539</v>
      </c>
      <c r="B4244" s="4" t="s">
        <v>8540</v>
      </c>
      <c r="C4244" s="4" t="s">
        <v>41</v>
      </c>
      <c r="D4244" s="2">
        <f>116660832/(10^6)</f>
        <v>116.660832</v>
      </c>
      <c r="E4244" s="5" t="s">
        <v>86</v>
      </c>
      <c r="F4244" s="5" t="s">
        <v>86</v>
      </c>
      <c r="G4244" s="5">
        <v>14.2326736450195</v>
      </c>
      <c r="H4244" s="5" t="s">
        <v>86</v>
      </c>
      <c r="I4244" t="s">
        <v>57</v>
      </c>
    </row>
    <row r="4245" spans="1:9">
      <c r="A4245" s="4" t="s">
        <v>8541</v>
      </c>
      <c r="B4245" s="4" t="s">
        <v>8542</v>
      </c>
      <c r="C4245" s="4" t="s">
        <v>43</v>
      </c>
      <c r="D4245" s="2">
        <f>116568992/(10^6)</f>
        <v>116.568992</v>
      </c>
      <c r="E4245" s="5" t="s">
        <v>86</v>
      </c>
      <c r="F4245" s="5">
        <v>2.53137826919556</v>
      </c>
      <c r="G4245" s="5" t="s">
        <v>86</v>
      </c>
      <c r="H4245" s="5" t="s">
        <v>86</v>
      </c>
      <c r="I4245" t="s">
        <v>57</v>
      </c>
    </row>
    <row r="4246" spans="1:9">
      <c r="A4246" s="4" t="s">
        <v>8543</v>
      </c>
      <c r="B4246" s="4" t="s">
        <v>8544</v>
      </c>
      <c r="C4246" s="4" t="s">
        <v>27</v>
      </c>
      <c r="D4246" s="2">
        <f>116533992/(10^6)</f>
        <v>116.533992</v>
      </c>
      <c r="E4246" s="5">
        <v>17.9555644989014</v>
      </c>
      <c r="F4246" s="5">
        <v>0.16490113735199</v>
      </c>
      <c r="G4246" s="5">
        <v>0.078492268919945</v>
      </c>
      <c r="H4246" s="5" t="s">
        <v>86</v>
      </c>
      <c r="I4246" t="s">
        <v>57</v>
      </c>
    </row>
    <row r="4247" spans="1:9">
      <c r="A4247" s="4" t="s">
        <v>8545</v>
      </c>
      <c r="B4247" s="4" t="s">
        <v>8546</v>
      </c>
      <c r="C4247" s="4" t="s">
        <v>27</v>
      </c>
      <c r="D4247" s="2">
        <f>116113600/(10^6)</f>
        <v>116.1136</v>
      </c>
      <c r="E4247" s="5">
        <v>0.609433591365814</v>
      </c>
      <c r="F4247" s="5">
        <v>0.082491539418697</v>
      </c>
      <c r="G4247" s="5">
        <v>0.082009956240654</v>
      </c>
      <c r="H4247" s="5">
        <v>4.17172384262085</v>
      </c>
      <c r="I4247" t="s">
        <v>57</v>
      </c>
    </row>
    <row r="4248" spans="1:9">
      <c r="A4248" s="4" t="s">
        <v>8547</v>
      </c>
      <c r="B4248" s="4" t="s">
        <v>8548</v>
      </c>
      <c r="C4248" s="4" t="s">
        <v>31</v>
      </c>
      <c r="D4248" s="2">
        <f>115773144/(10^6)</f>
        <v>115.773144</v>
      </c>
      <c r="E4248" s="5">
        <v>2.7373480796814</v>
      </c>
      <c r="F4248" s="5">
        <v>0.671850621700287</v>
      </c>
      <c r="G4248" s="5">
        <v>0.17405079305172</v>
      </c>
      <c r="H4248" s="5">
        <v>3.45800065994263</v>
      </c>
      <c r="I4248" t="s">
        <v>57</v>
      </c>
    </row>
    <row r="4249" spans="1:9">
      <c r="A4249" s="4" t="s">
        <v>8549</v>
      </c>
      <c r="B4249" s="4" t="s">
        <v>8550</v>
      </c>
      <c r="C4249" s="4" t="s">
        <v>41</v>
      </c>
      <c r="D4249" s="2">
        <f>115038592/(10^6)</f>
        <v>115.038592</v>
      </c>
      <c r="E4249" s="5" t="s">
        <v>86</v>
      </c>
      <c r="F4249" s="5">
        <v>1.40700507164002</v>
      </c>
      <c r="G4249" s="5">
        <v>58.6484222412109</v>
      </c>
      <c r="H4249" s="5" t="s">
        <v>86</v>
      </c>
      <c r="I4249" t="s">
        <v>57</v>
      </c>
    </row>
    <row r="4250" spans="1:9">
      <c r="A4250" s="4" t="s">
        <v>8551</v>
      </c>
      <c r="B4250" s="4" t="s">
        <v>8552</v>
      </c>
      <c r="C4250" s="4" t="s">
        <v>49</v>
      </c>
      <c r="D4250" s="2">
        <f>114504880/(10^6)</f>
        <v>114.50488</v>
      </c>
      <c r="E4250" s="5" t="s">
        <v>86</v>
      </c>
      <c r="F4250" s="5" t="s">
        <v>86</v>
      </c>
      <c r="G4250" s="5" t="s">
        <v>86</v>
      </c>
      <c r="H4250" s="5" t="s">
        <v>86</v>
      </c>
      <c r="I4250" t="s">
        <v>57</v>
      </c>
    </row>
    <row r="4251" spans="1:9">
      <c r="A4251" s="4" t="s">
        <v>8553</v>
      </c>
      <c r="B4251" s="4" t="s">
        <v>8554</v>
      </c>
      <c r="C4251" s="4" t="s">
        <v>43</v>
      </c>
      <c r="D4251" s="2">
        <f>114493856/(10^6)</f>
        <v>114.493856</v>
      </c>
      <c r="E4251" s="5">
        <v>9.2067985534668</v>
      </c>
      <c r="F4251" s="5">
        <v>0.947608292102814</v>
      </c>
      <c r="G4251" s="5">
        <v>2.07718467712402</v>
      </c>
      <c r="H4251" s="5" t="s">
        <v>86</v>
      </c>
      <c r="I4251" t="s">
        <v>57</v>
      </c>
    </row>
    <row r="4252" spans="1:9">
      <c r="A4252" s="4" t="s">
        <v>8555</v>
      </c>
      <c r="B4252" s="4" t="s">
        <v>8556</v>
      </c>
      <c r="C4252" s="4" t="s">
        <v>43</v>
      </c>
      <c r="D4252" s="2">
        <f>114199800/(10^6)</f>
        <v>114.1998</v>
      </c>
      <c r="E4252" s="5">
        <v>2.07362627983093</v>
      </c>
      <c r="F4252" s="5">
        <v>1.12202346324921</v>
      </c>
      <c r="G4252" s="5" t="s">
        <v>86</v>
      </c>
      <c r="H4252" s="5" t="s">
        <v>86</v>
      </c>
      <c r="I4252" t="s">
        <v>57</v>
      </c>
    </row>
    <row r="4253" spans="1:9">
      <c r="A4253" s="4" t="s">
        <v>8557</v>
      </c>
      <c r="B4253" s="4" t="s">
        <v>8558</v>
      </c>
      <c r="C4253" s="4" t="s">
        <v>43</v>
      </c>
      <c r="D4253" s="2">
        <f>113932664/(10^6)</f>
        <v>113.932664</v>
      </c>
      <c r="E4253" s="5">
        <v>12.4256429672241</v>
      </c>
      <c r="F4253" s="5">
        <v>0.895333588123322</v>
      </c>
      <c r="G4253" s="5">
        <v>1.45700991153717</v>
      </c>
      <c r="H4253" s="5" t="s">
        <v>86</v>
      </c>
      <c r="I4253" t="s">
        <v>57</v>
      </c>
    </row>
    <row r="4254" spans="1:9">
      <c r="A4254" s="4" t="s">
        <v>8559</v>
      </c>
      <c r="B4254" s="4" t="s">
        <v>8560</v>
      </c>
      <c r="C4254" s="4" t="s">
        <v>31</v>
      </c>
      <c r="D4254" s="2">
        <f>113925448/(10^6)</f>
        <v>113.925448</v>
      </c>
      <c r="E4254" s="5">
        <v>15.5129718780518</v>
      </c>
      <c r="F4254" s="5">
        <v>0.399007618427277</v>
      </c>
      <c r="G4254" s="5">
        <v>0.151250794529915</v>
      </c>
      <c r="H4254" s="5">
        <v>5.48211145401001</v>
      </c>
      <c r="I4254" t="s">
        <v>57</v>
      </c>
    </row>
    <row r="4255" spans="1:9">
      <c r="A4255" s="4" t="s">
        <v>8561</v>
      </c>
      <c r="B4255" s="4" t="s">
        <v>8562</v>
      </c>
      <c r="C4255" s="4" t="s">
        <v>27</v>
      </c>
      <c r="D4255" s="2">
        <f>113766416/(10^6)</f>
        <v>113.766416</v>
      </c>
      <c r="E4255" s="5">
        <v>17.0800170898438</v>
      </c>
      <c r="F4255" s="5">
        <v>0.750235259532928</v>
      </c>
      <c r="G4255" s="5">
        <v>0.062698557972908</v>
      </c>
      <c r="H4255" s="5">
        <v>0.604373157024384</v>
      </c>
      <c r="I4255" t="s">
        <v>57</v>
      </c>
    </row>
    <row r="4256" spans="1:9">
      <c r="A4256" s="4" t="s">
        <v>8563</v>
      </c>
      <c r="B4256" s="4" t="s">
        <v>8564</v>
      </c>
      <c r="C4256" s="4" t="s">
        <v>51</v>
      </c>
      <c r="D4256" s="2">
        <f>113597272/(10^6)</f>
        <v>113.597272</v>
      </c>
      <c r="E4256" s="5" t="s">
        <v>86</v>
      </c>
      <c r="F4256" s="5" t="s">
        <v>86</v>
      </c>
      <c r="G4256" s="5">
        <v>0.248985841870308</v>
      </c>
      <c r="H4256" s="5">
        <v>10.4632740020752</v>
      </c>
      <c r="I4256" t="s">
        <v>57</v>
      </c>
    </row>
    <row r="4257" spans="1:9">
      <c r="A4257" s="4" t="s">
        <v>8565</v>
      </c>
      <c r="B4257" s="4" t="s">
        <v>8566</v>
      </c>
      <c r="C4257" s="4" t="s">
        <v>51</v>
      </c>
      <c r="D4257" s="2">
        <f>113498104/(10^6)</f>
        <v>113.498104</v>
      </c>
      <c r="E4257" s="5" t="s">
        <v>86</v>
      </c>
      <c r="F4257" s="5">
        <v>0.625052392482758</v>
      </c>
      <c r="G4257" s="5">
        <v>1.31794214248657</v>
      </c>
      <c r="H4257" s="5">
        <v>17.5759830474854</v>
      </c>
      <c r="I4257" t="s">
        <v>57</v>
      </c>
    </row>
    <row r="4258" spans="1:9">
      <c r="A4258" s="4" t="s">
        <v>8567</v>
      </c>
      <c r="B4258" s="4" t="s">
        <v>8568</v>
      </c>
      <c r="C4258" s="4" t="s">
        <v>41</v>
      </c>
      <c r="D4258" s="2">
        <f>113415344/(10^6)</f>
        <v>113.415344</v>
      </c>
      <c r="E4258" s="5" t="s">
        <v>86</v>
      </c>
      <c r="F4258" s="5">
        <v>16.1349105834961</v>
      </c>
      <c r="G4258" s="5" t="s">
        <v>86</v>
      </c>
      <c r="H4258" s="5" t="s">
        <v>86</v>
      </c>
      <c r="I4258" t="s">
        <v>57</v>
      </c>
    </row>
    <row r="4259" spans="1:9">
      <c r="A4259" s="4" t="s">
        <v>8569</v>
      </c>
      <c r="B4259" s="4" t="s">
        <v>8570</v>
      </c>
      <c r="C4259" s="4" t="s">
        <v>31</v>
      </c>
      <c r="D4259" s="2">
        <f>113367016/(10^6)</f>
        <v>113.367016</v>
      </c>
      <c r="E4259" s="5" t="s">
        <v>86</v>
      </c>
      <c r="F4259" s="5">
        <v>0.775792241096497</v>
      </c>
      <c r="G4259" s="5">
        <v>9.94655418395996</v>
      </c>
      <c r="H4259" s="5" t="s">
        <v>86</v>
      </c>
      <c r="I4259" t="s">
        <v>57</v>
      </c>
    </row>
    <row r="4260" spans="1:9">
      <c r="A4260" s="4" t="s">
        <v>8571</v>
      </c>
      <c r="B4260" s="4" t="s">
        <v>8572</v>
      </c>
      <c r="C4260" s="4" t="s">
        <v>49</v>
      </c>
      <c r="D4260" s="2">
        <f>113351608/(10^6)</f>
        <v>113.351608</v>
      </c>
      <c r="E4260" s="5">
        <v>50.7157592773438</v>
      </c>
      <c r="F4260" s="5">
        <v>0.29017835855484</v>
      </c>
      <c r="G4260" s="5" t="s">
        <v>86</v>
      </c>
      <c r="H4260" s="5" t="s">
        <v>86</v>
      </c>
      <c r="I4260" t="s">
        <v>57</v>
      </c>
    </row>
    <row r="4261" spans="1:9">
      <c r="A4261" s="4" t="s">
        <v>8573</v>
      </c>
      <c r="B4261" s="4" t="s">
        <v>8574</v>
      </c>
      <c r="C4261" s="4" t="s">
        <v>43</v>
      </c>
      <c r="D4261" s="2">
        <f>113294800/(10^6)</f>
        <v>113.2948</v>
      </c>
      <c r="E4261" s="5">
        <v>11.7142858505249</v>
      </c>
      <c r="F4261" s="5">
        <v>0.646868109703064</v>
      </c>
      <c r="G4261" s="5">
        <v>1.8601508140564</v>
      </c>
      <c r="H4261" s="5" t="s">
        <v>86</v>
      </c>
      <c r="I4261" t="s">
        <v>57</v>
      </c>
    </row>
    <row r="4262" spans="1:9">
      <c r="A4262" s="4" t="s">
        <v>8575</v>
      </c>
      <c r="B4262" s="4" t="s">
        <v>8576</v>
      </c>
      <c r="C4262" s="4" t="s">
        <v>43</v>
      </c>
      <c r="D4262" s="2">
        <f>113226616/(10^6)</f>
        <v>113.226616</v>
      </c>
      <c r="E4262" s="5">
        <v>7.88699436187744</v>
      </c>
      <c r="F4262" s="5">
        <v>0.987498641014099</v>
      </c>
      <c r="G4262" s="5">
        <v>1.5589816570282</v>
      </c>
      <c r="H4262" s="5" t="s">
        <v>86</v>
      </c>
      <c r="I4262" t="s">
        <v>57</v>
      </c>
    </row>
    <row r="4263" spans="1:9">
      <c r="A4263" s="4" t="s">
        <v>8577</v>
      </c>
      <c r="B4263" s="4" t="s">
        <v>8578</v>
      </c>
      <c r="C4263" s="4" t="s">
        <v>43</v>
      </c>
      <c r="D4263" s="2">
        <f>113148048/(10^6)</f>
        <v>113.148048</v>
      </c>
      <c r="E4263" s="5">
        <v>8.03278732299805</v>
      </c>
      <c r="F4263" s="5">
        <v>1.01282966136932</v>
      </c>
      <c r="G4263" s="5">
        <v>2.25239825248718</v>
      </c>
      <c r="H4263" s="5">
        <v>2.2928831577301</v>
      </c>
      <c r="I4263" t="s">
        <v>57</v>
      </c>
    </row>
    <row r="4264" spans="1:9">
      <c r="A4264" s="4" t="s">
        <v>8579</v>
      </c>
      <c r="B4264" s="4" t="s">
        <v>8580</v>
      </c>
      <c r="C4264" s="4" t="s">
        <v>43</v>
      </c>
      <c r="D4264" s="2">
        <f>113059472/(10^6)</f>
        <v>113.059472</v>
      </c>
      <c r="E4264" s="5">
        <v>6.62666606903076</v>
      </c>
      <c r="F4264" s="5">
        <v>0.775410234928131</v>
      </c>
      <c r="G4264" s="5">
        <v>1.7814679145813</v>
      </c>
      <c r="H4264" s="5" t="s">
        <v>86</v>
      </c>
      <c r="I4264" t="s">
        <v>57</v>
      </c>
    </row>
    <row r="4265" spans="1:9">
      <c r="A4265" s="4" t="s">
        <v>8581</v>
      </c>
      <c r="B4265" s="4" t="s">
        <v>8582</v>
      </c>
      <c r="C4265" s="4" t="s">
        <v>51</v>
      </c>
      <c r="D4265" s="2">
        <f>113034208/(10^6)</f>
        <v>113.034208</v>
      </c>
      <c r="E4265" s="5" t="s">
        <v>86</v>
      </c>
      <c r="F4265" s="5">
        <v>2.3289213180542</v>
      </c>
      <c r="G4265" s="5">
        <v>1.58504164218903</v>
      </c>
      <c r="H4265" s="5" t="s">
        <v>86</v>
      </c>
      <c r="I4265" t="s">
        <v>57</v>
      </c>
    </row>
    <row r="4266" spans="1:9">
      <c r="A4266" s="4" t="s">
        <v>8583</v>
      </c>
      <c r="B4266" s="4" t="s">
        <v>8584</v>
      </c>
      <c r="C4266" s="4" t="s">
        <v>43</v>
      </c>
      <c r="D4266" s="2">
        <f>112485736/(10^6)</f>
        <v>112.485736</v>
      </c>
      <c r="E4266" s="5">
        <v>9.16334629058838</v>
      </c>
      <c r="F4266" s="5">
        <v>1.10847854614258</v>
      </c>
      <c r="G4266" s="5">
        <v>2.17921113967896</v>
      </c>
      <c r="H4266" s="5" t="s">
        <v>86</v>
      </c>
      <c r="I4266" t="s">
        <v>57</v>
      </c>
    </row>
    <row r="4267" spans="1:9">
      <c r="A4267" s="4" t="s">
        <v>8585</v>
      </c>
      <c r="B4267" s="4" t="s">
        <v>8586</v>
      </c>
      <c r="C4267" s="4" t="s">
        <v>49</v>
      </c>
      <c r="D4267" s="2">
        <f>112436304/(10^6)</f>
        <v>112.436304</v>
      </c>
      <c r="E4267" s="5">
        <v>107.981224060059</v>
      </c>
      <c r="F4267" s="5">
        <v>1.92709863185883</v>
      </c>
      <c r="G4267" s="5">
        <v>17.5549201965332</v>
      </c>
      <c r="H4267" s="5">
        <v>423.064758300781</v>
      </c>
      <c r="I4267" t="s">
        <v>57</v>
      </c>
    </row>
    <row r="4268" spans="1:9">
      <c r="A4268" s="4" t="s">
        <v>8587</v>
      </c>
      <c r="B4268" s="4" t="s">
        <v>8588</v>
      </c>
      <c r="C4268" s="4" t="s">
        <v>41</v>
      </c>
      <c r="D4268" s="2">
        <f>112406040/(10^6)</f>
        <v>112.40604</v>
      </c>
      <c r="E4268" s="5" t="s">
        <v>86</v>
      </c>
      <c r="F4268" s="5">
        <v>1.401780128479</v>
      </c>
      <c r="G4268" s="5" t="s">
        <v>86</v>
      </c>
      <c r="H4268" s="5" t="s">
        <v>86</v>
      </c>
      <c r="I4268" t="s">
        <v>57</v>
      </c>
    </row>
    <row r="4269" spans="1:9">
      <c r="A4269" s="4" t="s">
        <v>8589</v>
      </c>
      <c r="B4269" s="4" t="s">
        <v>8590</v>
      </c>
      <c r="C4269" s="4" t="s">
        <v>43</v>
      </c>
      <c r="D4269" s="2">
        <f>112383200/(10^6)</f>
        <v>112.3832</v>
      </c>
      <c r="E4269" s="5" t="s">
        <v>86</v>
      </c>
      <c r="F4269" s="5">
        <v>0.193875953555107</v>
      </c>
      <c r="G4269" s="5">
        <v>0.191218644380569</v>
      </c>
      <c r="H4269" s="5" t="s">
        <v>86</v>
      </c>
      <c r="I4269" t="s">
        <v>57</v>
      </c>
    </row>
    <row r="4270" spans="1:9">
      <c r="A4270" s="4" t="s">
        <v>8591</v>
      </c>
      <c r="B4270" s="4" t="s">
        <v>8592</v>
      </c>
      <c r="C4270" s="4" t="s">
        <v>31</v>
      </c>
      <c r="D4270" s="2">
        <f>111940040/(10^6)</f>
        <v>111.94004</v>
      </c>
      <c r="E4270" s="5" t="s">
        <v>86</v>
      </c>
      <c r="F4270" s="5">
        <v>0.662665188312531</v>
      </c>
      <c r="G4270" s="5">
        <v>0.405014544725418</v>
      </c>
      <c r="H4270" s="5">
        <v>18.954870223999</v>
      </c>
      <c r="I4270" t="s">
        <v>57</v>
      </c>
    </row>
    <row r="4271" spans="1:9">
      <c r="A4271" s="4" t="s">
        <v>8593</v>
      </c>
      <c r="B4271" s="4" t="s">
        <v>8594</v>
      </c>
      <c r="C4271" s="4" t="s">
        <v>43</v>
      </c>
      <c r="D4271" s="2">
        <f>111933704/(10^6)</f>
        <v>111.933704</v>
      </c>
      <c r="E4271" s="5">
        <v>10.414439201355</v>
      </c>
      <c r="F4271" s="5">
        <v>0.928502202033997</v>
      </c>
      <c r="G4271" s="5">
        <v>2.07159328460693</v>
      </c>
      <c r="H4271" s="5" t="s">
        <v>86</v>
      </c>
      <c r="I4271" t="s">
        <v>57</v>
      </c>
    </row>
    <row r="4272" spans="1:9">
      <c r="A4272" s="4" t="s">
        <v>8595</v>
      </c>
      <c r="B4272" s="4" t="s">
        <v>8596</v>
      </c>
      <c r="C4272" s="4" t="s">
        <v>41</v>
      </c>
      <c r="D4272" s="2">
        <f>111824800/(10^6)</f>
        <v>111.8248</v>
      </c>
      <c r="E4272" s="5" t="s">
        <v>86</v>
      </c>
      <c r="F4272" s="5">
        <v>2.09477019309998</v>
      </c>
      <c r="G4272" s="5" t="s">
        <v>86</v>
      </c>
      <c r="H4272" s="5" t="s">
        <v>86</v>
      </c>
      <c r="I4272" t="s">
        <v>57</v>
      </c>
    </row>
    <row r="4273" spans="1:9">
      <c r="A4273" s="4" t="s">
        <v>8597</v>
      </c>
      <c r="B4273" s="4" t="s">
        <v>8598</v>
      </c>
      <c r="C4273" s="4" t="s">
        <v>47</v>
      </c>
      <c r="D4273" s="2">
        <f>111797320/(10^6)</f>
        <v>111.79732</v>
      </c>
      <c r="E4273" s="5">
        <v>11.7804889678955</v>
      </c>
      <c r="F4273" s="5">
        <v>0.473113536834717</v>
      </c>
      <c r="G4273" s="5">
        <v>0.147005870938301</v>
      </c>
      <c r="H4273" s="5">
        <v>25.1617183685303</v>
      </c>
      <c r="I4273" t="s">
        <v>57</v>
      </c>
    </row>
    <row r="4274" spans="1:9">
      <c r="A4274" s="4" t="s">
        <v>8599</v>
      </c>
      <c r="B4274" s="4" t="s">
        <v>8600</v>
      </c>
      <c r="C4274" s="4" t="s">
        <v>49</v>
      </c>
      <c r="D4274" s="2">
        <f>111048824/(10^6)</f>
        <v>111.048824</v>
      </c>
      <c r="E4274" s="5" t="s">
        <v>86</v>
      </c>
      <c r="F4274" s="5" t="s">
        <v>86</v>
      </c>
      <c r="G4274" s="5" t="s">
        <v>86</v>
      </c>
      <c r="H4274" s="5" t="s">
        <v>86</v>
      </c>
      <c r="I4274" t="s">
        <v>57</v>
      </c>
    </row>
    <row r="4275" spans="1:9">
      <c r="A4275" s="4" t="s">
        <v>8601</v>
      </c>
      <c r="B4275" s="4" t="s">
        <v>8602</v>
      </c>
      <c r="C4275" s="4" t="s">
        <v>43</v>
      </c>
      <c r="D4275" s="2">
        <f>111004808/(10^6)</f>
        <v>111.004808</v>
      </c>
      <c r="E4275" s="5">
        <v>17.3043479919434</v>
      </c>
      <c r="F4275" s="5">
        <v>0.984085142612457</v>
      </c>
      <c r="G4275" s="5">
        <v>2.23717594146729</v>
      </c>
      <c r="H4275" s="5" t="s">
        <v>86</v>
      </c>
      <c r="I4275" t="s">
        <v>57</v>
      </c>
    </row>
    <row r="4276" spans="1:9">
      <c r="A4276" s="4" t="s">
        <v>8603</v>
      </c>
      <c r="B4276" s="4" t="s">
        <v>8604</v>
      </c>
      <c r="C4276" s="4" t="s">
        <v>45</v>
      </c>
      <c r="D4276" s="2">
        <f>111000000/(10^6)</f>
        <v>111</v>
      </c>
      <c r="E4276" s="5">
        <v>22.4323997497559</v>
      </c>
      <c r="F4276" s="5">
        <v>2.80566740036011</v>
      </c>
      <c r="G4276" s="5">
        <v>4.80084323883057</v>
      </c>
      <c r="H4276" s="5">
        <v>16.9881210327148</v>
      </c>
      <c r="I4276" t="s">
        <v>57</v>
      </c>
    </row>
    <row r="4277" spans="1:9">
      <c r="A4277" s="4" t="s">
        <v>8605</v>
      </c>
      <c r="B4277" s="4" t="s">
        <v>8606</v>
      </c>
      <c r="C4277" s="4" t="s">
        <v>41</v>
      </c>
      <c r="D4277" s="2">
        <f>110966824/(10^6)</f>
        <v>110.966824</v>
      </c>
      <c r="E4277" s="5" t="s">
        <v>86</v>
      </c>
      <c r="F4277" s="5">
        <v>1.34314274787903</v>
      </c>
      <c r="G4277" s="5">
        <v>1.07829809188843</v>
      </c>
      <c r="H4277" s="5" t="s">
        <v>86</v>
      </c>
      <c r="I4277" t="s">
        <v>57</v>
      </c>
    </row>
    <row r="4278" spans="1:9">
      <c r="A4278" s="4" t="s">
        <v>8607</v>
      </c>
      <c r="B4278" s="4" t="s">
        <v>8608</v>
      </c>
      <c r="C4278" s="4" t="s">
        <v>41</v>
      </c>
      <c r="D4278" s="2">
        <f>110937504/(10^6)</f>
        <v>110.937504</v>
      </c>
      <c r="E4278" s="5" t="s">
        <v>86</v>
      </c>
      <c r="F4278" s="5">
        <v>8.43971538543701</v>
      </c>
      <c r="G4278" s="5" t="s">
        <v>86</v>
      </c>
      <c r="H4278" s="5" t="s">
        <v>86</v>
      </c>
      <c r="I4278" t="s">
        <v>57</v>
      </c>
    </row>
    <row r="4279" spans="1:9">
      <c r="A4279" s="4" t="s">
        <v>8609</v>
      </c>
      <c r="B4279" s="4" t="s">
        <v>8610</v>
      </c>
      <c r="C4279" s="4" t="s">
        <v>27</v>
      </c>
      <c r="D4279" s="2">
        <f>110884408/(10^6)</f>
        <v>110.884408</v>
      </c>
      <c r="E4279" s="5">
        <v>1.20509469509125</v>
      </c>
      <c r="F4279" s="5">
        <v>0.253844678401947</v>
      </c>
      <c r="G4279" s="5">
        <v>0.082573398947716</v>
      </c>
      <c r="H4279" s="5">
        <v>2.47076797485352</v>
      </c>
      <c r="I4279" t="s">
        <v>57</v>
      </c>
    </row>
    <row r="4280" spans="1:9">
      <c r="A4280" s="4" t="s">
        <v>8611</v>
      </c>
      <c r="B4280" s="4" t="s">
        <v>8612</v>
      </c>
      <c r="C4280" s="4" t="s">
        <v>41</v>
      </c>
      <c r="D4280" s="2">
        <f>110791576/(10^6)</f>
        <v>110.791576</v>
      </c>
      <c r="E4280" s="5" t="s">
        <v>86</v>
      </c>
      <c r="F4280" s="5">
        <v>2.46368288993835</v>
      </c>
      <c r="G4280" s="5">
        <v>4.10966110229492</v>
      </c>
      <c r="H4280" s="5" t="s">
        <v>86</v>
      </c>
      <c r="I4280" t="s">
        <v>57</v>
      </c>
    </row>
    <row r="4281" spans="1:9">
      <c r="A4281" s="4" t="s">
        <v>8613</v>
      </c>
      <c r="B4281" s="4" t="s">
        <v>8614</v>
      </c>
      <c r="C4281" s="4" t="s">
        <v>43</v>
      </c>
      <c r="D4281" s="2">
        <f>110699144/(10^6)</f>
        <v>110.699144</v>
      </c>
      <c r="E4281" s="5">
        <v>4.3430323600769</v>
      </c>
      <c r="F4281" s="5">
        <v>0.52014547586441</v>
      </c>
      <c r="G4281" s="5">
        <v>0.669971644878387</v>
      </c>
      <c r="H4281" s="5">
        <v>1.12337267398834</v>
      </c>
      <c r="I4281" t="s">
        <v>57</v>
      </c>
    </row>
    <row r="4282" spans="1:9">
      <c r="A4282" s="4" t="s">
        <v>8615</v>
      </c>
      <c r="B4282" s="4" t="s">
        <v>8616</v>
      </c>
      <c r="C4282" s="4" t="s">
        <v>31</v>
      </c>
      <c r="D4282" s="2">
        <f>110511896/(10^6)</f>
        <v>110.511896</v>
      </c>
      <c r="E4282" s="5">
        <v>9.21030521392822</v>
      </c>
      <c r="F4282" s="5">
        <v>0.52498334646225</v>
      </c>
      <c r="G4282" s="5">
        <v>0.186657533049583</v>
      </c>
      <c r="H4282" s="5">
        <v>4.61519908905029</v>
      </c>
      <c r="I4282" t="s">
        <v>57</v>
      </c>
    </row>
    <row r="4283" spans="1:9">
      <c r="A4283" s="4" t="s">
        <v>8617</v>
      </c>
      <c r="B4283" s="4" t="s">
        <v>8618</v>
      </c>
      <c r="C4283" s="4" t="s">
        <v>43</v>
      </c>
      <c r="D4283" s="2">
        <f>110493408/(10^6)</f>
        <v>110.493408</v>
      </c>
      <c r="E4283" s="5">
        <v>7.19491529464722</v>
      </c>
      <c r="F4283" s="5">
        <v>0.697105765342712</v>
      </c>
      <c r="G4283" s="5">
        <v>1.43711411952972</v>
      </c>
      <c r="H4283" s="5" t="s">
        <v>86</v>
      </c>
      <c r="I4283" t="s">
        <v>57</v>
      </c>
    </row>
    <row r="4284" spans="1:9">
      <c r="A4284" s="4" t="s">
        <v>8619</v>
      </c>
      <c r="B4284" s="4" t="s">
        <v>8620</v>
      </c>
      <c r="C4284" s="4" t="s">
        <v>41</v>
      </c>
      <c r="D4284" s="2">
        <f>110424872/(10^6)</f>
        <v>110.424872</v>
      </c>
      <c r="E4284" s="5" t="s">
        <v>86</v>
      </c>
      <c r="F4284" s="5">
        <v>2.15035271644592</v>
      </c>
      <c r="G4284" s="5">
        <v>2.20177268981934</v>
      </c>
      <c r="H4284" s="5" t="s">
        <v>86</v>
      </c>
      <c r="I4284" t="s">
        <v>57</v>
      </c>
    </row>
    <row r="4285" spans="1:9">
      <c r="A4285" s="4" t="s">
        <v>8621</v>
      </c>
      <c r="B4285" s="4" t="s">
        <v>8622</v>
      </c>
      <c r="C4285" s="4" t="s">
        <v>51</v>
      </c>
      <c r="D4285" s="2">
        <f>110401920/(10^6)</f>
        <v>110.40192</v>
      </c>
      <c r="E4285" s="5">
        <v>50.2194213867188</v>
      </c>
      <c r="F4285" s="5">
        <v>0.549904704093933</v>
      </c>
      <c r="G4285" s="5">
        <v>0.18785747885704</v>
      </c>
      <c r="H4285" s="5">
        <v>7.96530294418335</v>
      </c>
      <c r="I4285" t="s">
        <v>57</v>
      </c>
    </row>
    <row r="4286" spans="1:9">
      <c r="A4286" s="4" t="s">
        <v>8623</v>
      </c>
      <c r="B4286" s="4" t="s">
        <v>8624</v>
      </c>
      <c r="C4286" s="4" t="s">
        <v>51</v>
      </c>
      <c r="D4286" s="2">
        <f>110401920/(10^6)</f>
        <v>110.40192</v>
      </c>
      <c r="E4286" s="5">
        <v>50.2194213867188</v>
      </c>
      <c r="F4286" s="5">
        <v>0.549904704093933</v>
      </c>
      <c r="G4286" s="5">
        <v>0.18785747885704</v>
      </c>
      <c r="H4286" s="5">
        <v>7.96530294418335</v>
      </c>
      <c r="I4286" t="s">
        <v>57</v>
      </c>
    </row>
    <row r="4287" spans="1:9">
      <c r="A4287" s="4" t="s">
        <v>8625</v>
      </c>
      <c r="B4287" s="4" t="s">
        <v>8626</v>
      </c>
      <c r="C4287" s="4" t="s">
        <v>43</v>
      </c>
      <c r="D4287" s="2">
        <f>110300168/(10^6)</f>
        <v>110.300168</v>
      </c>
      <c r="E4287" s="5">
        <v>5.50232791900635</v>
      </c>
      <c r="F4287" s="5">
        <v>0.67917799949646</v>
      </c>
      <c r="G4287" s="5">
        <v>1.2456613779068</v>
      </c>
      <c r="H4287" s="5" t="s">
        <v>86</v>
      </c>
      <c r="I4287" t="s">
        <v>57</v>
      </c>
    </row>
    <row r="4288" spans="1:9">
      <c r="A4288" s="4" t="s">
        <v>8627</v>
      </c>
      <c r="B4288" s="4" t="s">
        <v>8628</v>
      </c>
      <c r="C4288" s="4" t="s">
        <v>33</v>
      </c>
      <c r="D4288" s="2">
        <f>110057296/(10^6)</f>
        <v>110.057296</v>
      </c>
      <c r="E4288" s="5">
        <v>59.6168098449707</v>
      </c>
      <c r="F4288" s="5">
        <v>0.521562516689301</v>
      </c>
      <c r="G4288" s="5">
        <v>0.405054539442062</v>
      </c>
      <c r="H4288" s="5">
        <v>7.24689340591431</v>
      </c>
      <c r="I4288" t="s">
        <v>57</v>
      </c>
    </row>
    <row r="4289" spans="1:9">
      <c r="A4289" s="4" t="s">
        <v>8629</v>
      </c>
      <c r="B4289" s="4" t="s">
        <v>8630</v>
      </c>
      <c r="C4289" s="4" t="s">
        <v>41</v>
      </c>
      <c r="D4289" s="2">
        <f>109869400/(10^6)</f>
        <v>109.8694</v>
      </c>
      <c r="E4289" s="5">
        <v>112.833335876465</v>
      </c>
      <c r="F4289" s="5">
        <v>3.91481995582581</v>
      </c>
      <c r="G4289" s="5">
        <v>2.19815397262573</v>
      </c>
      <c r="H4289" s="5">
        <v>28.3754062652588</v>
      </c>
      <c r="I4289" t="s">
        <v>57</v>
      </c>
    </row>
    <row r="4290" spans="1:9">
      <c r="A4290" s="4" t="s">
        <v>8631</v>
      </c>
      <c r="B4290" s="4" t="s">
        <v>8632</v>
      </c>
      <c r="C4290" s="4" t="s">
        <v>43</v>
      </c>
      <c r="D4290" s="2">
        <f>109630000/(10^6)</f>
        <v>109.63</v>
      </c>
      <c r="E4290" s="5" t="s">
        <v>86</v>
      </c>
      <c r="F4290" s="5" t="s">
        <v>86</v>
      </c>
      <c r="G4290" s="5" t="s">
        <v>86</v>
      </c>
      <c r="H4290" s="5" t="s">
        <v>86</v>
      </c>
      <c r="I4290" t="s">
        <v>57</v>
      </c>
    </row>
    <row r="4291" spans="1:9">
      <c r="A4291" s="4" t="s">
        <v>8633</v>
      </c>
      <c r="B4291" s="4" t="s">
        <v>8634</v>
      </c>
      <c r="C4291" s="4" t="s">
        <v>41</v>
      </c>
      <c r="D4291" s="2">
        <f>109499568/(10^6)</f>
        <v>109.499568</v>
      </c>
      <c r="E4291" s="5" t="s">
        <v>86</v>
      </c>
      <c r="F4291" s="5">
        <v>2.57141709327698</v>
      </c>
      <c r="G4291" s="5" t="s">
        <v>86</v>
      </c>
      <c r="H4291" s="5" t="s">
        <v>86</v>
      </c>
      <c r="I4291" t="s">
        <v>57</v>
      </c>
    </row>
    <row r="4292" spans="1:9">
      <c r="A4292" s="4" t="s">
        <v>8635</v>
      </c>
      <c r="B4292" s="4" t="s">
        <v>8636</v>
      </c>
      <c r="C4292" s="4" t="s">
        <v>31</v>
      </c>
      <c r="D4292" s="2">
        <f>109446968/(10^6)</f>
        <v>109.446968</v>
      </c>
      <c r="E4292" s="5" t="s">
        <v>86</v>
      </c>
      <c r="F4292" s="5" t="s">
        <v>86</v>
      </c>
      <c r="G4292" s="5">
        <v>91.5316314697266</v>
      </c>
      <c r="H4292" s="5" t="s">
        <v>86</v>
      </c>
      <c r="I4292" t="s">
        <v>57</v>
      </c>
    </row>
    <row r="4293" spans="1:9">
      <c r="A4293" s="4" t="s">
        <v>8637</v>
      </c>
      <c r="B4293" s="4" t="s">
        <v>8638</v>
      </c>
      <c r="C4293" s="4" t="s">
        <v>41</v>
      </c>
      <c r="D4293" s="2">
        <f>109303592/(10^6)</f>
        <v>109.303592</v>
      </c>
      <c r="E4293" s="5" t="s">
        <v>86</v>
      </c>
      <c r="F4293" s="5">
        <v>1.07376205921173</v>
      </c>
      <c r="G4293" s="5" t="s">
        <v>86</v>
      </c>
      <c r="H4293" s="5" t="s">
        <v>86</v>
      </c>
      <c r="I4293" t="s">
        <v>57</v>
      </c>
    </row>
    <row r="4294" spans="1:9">
      <c r="A4294" s="4" t="s">
        <v>8639</v>
      </c>
      <c r="B4294" s="4" t="s">
        <v>8640</v>
      </c>
      <c r="C4294" s="4" t="s">
        <v>41</v>
      </c>
      <c r="D4294" s="2">
        <f>109228416/(10^6)</f>
        <v>109.228416</v>
      </c>
      <c r="E4294" s="5" t="s">
        <v>86</v>
      </c>
      <c r="F4294" s="5">
        <v>0.627390325069427</v>
      </c>
      <c r="G4294" s="5">
        <v>0.741223156452179</v>
      </c>
      <c r="H4294" s="5" t="s">
        <v>86</v>
      </c>
      <c r="I4294" t="s">
        <v>57</v>
      </c>
    </row>
    <row r="4295" spans="1:9">
      <c r="A4295" s="4" t="s">
        <v>8641</v>
      </c>
      <c r="B4295" s="4" t="s">
        <v>8642</v>
      </c>
      <c r="C4295" s="4" t="s">
        <v>43</v>
      </c>
      <c r="D4295" s="2">
        <f>109088784/(10^6)</f>
        <v>109.088784</v>
      </c>
      <c r="E4295" s="5">
        <v>7.84680652618408</v>
      </c>
      <c r="F4295" s="5">
        <v>0.810806632041931</v>
      </c>
      <c r="G4295" s="5">
        <v>1.71144604682922</v>
      </c>
      <c r="H4295" s="5" t="s">
        <v>86</v>
      </c>
      <c r="I4295" t="s">
        <v>57</v>
      </c>
    </row>
    <row r="4296" spans="1:9">
      <c r="A4296" s="4" t="s">
        <v>8643</v>
      </c>
      <c r="B4296" s="4" t="s">
        <v>8644</v>
      </c>
      <c r="C4296" s="4" t="s">
        <v>43</v>
      </c>
      <c r="D4296" s="2">
        <f>108761184/(10^6)</f>
        <v>108.761184</v>
      </c>
      <c r="E4296" s="5">
        <v>8.2006196975708</v>
      </c>
      <c r="F4296" s="5">
        <v>0.842086315155029</v>
      </c>
      <c r="G4296" s="5">
        <v>1.44449651241302</v>
      </c>
      <c r="H4296" s="5" t="s">
        <v>86</v>
      </c>
      <c r="I4296" t="s">
        <v>57</v>
      </c>
    </row>
    <row r="4297" spans="1:9">
      <c r="A4297" s="4" t="s">
        <v>8645</v>
      </c>
      <c r="B4297" s="4" t="s">
        <v>8646</v>
      </c>
      <c r="C4297" s="4" t="s">
        <v>33</v>
      </c>
      <c r="D4297" s="2">
        <f>108720400/(10^6)</f>
        <v>108.7204</v>
      </c>
      <c r="E4297" s="5" t="s">
        <v>86</v>
      </c>
      <c r="F4297" s="5">
        <v>0.64376175403595</v>
      </c>
      <c r="G4297" s="5">
        <v>0.326247662305832</v>
      </c>
      <c r="H4297" s="5">
        <v>8.61685180664062</v>
      </c>
      <c r="I4297" t="s">
        <v>57</v>
      </c>
    </row>
    <row r="4298" spans="1:9">
      <c r="A4298" s="4" t="s">
        <v>8647</v>
      </c>
      <c r="B4298" s="4" t="s">
        <v>8648</v>
      </c>
      <c r="C4298" s="4" t="s">
        <v>33</v>
      </c>
      <c r="D4298" s="2">
        <f>108720400/(10^6)</f>
        <v>108.7204</v>
      </c>
      <c r="E4298" s="5" t="s">
        <v>86</v>
      </c>
      <c r="F4298" s="5">
        <v>0.64376175403595</v>
      </c>
      <c r="G4298" s="5">
        <v>0.326247662305832</v>
      </c>
      <c r="H4298" s="5">
        <v>8.61685180664062</v>
      </c>
      <c r="I4298" t="s">
        <v>57</v>
      </c>
    </row>
    <row r="4299" spans="1:9">
      <c r="A4299" s="4" t="s">
        <v>8649</v>
      </c>
      <c r="B4299" s="4" t="s">
        <v>8650</v>
      </c>
      <c r="C4299" s="4" t="s">
        <v>43</v>
      </c>
      <c r="D4299" s="2">
        <f>108632864/(10^6)</f>
        <v>108.632864</v>
      </c>
      <c r="E4299" s="5">
        <v>7.14247465133667</v>
      </c>
      <c r="F4299" s="5">
        <v>0.936587035655975</v>
      </c>
      <c r="G4299" s="5">
        <v>2.33540678024292</v>
      </c>
      <c r="H4299" s="5" t="s">
        <v>86</v>
      </c>
      <c r="I4299" t="s">
        <v>57</v>
      </c>
    </row>
    <row r="4300" spans="1:9">
      <c r="A4300" s="4" t="s">
        <v>8651</v>
      </c>
      <c r="B4300" s="4" t="s">
        <v>8652</v>
      </c>
      <c r="C4300" s="4" t="s">
        <v>35</v>
      </c>
      <c r="D4300" s="2">
        <f>108610000/(10^6)</f>
        <v>108.61</v>
      </c>
      <c r="E4300" s="5" t="s">
        <v>86</v>
      </c>
      <c r="F4300" s="5" t="s">
        <v>86</v>
      </c>
      <c r="G4300" s="5" t="s">
        <v>86</v>
      </c>
      <c r="H4300" s="5" t="s">
        <v>86</v>
      </c>
      <c r="I4300" t="s">
        <v>57</v>
      </c>
    </row>
    <row r="4301" spans="1:9">
      <c r="A4301" s="4" t="s">
        <v>8653</v>
      </c>
      <c r="B4301" s="4" t="s">
        <v>8654</v>
      </c>
      <c r="C4301" s="4" t="s">
        <v>47</v>
      </c>
      <c r="D4301" s="2">
        <f>108346064/(10^6)</f>
        <v>108.346064</v>
      </c>
      <c r="E4301" s="5">
        <v>6.37732839584351</v>
      </c>
      <c r="F4301" s="5">
        <v>0.633439004421234</v>
      </c>
      <c r="G4301" s="5">
        <v>0.138649091124535</v>
      </c>
      <c r="H4301" s="5">
        <v>3.26578879356384</v>
      </c>
      <c r="I4301" t="s">
        <v>57</v>
      </c>
    </row>
    <row r="4302" spans="1:9">
      <c r="A4302" s="4" t="s">
        <v>8655</v>
      </c>
      <c r="B4302" s="4" t="s">
        <v>8656</v>
      </c>
      <c r="C4302" s="4" t="s">
        <v>45</v>
      </c>
      <c r="D4302" s="2">
        <f>108262720/(10^6)</f>
        <v>108.26272</v>
      </c>
      <c r="E4302" s="5" t="s">
        <v>86</v>
      </c>
      <c r="F4302" s="5" t="s">
        <v>86</v>
      </c>
      <c r="G4302" s="5" t="s">
        <v>86</v>
      </c>
      <c r="H4302" s="5" t="s">
        <v>86</v>
      </c>
      <c r="I4302" t="s">
        <v>57</v>
      </c>
    </row>
    <row r="4303" spans="1:9">
      <c r="A4303" s="4" t="s">
        <v>8657</v>
      </c>
      <c r="B4303" s="4" t="s">
        <v>8658</v>
      </c>
      <c r="C4303" s="4" t="s">
        <v>41</v>
      </c>
      <c r="D4303" s="2">
        <f>108217312/(10^6)</f>
        <v>108.217312</v>
      </c>
      <c r="E4303" s="5" t="s">
        <v>86</v>
      </c>
      <c r="F4303" s="5" t="s">
        <v>86</v>
      </c>
      <c r="G4303" s="5">
        <v>0.537979543209076</v>
      </c>
      <c r="H4303" s="5" t="s">
        <v>86</v>
      </c>
      <c r="I4303" t="s">
        <v>57</v>
      </c>
    </row>
    <row r="4304" spans="1:9">
      <c r="A4304" s="4" t="s">
        <v>8659</v>
      </c>
      <c r="B4304" s="4" t="s">
        <v>8660</v>
      </c>
      <c r="C4304" s="4" t="s">
        <v>47</v>
      </c>
      <c r="D4304" s="2">
        <f>108022720/(10^6)</f>
        <v>108.02272</v>
      </c>
      <c r="E4304" s="5" t="s">
        <v>86</v>
      </c>
      <c r="F4304" s="5">
        <v>0.338171482086182</v>
      </c>
      <c r="G4304" s="5">
        <v>0.060791909694672</v>
      </c>
      <c r="H4304" s="5">
        <v>9.04296779632568</v>
      </c>
      <c r="I4304" t="s">
        <v>57</v>
      </c>
    </row>
    <row r="4305" spans="1:9">
      <c r="A4305" s="4" t="s">
        <v>8661</v>
      </c>
      <c r="B4305" s="4" t="s">
        <v>8662</v>
      </c>
      <c r="C4305" s="4" t="s">
        <v>43</v>
      </c>
      <c r="D4305" s="2">
        <f>107961616/(10^6)</f>
        <v>107.961616</v>
      </c>
      <c r="E4305" s="5" t="s">
        <v>86</v>
      </c>
      <c r="F4305" s="5">
        <v>0.82588142156601</v>
      </c>
      <c r="G4305" s="5">
        <v>2.4563455581665</v>
      </c>
      <c r="H4305" s="5" t="s">
        <v>86</v>
      </c>
      <c r="I4305" t="s">
        <v>57</v>
      </c>
    </row>
    <row r="4306" spans="1:9">
      <c r="A4306" s="4" t="s">
        <v>8663</v>
      </c>
      <c r="B4306" s="4" t="s">
        <v>8664</v>
      </c>
      <c r="C4306" s="4" t="s">
        <v>43</v>
      </c>
      <c r="D4306" s="2">
        <f>107909984/(10^6)</f>
        <v>107.909984</v>
      </c>
      <c r="E4306" s="5">
        <v>25.0659523010254</v>
      </c>
      <c r="F4306" s="5">
        <v>1.24891483783722</v>
      </c>
      <c r="G4306" s="5">
        <v>4.67927265167236</v>
      </c>
      <c r="H4306" s="5" t="s">
        <v>86</v>
      </c>
      <c r="I4306" t="s">
        <v>57</v>
      </c>
    </row>
    <row r="4307" spans="1:9">
      <c r="A4307" s="4" t="s">
        <v>8665</v>
      </c>
      <c r="B4307" s="4" t="s">
        <v>8666</v>
      </c>
      <c r="C4307" s="4" t="s">
        <v>43</v>
      </c>
      <c r="D4307" s="2">
        <f>107628656/(10^6)</f>
        <v>107.628656</v>
      </c>
      <c r="E4307" s="5">
        <v>12.8888883590698</v>
      </c>
      <c r="F4307" s="5">
        <v>0.115577906370163</v>
      </c>
      <c r="G4307" s="5">
        <v>0.129734307527542</v>
      </c>
      <c r="H4307" s="5">
        <v>7.30405712127686</v>
      </c>
      <c r="I4307" t="s">
        <v>57</v>
      </c>
    </row>
    <row r="4308" spans="1:9">
      <c r="A4308" s="4" t="s">
        <v>8667</v>
      </c>
      <c r="B4308" s="4" t="s">
        <v>8668</v>
      </c>
      <c r="C4308" s="4" t="s">
        <v>51</v>
      </c>
      <c r="D4308" s="2">
        <f>107578048/(10^6)</f>
        <v>107.578048</v>
      </c>
      <c r="E4308" s="5">
        <v>41.8706512451172</v>
      </c>
      <c r="F4308" s="5">
        <v>2.95025396347046</v>
      </c>
      <c r="G4308" s="5">
        <v>2.9869978427887</v>
      </c>
      <c r="H4308" s="5">
        <v>25.9293537139893</v>
      </c>
      <c r="I4308" t="s">
        <v>57</v>
      </c>
    </row>
    <row r="4309" spans="1:9">
      <c r="A4309" s="4" t="s">
        <v>8669</v>
      </c>
      <c r="B4309" s="4" t="s">
        <v>8670</v>
      </c>
      <c r="C4309" s="4" t="s">
        <v>51</v>
      </c>
      <c r="D4309" s="2">
        <f>107326520/(10^6)</f>
        <v>107.32652</v>
      </c>
      <c r="E4309" s="5">
        <v>149.800003051758</v>
      </c>
      <c r="F4309" s="5">
        <v>1.83759307861328</v>
      </c>
      <c r="G4309" s="5">
        <v>1.79796934127808</v>
      </c>
      <c r="H4309" s="5">
        <v>18.2291126251221</v>
      </c>
      <c r="I4309" t="s">
        <v>57</v>
      </c>
    </row>
    <row r="4310" spans="1:9">
      <c r="A4310" s="4" t="s">
        <v>8671</v>
      </c>
      <c r="B4310" s="4" t="s">
        <v>8672</v>
      </c>
      <c r="C4310" s="4" t="s">
        <v>43</v>
      </c>
      <c r="D4310" s="2">
        <f>106958264/(10^6)</f>
        <v>106.958264</v>
      </c>
      <c r="E4310" s="5">
        <v>44.2892227172852</v>
      </c>
      <c r="F4310" s="5">
        <v>1.01819431781769</v>
      </c>
      <c r="G4310" s="5">
        <v>4.34229803085327</v>
      </c>
      <c r="H4310" s="5" t="s">
        <v>86</v>
      </c>
      <c r="I4310" t="s">
        <v>57</v>
      </c>
    </row>
    <row r="4311" spans="1:9">
      <c r="A4311" s="4" t="s">
        <v>8673</v>
      </c>
      <c r="B4311" s="4" t="s">
        <v>8674</v>
      </c>
      <c r="C4311" s="4" t="s">
        <v>43</v>
      </c>
      <c r="D4311" s="2">
        <f>106660512/(10^6)</f>
        <v>106.660512</v>
      </c>
      <c r="E4311" s="5">
        <v>6.86669921875</v>
      </c>
      <c r="F4311" s="5" t="s">
        <v>86</v>
      </c>
      <c r="G4311" s="5" t="s">
        <v>86</v>
      </c>
      <c r="H4311" s="5" t="s">
        <v>86</v>
      </c>
      <c r="I4311" t="s">
        <v>57</v>
      </c>
    </row>
    <row r="4312" spans="1:9">
      <c r="A4312" s="4" t="s">
        <v>8675</v>
      </c>
      <c r="B4312" s="4" t="s">
        <v>8676</v>
      </c>
      <c r="C4312" s="4" t="s">
        <v>43</v>
      </c>
      <c r="D4312" s="2">
        <f>106158336/(10^6)</f>
        <v>106.158336</v>
      </c>
      <c r="E4312" s="5">
        <v>10.333625793457</v>
      </c>
      <c r="F4312" s="5">
        <v>0.824517786502838</v>
      </c>
      <c r="G4312" s="5">
        <v>2.3222963809967</v>
      </c>
      <c r="H4312" s="5" t="s">
        <v>86</v>
      </c>
      <c r="I4312" t="s">
        <v>57</v>
      </c>
    </row>
    <row r="4313" spans="1:9">
      <c r="A4313" s="4" t="s">
        <v>8677</v>
      </c>
      <c r="B4313" s="4" t="s">
        <v>8678</v>
      </c>
      <c r="C4313" s="4" t="s">
        <v>41</v>
      </c>
      <c r="D4313" s="2">
        <f>106078984/(10^6)</f>
        <v>106.078984</v>
      </c>
      <c r="E4313" s="5" t="s">
        <v>86</v>
      </c>
      <c r="F4313" s="5">
        <v>0.569252133369446</v>
      </c>
      <c r="G4313" s="5" t="s">
        <v>86</v>
      </c>
      <c r="H4313" s="5" t="s">
        <v>86</v>
      </c>
      <c r="I4313" t="s">
        <v>57</v>
      </c>
    </row>
    <row r="4314" spans="1:9">
      <c r="A4314" s="4" t="s">
        <v>8679</v>
      </c>
      <c r="B4314" s="4" t="s">
        <v>8680</v>
      </c>
      <c r="C4314" s="4" t="s">
        <v>43</v>
      </c>
      <c r="D4314" s="2">
        <f>105967120/(10^6)</f>
        <v>105.96712</v>
      </c>
      <c r="E4314" s="5">
        <v>11.5273780822754</v>
      </c>
      <c r="F4314" s="5" t="s">
        <v>86</v>
      </c>
      <c r="G4314" s="5" t="s">
        <v>86</v>
      </c>
      <c r="H4314" s="5" t="s">
        <v>86</v>
      </c>
      <c r="I4314" t="s">
        <v>57</v>
      </c>
    </row>
    <row r="4315" spans="1:9">
      <c r="A4315" s="4" t="s">
        <v>8681</v>
      </c>
      <c r="B4315" s="4" t="s">
        <v>8682</v>
      </c>
      <c r="C4315" s="4" t="s">
        <v>43</v>
      </c>
      <c r="D4315" s="2">
        <f>105960288/(10^6)</f>
        <v>105.960288</v>
      </c>
      <c r="E4315" s="5">
        <v>19.6666660308838</v>
      </c>
      <c r="F4315" s="5">
        <v>0.856064796447754</v>
      </c>
      <c r="G4315" s="5">
        <v>2.07953214645386</v>
      </c>
      <c r="H4315" s="5" t="s">
        <v>86</v>
      </c>
      <c r="I4315" t="s">
        <v>57</v>
      </c>
    </row>
    <row r="4316" spans="1:9">
      <c r="A4316" s="4" t="s">
        <v>8683</v>
      </c>
      <c r="B4316" s="4" t="s">
        <v>8684</v>
      </c>
      <c r="C4316" s="4" t="s">
        <v>45</v>
      </c>
      <c r="D4316" s="2">
        <f>105717960/(10^6)</f>
        <v>105.71796</v>
      </c>
      <c r="E4316" s="5" t="s">
        <v>86</v>
      </c>
      <c r="F4316" s="5">
        <v>1.71111488342285</v>
      </c>
      <c r="G4316" s="5" t="s">
        <v>86</v>
      </c>
      <c r="H4316" s="5" t="s">
        <v>86</v>
      </c>
      <c r="I4316" t="s">
        <v>57</v>
      </c>
    </row>
    <row r="4317" spans="1:9">
      <c r="A4317" s="4" t="s">
        <v>8685</v>
      </c>
      <c r="B4317" s="4" t="s">
        <v>8686</v>
      </c>
      <c r="C4317" s="4" t="s">
        <v>43</v>
      </c>
      <c r="D4317" s="2">
        <f>105666704/(10^6)</f>
        <v>105.666704</v>
      </c>
      <c r="E4317" s="5">
        <v>27.4005527496338</v>
      </c>
      <c r="F4317" s="5">
        <v>1.35793590545654</v>
      </c>
      <c r="G4317" s="5">
        <v>4.98064613342285</v>
      </c>
      <c r="H4317" s="5" t="s">
        <v>86</v>
      </c>
      <c r="I4317" t="s">
        <v>57</v>
      </c>
    </row>
    <row r="4318" spans="1:9">
      <c r="A4318" s="4" t="s">
        <v>8687</v>
      </c>
      <c r="B4318" s="4" t="s">
        <v>8688</v>
      </c>
      <c r="C4318" s="4" t="s">
        <v>43</v>
      </c>
      <c r="D4318" s="2">
        <f>105410288/(10^6)</f>
        <v>105.410288</v>
      </c>
      <c r="E4318" s="5">
        <v>7.42308521270752</v>
      </c>
      <c r="F4318" s="5">
        <v>0.705140709877014</v>
      </c>
      <c r="G4318" s="5">
        <v>1.7526398897171</v>
      </c>
      <c r="H4318" s="5" t="s">
        <v>86</v>
      </c>
      <c r="I4318" t="s">
        <v>57</v>
      </c>
    </row>
    <row r="4319" spans="1:9">
      <c r="A4319" s="4" t="s">
        <v>8689</v>
      </c>
      <c r="B4319" s="4" t="s">
        <v>8690</v>
      </c>
      <c r="C4319" s="4" t="s">
        <v>41</v>
      </c>
      <c r="D4319" s="2">
        <f>105349384/(10^6)</f>
        <v>105.349384</v>
      </c>
      <c r="E4319" s="5" t="s">
        <v>86</v>
      </c>
      <c r="F4319" s="5">
        <v>4.21042251586914</v>
      </c>
      <c r="G4319" s="5" t="s">
        <v>86</v>
      </c>
      <c r="H4319" s="5" t="s">
        <v>86</v>
      </c>
      <c r="I4319" t="s">
        <v>57</v>
      </c>
    </row>
    <row r="4320" spans="1:9">
      <c r="A4320" s="4" t="s">
        <v>8691</v>
      </c>
      <c r="B4320" s="4" t="s">
        <v>8692</v>
      </c>
      <c r="C4320" s="4" t="s">
        <v>31</v>
      </c>
      <c r="D4320" s="2">
        <f>104426248/(10^6)</f>
        <v>104.426248</v>
      </c>
      <c r="E4320" s="5" t="s">
        <v>86</v>
      </c>
      <c r="F4320" s="5">
        <v>0.444068670272827</v>
      </c>
      <c r="G4320" s="5">
        <v>0.071750827133656</v>
      </c>
      <c r="H4320" s="5">
        <v>23.1396560668945</v>
      </c>
      <c r="I4320" t="s">
        <v>57</v>
      </c>
    </row>
    <row r="4321" spans="1:9">
      <c r="A4321" s="4" t="s">
        <v>8693</v>
      </c>
      <c r="B4321" s="4" t="s">
        <v>8694</v>
      </c>
      <c r="C4321" s="4" t="s">
        <v>47</v>
      </c>
      <c r="D4321" s="2">
        <f>104005720/(10^6)</f>
        <v>104.00572</v>
      </c>
      <c r="E4321" s="5" t="s">
        <v>86</v>
      </c>
      <c r="F4321" s="5">
        <v>0.922258973121643</v>
      </c>
      <c r="G4321" s="5">
        <v>0.458176225423813</v>
      </c>
      <c r="H4321" s="5" t="s">
        <v>86</v>
      </c>
      <c r="I4321" t="s">
        <v>57</v>
      </c>
    </row>
    <row r="4322" spans="1:9">
      <c r="A4322" s="4" t="s">
        <v>8695</v>
      </c>
      <c r="B4322" s="4" t="s">
        <v>8696</v>
      </c>
      <c r="C4322" s="4" t="s">
        <v>43</v>
      </c>
      <c r="D4322" s="2">
        <f>103910696/(10^6)</f>
        <v>103.910696</v>
      </c>
      <c r="E4322" s="5">
        <v>6.67647075653076</v>
      </c>
      <c r="F4322" s="5">
        <v>0.760722398757935</v>
      </c>
      <c r="G4322" s="5">
        <v>1.52598035335541</v>
      </c>
      <c r="H4322" s="5" t="s">
        <v>86</v>
      </c>
      <c r="I4322" t="s">
        <v>57</v>
      </c>
    </row>
    <row r="4323" spans="1:9">
      <c r="A4323" s="4" t="s">
        <v>8697</v>
      </c>
      <c r="B4323" s="4" t="s">
        <v>8698</v>
      </c>
      <c r="C4323" s="4" t="s">
        <v>31</v>
      </c>
      <c r="D4323" s="2">
        <f>103356840/(10^6)</f>
        <v>103.35684</v>
      </c>
      <c r="E4323" s="5" t="s">
        <v>86</v>
      </c>
      <c r="F4323" s="5">
        <v>1.40220499038696</v>
      </c>
      <c r="G4323" s="5">
        <v>0.0594502389431</v>
      </c>
      <c r="H4323" s="5" t="s">
        <v>86</v>
      </c>
      <c r="I4323" t="s">
        <v>57</v>
      </c>
    </row>
    <row r="4324" spans="1:9">
      <c r="A4324" s="4" t="s">
        <v>8699</v>
      </c>
      <c r="B4324" s="4" t="s">
        <v>8700</v>
      </c>
      <c r="C4324" s="4" t="s">
        <v>43</v>
      </c>
      <c r="D4324" s="2">
        <f>103304408/(10^6)</f>
        <v>103.304408</v>
      </c>
      <c r="E4324" s="5">
        <v>10.2486152648926</v>
      </c>
      <c r="F4324" s="5">
        <v>0.721403419971466</v>
      </c>
      <c r="G4324" s="5">
        <v>6.31505727767944</v>
      </c>
      <c r="H4324" s="5" t="s">
        <v>86</v>
      </c>
      <c r="I4324" t="s">
        <v>57</v>
      </c>
    </row>
    <row r="4325" spans="1:9">
      <c r="A4325" s="4" t="s">
        <v>8701</v>
      </c>
      <c r="B4325" s="4" t="s">
        <v>8702</v>
      </c>
      <c r="C4325" s="4" t="s">
        <v>43</v>
      </c>
      <c r="D4325" s="2">
        <f>103284304/(10^6)</f>
        <v>103.284304</v>
      </c>
      <c r="E4325" s="5" t="s">
        <v>86</v>
      </c>
      <c r="F4325" s="5" t="s">
        <v>86</v>
      </c>
      <c r="G4325" s="5" t="s">
        <v>86</v>
      </c>
      <c r="H4325" s="5" t="s">
        <v>86</v>
      </c>
      <c r="I4325" t="s">
        <v>57</v>
      </c>
    </row>
    <row r="4326" spans="1:9">
      <c r="A4326" s="4" t="s">
        <v>8703</v>
      </c>
      <c r="B4326" s="4" t="s">
        <v>8704</v>
      </c>
      <c r="C4326" s="4" t="s">
        <v>43</v>
      </c>
      <c r="D4326" s="2">
        <f>103257712/(10^6)</f>
        <v>103.257712</v>
      </c>
      <c r="E4326" s="5">
        <v>11.7776651382446</v>
      </c>
      <c r="F4326" s="5">
        <v>0.889462947845459</v>
      </c>
      <c r="G4326" s="5">
        <v>2.49581050872803</v>
      </c>
      <c r="H4326" s="5" t="s">
        <v>86</v>
      </c>
      <c r="I4326" t="s">
        <v>57</v>
      </c>
    </row>
    <row r="4327" spans="1:9">
      <c r="A4327" s="4" t="s">
        <v>8705</v>
      </c>
      <c r="B4327" s="4" t="s">
        <v>8706</v>
      </c>
      <c r="C4327" s="4" t="s">
        <v>43</v>
      </c>
      <c r="D4327" s="2">
        <f>103162456/(10^6)</f>
        <v>103.162456</v>
      </c>
      <c r="E4327" s="5">
        <v>6.5714282989502</v>
      </c>
      <c r="F4327" s="5">
        <v>0.654806137084961</v>
      </c>
      <c r="G4327" s="5">
        <v>1.45154738426208</v>
      </c>
      <c r="H4327" s="5" t="s">
        <v>86</v>
      </c>
      <c r="I4327" t="s">
        <v>57</v>
      </c>
    </row>
    <row r="4328" spans="1:9">
      <c r="A4328" s="4" t="s">
        <v>8707</v>
      </c>
      <c r="B4328" s="4" t="s">
        <v>8708</v>
      </c>
      <c r="C4328" s="4" t="s">
        <v>27</v>
      </c>
      <c r="D4328" s="2">
        <f>103056032/(10^6)</f>
        <v>103.056032</v>
      </c>
      <c r="E4328" s="5" t="s">
        <v>86</v>
      </c>
      <c r="F4328" s="5">
        <v>0.291201382875443</v>
      </c>
      <c r="G4328" s="5">
        <v>0.14211630821228</v>
      </c>
      <c r="H4328" s="5">
        <v>4.40098428726196</v>
      </c>
      <c r="I4328" t="s">
        <v>57</v>
      </c>
    </row>
    <row r="4329" spans="1:9">
      <c r="A4329" s="4" t="s">
        <v>8709</v>
      </c>
      <c r="B4329" s="4" t="s">
        <v>8710</v>
      </c>
      <c r="C4329" s="4" t="s">
        <v>31</v>
      </c>
      <c r="D4329" s="2">
        <f>102854400/(10^6)</f>
        <v>102.8544</v>
      </c>
      <c r="E4329" s="5" t="s">
        <v>86</v>
      </c>
      <c r="F4329" s="5" t="s">
        <v>86</v>
      </c>
      <c r="G4329" s="5" t="s">
        <v>86</v>
      </c>
      <c r="H4329" s="5" t="s">
        <v>86</v>
      </c>
      <c r="I4329" t="s">
        <v>57</v>
      </c>
    </row>
    <row r="4330" spans="1:9">
      <c r="A4330" s="4" t="s">
        <v>8711</v>
      </c>
      <c r="B4330" s="4" t="s">
        <v>8712</v>
      </c>
      <c r="C4330" s="4" t="s">
        <v>37</v>
      </c>
      <c r="D4330" s="2">
        <f>102730464/(10^6)</f>
        <v>102.730464</v>
      </c>
      <c r="E4330" s="5">
        <v>7.44540739059448</v>
      </c>
      <c r="F4330" s="5">
        <v>0.232516542077065</v>
      </c>
      <c r="G4330" s="5">
        <v>0.457358539104462</v>
      </c>
      <c r="H4330" s="5">
        <v>2.59904503822327</v>
      </c>
      <c r="I4330" t="s">
        <v>57</v>
      </c>
    </row>
    <row r="4331" spans="1:9">
      <c r="A4331" s="4" t="s">
        <v>8713</v>
      </c>
      <c r="B4331" s="4" t="s">
        <v>8714</v>
      </c>
      <c r="C4331" s="4" t="s">
        <v>35</v>
      </c>
      <c r="D4331" s="2">
        <f>102629064/(10^6)</f>
        <v>102.629064</v>
      </c>
      <c r="E4331" s="5" t="s">
        <v>86</v>
      </c>
      <c r="F4331" s="5">
        <v>1.64806616306305</v>
      </c>
      <c r="G4331" s="5">
        <v>3.60464477539062</v>
      </c>
      <c r="H4331" s="5" t="s">
        <v>86</v>
      </c>
      <c r="I4331" t="s">
        <v>57</v>
      </c>
    </row>
    <row r="4332" spans="1:9">
      <c r="A4332" s="4" t="s">
        <v>8715</v>
      </c>
      <c r="B4332" s="4" t="s">
        <v>8716</v>
      </c>
      <c r="C4332" s="4" t="s">
        <v>37</v>
      </c>
      <c r="D4332" s="2">
        <f>102436032/(10^6)</f>
        <v>102.436032</v>
      </c>
      <c r="E4332" s="5" t="s">
        <v>86</v>
      </c>
      <c r="F4332" s="5" t="s">
        <v>86</v>
      </c>
      <c r="G4332" s="5" t="s">
        <v>86</v>
      </c>
      <c r="H4332" s="5" t="s">
        <v>86</v>
      </c>
      <c r="I4332" t="s">
        <v>57</v>
      </c>
    </row>
    <row r="4333" spans="1:9">
      <c r="A4333" s="4" t="s">
        <v>8717</v>
      </c>
      <c r="B4333" s="4" t="s">
        <v>8718</v>
      </c>
      <c r="C4333" s="4" t="s">
        <v>41</v>
      </c>
      <c r="D4333" s="2">
        <f>102123056/(10^6)</f>
        <v>102.123056</v>
      </c>
      <c r="E4333" s="5" t="s">
        <v>86</v>
      </c>
      <c r="F4333" s="5" t="s">
        <v>86</v>
      </c>
      <c r="G4333" s="5">
        <v>43.9294357299805</v>
      </c>
      <c r="H4333" s="5" t="s">
        <v>86</v>
      </c>
      <c r="I4333" t="s">
        <v>57</v>
      </c>
    </row>
    <row r="4334" spans="1:9">
      <c r="A4334" s="4" t="s">
        <v>8719</v>
      </c>
      <c r="B4334" s="4" t="s">
        <v>8720</v>
      </c>
      <c r="C4334" s="4" t="s">
        <v>41</v>
      </c>
      <c r="D4334" s="2">
        <f>101995728/(10^6)</f>
        <v>101.995728</v>
      </c>
      <c r="E4334" s="5">
        <v>27.8809108734131</v>
      </c>
      <c r="F4334" s="5">
        <v>3.58461046218872</v>
      </c>
      <c r="G4334" s="5">
        <v>3.06053447723389</v>
      </c>
      <c r="H4334" s="5">
        <v>16.0958919525146</v>
      </c>
      <c r="I4334" t="s">
        <v>57</v>
      </c>
    </row>
    <row r="4335" spans="1:9">
      <c r="A4335" s="4" t="s">
        <v>8721</v>
      </c>
      <c r="B4335" s="4" t="s">
        <v>8722</v>
      </c>
      <c r="C4335" s="4" t="s">
        <v>41</v>
      </c>
      <c r="D4335" s="2">
        <f>101885928/(10^6)</f>
        <v>101.885928</v>
      </c>
      <c r="E4335" s="5" t="s">
        <v>86</v>
      </c>
      <c r="F4335" s="5">
        <v>6.81209087371826</v>
      </c>
      <c r="G4335" s="5" t="s">
        <v>86</v>
      </c>
      <c r="H4335" s="5" t="s">
        <v>86</v>
      </c>
      <c r="I4335" t="s">
        <v>57</v>
      </c>
    </row>
    <row r="4336" spans="1:9">
      <c r="A4336" s="4" t="s">
        <v>8723</v>
      </c>
      <c r="B4336" s="4" t="s">
        <v>8724</v>
      </c>
      <c r="C4336" s="4" t="s">
        <v>43</v>
      </c>
      <c r="D4336" s="2">
        <f>101822816/(10^6)</f>
        <v>101.822816</v>
      </c>
      <c r="E4336" s="5">
        <v>7.6887640953064</v>
      </c>
      <c r="F4336" s="5">
        <v>0.841981589794159</v>
      </c>
      <c r="G4336" s="5">
        <v>1.95853316783905</v>
      </c>
      <c r="H4336" s="5" t="s">
        <v>86</v>
      </c>
      <c r="I4336" t="s">
        <v>57</v>
      </c>
    </row>
    <row r="4337" spans="1:9">
      <c r="A4337" s="4" t="s">
        <v>8725</v>
      </c>
      <c r="B4337" s="4" t="s">
        <v>8726</v>
      </c>
      <c r="C4337" s="4" t="s">
        <v>51</v>
      </c>
      <c r="D4337" s="2">
        <f>101776952/(10^6)</f>
        <v>101.776952</v>
      </c>
      <c r="E4337" s="5">
        <v>92.412353515625</v>
      </c>
      <c r="F4337" s="5">
        <v>1.05284011363983</v>
      </c>
      <c r="G4337" s="5">
        <v>0.915898323059082</v>
      </c>
      <c r="H4337" s="5">
        <v>7.27414178848267</v>
      </c>
      <c r="I4337" t="s">
        <v>57</v>
      </c>
    </row>
    <row r="4338" spans="1:9">
      <c r="A4338" s="4" t="s">
        <v>8727</v>
      </c>
      <c r="B4338" s="4" t="s">
        <v>8728</v>
      </c>
      <c r="C4338" s="4" t="s">
        <v>41</v>
      </c>
      <c r="D4338" s="2">
        <f>101442424/(10^6)</f>
        <v>101.442424</v>
      </c>
      <c r="E4338" s="5" t="s">
        <v>86</v>
      </c>
      <c r="F4338" s="5">
        <v>1.40412318706512</v>
      </c>
      <c r="G4338" s="5">
        <v>4.66670513153076</v>
      </c>
      <c r="H4338" s="5" t="s">
        <v>86</v>
      </c>
      <c r="I4338" t="s">
        <v>57</v>
      </c>
    </row>
    <row r="4339" spans="1:9">
      <c r="A4339" s="4" t="s">
        <v>8729</v>
      </c>
      <c r="B4339" s="4" t="s">
        <v>8730</v>
      </c>
      <c r="C4339" s="4" t="s">
        <v>41</v>
      </c>
      <c r="D4339" s="2">
        <f>101112512/(10^6)</f>
        <v>101.112512</v>
      </c>
      <c r="E4339" s="5" t="s">
        <v>86</v>
      </c>
      <c r="F4339" s="5">
        <v>0.653974652290344</v>
      </c>
      <c r="G4339" s="5" t="s">
        <v>86</v>
      </c>
      <c r="H4339" s="5" t="s">
        <v>86</v>
      </c>
      <c r="I4339" t="s">
        <v>57</v>
      </c>
    </row>
    <row r="4340" spans="1:9">
      <c r="A4340" s="4" t="s">
        <v>8731</v>
      </c>
      <c r="B4340" s="4" t="s">
        <v>8732</v>
      </c>
      <c r="C4340" s="4" t="s">
        <v>47</v>
      </c>
      <c r="D4340" s="2">
        <f>101058672/(10^6)</f>
        <v>101.058672</v>
      </c>
      <c r="E4340" s="5" t="s">
        <v>86</v>
      </c>
      <c r="F4340" s="5" t="s">
        <v>86</v>
      </c>
      <c r="G4340" s="5">
        <v>0.134548753499985</v>
      </c>
      <c r="H4340" s="5" t="s">
        <v>86</v>
      </c>
      <c r="I4340" t="s">
        <v>57</v>
      </c>
    </row>
    <row r="4341" spans="1:9">
      <c r="A4341" s="4" t="s">
        <v>8733</v>
      </c>
      <c r="B4341" s="4" t="s">
        <v>8734</v>
      </c>
      <c r="C4341" s="4" t="s">
        <v>41</v>
      </c>
      <c r="D4341" s="2">
        <f>100551264/(10^6)</f>
        <v>100.551264</v>
      </c>
      <c r="E4341" s="5" t="s">
        <v>86</v>
      </c>
      <c r="F4341" s="5" t="s">
        <v>86</v>
      </c>
      <c r="G4341" s="5">
        <v>36.7472724914551</v>
      </c>
      <c r="H4341" s="5" t="s">
        <v>86</v>
      </c>
      <c r="I4341" t="s">
        <v>57</v>
      </c>
    </row>
    <row r="4342" spans="1:9">
      <c r="A4342" s="4" t="s">
        <v>8735</v>
      </c>
      <c r="B4342" s="4" t="s">
        <v>8736</v>
      </c>
      <c r="C4342" s="4" t="s">
        <v>41</v>
      </c>
      <c r="D4342" s="2">
        <f>100068488/(10^6)</f>
        <v>100.068488</v>
      </c>
      <c r="E4342" s="5" t="s">
        <v>86</v>
      </c>
      <c r="F4342" s="5">
        <v>2.34770607948303</v>
      </c>
      <c r="G4342" s="5">
        <v>4.14540815353394</v>
      </c>
      <c r="H4342" s="5" t="s">
        <v>86</v>
      </c>
      <c r="I4342" t="s">
        <v>57</v>
      </c>
    </row>
    <row r="4343" spans="1:9">
      <c r="A4343" s="4" t="s">
        <v>8737</v>
      </c>
      <c r="B4343" s="4" t="s">
        <v>8738</v>
      </c>
      <c r="C4343" s="4" t="s">
        <v>31</v>
      </c>
      <c r="D4343" s="2">
        <f>100046400/(10^6)</f>
        <v>100.0464</v>
      </c>
      <c r="E4343" s="5" t="s">
        <v>86</v>
      </c>
      <c r="F4343" s="5">
        <v>2.04580926895142</v>
      </c>
      <c r="G4343" s="5">
        <v>1.8618016242981</v>
      </c>
      <c r="H4343" s="5" t="s">
        <v>86</v>
      </c>
      <c r="I4343" t="s">
        <v>57</v>
      </c>
    </row>
    <row r="4344" spans="1:9">
      <c r="A4344" s="4" t="s">
        <v>8739</v>
      </c>
      <c r="B4344" s="4" t="s">
        <v>8740</v>
      </c>
      <c r="C4344" s="4" t="s">
        <v>27</v>
      </c>
      <c r="D4344" s="2">
        <f>100016704/(10^6)</f>
        <v>100.016704</v>
      </c>
      <c r="E4344" s="5">
        <v>0.968100965023041</v>
      </c>
      <c r="F4344" s="5">
        <v>0.030674502253532</v>
      </c>
      <c r="G4344" s="5">
        <v>0.101726673543453</v>
      </c>
      <c r="H4344" s="5">
        <v>2.12624430656433</v>
      </c>
      <c r="I4344" t="s">
        <v>57</v>
      </c>
    </row>
    <row r="4345" spans="1:9">
      <c r="A4345" s="4" t="s">
        <v>8741</v>
      </c>
      <c r="B4345" s="4" t="s">
        <v>8742</v>
      </c>
      <c r="C4345" s="4" t="s">
        <v>43</v>
      </c>
      <c r="D4345" s="2">
        <f>99997384/(10^6)</f>
        <v>99.997384</v>
      </c>
      <c r="E4345" s="5">
        <v>7.59863233566284</v>
      </c>
      <c r="F4345" s="5">
        <v>0.793766260147095</v>
      </c>
      <c r="G4345" s="5">
        <v>1.33283936977386</v>
      </c>
      <c r="H4345" s="5" t="s">
        <v>86</v>
      </c>
      <c r="I4345" t="s">
        <v>57</v>
      </c>
    </row>
    <row r="4346" spans="1:9">
      <c r="A4346" s="4" t="s">
        <v>8743</v>
      </c>
      <c r="B4346" s="4" t="s">
        <v>8744</v>
      </c>
      <c r="C4346" s="4" t="s">
        <v>43</v>
      </c>
      <c r="D4346" s="2">
        <f>99691928/(10^6)</f>
        <v>99.691928</v>
      </c>
      <c r="E4346" s="5">
        <v>17.8352737426758</v>
      </c>
      <c r="F4346" s="5">
        <v>0.71172297000885</v>
      </c>
      <c r="G4346" s="5">
        <v>1.44092404842377</v>
      </c>
      <c r="H4346" s="5" t="s">
        <v>86</v>
      </c>
      <c r="I4346" t="s">
        <v>57</v>
      </c>
    </row>
    <row r="4347" spans="1:9">
      <c r="A4347" s="4" t="s">
        <v>8745</v>
      </c>
      <c r="B4347" s="4" t="s">
        <v>8746</v>
      </c>
      <c r="C4347" s="4" t="s">
        <v>43</v>
      </c>
      <c r="D4347" s="2">
        <f>99594144/(10^6)</f>
        <v>99.594144</v>
      </c>
      <c r="E4347" s="5">
        <v>11.2291555404663</v>
      </c>
      <c r="F4347" s="5">
        <v>0.70052033662796</v>
      </c>
      <c r="G4347" s="5">
        <v>2.29074645042419</v>
      </c>
      <c r="H4347" s="5" t="s">
        <v>86</v>
      </c>
      <c r="I4347" t="s">
        <v>57</v>
      </c>
    </row>
    <row r="4348" spans="1:9">
      <c r="A4348" s="4" t="s">
        <v>8747</v>
      </c>
      <c r="B4348" s="4" t="s">
        <v>8748</v>
      </c>
      <c r="C4348" s="4" t="s">
        <v>47</v>
      </c>
      <c r="D4348" s="2">
        <f>99577584/(10^6)</f>
        <v>99.577584</v>
      </c>
      <c r="E4348" s="5" t="s">
        <v>86</v>
      </c>
      <c r="F4348" s="5">
        <v>4.34577655792236</v>
      </c>
      <c r="G4348" s="5">
        <v>0.487994372844696</v>
      </c>
      <c r="H4348" s="5" t="s">
        <v>86</v>
      </c>
      <c r="I4348" t="s">
        <v>57</v>
      </c>
    </row>
    <row r="4349" spans="1:9">
      <c r="A4349" s="4" t="s">
        <v>8749</v>
      </c>
      <c r="B4349" s="4" t="s">
        <v>8750</v>
      </c>
      <c r="C4349" s="4" t="s">
        <v>43</v>
      </c>
      <c r="D4349" s="2">
        <f>99416960/(10^6)</f>
        <v>99.41696</v>
      </c>
      <c r="E4349" s="5">
        <v>9.46601963043213</v>
      </c>
      <c r="F4349" s="5">
        <v>0.639501869678497</v>
      </c>
      <c r="G4349" s="5">
        <v>1.52516281604767</v>
      </c>
      <c r="H4349" s="5" t="s">
        <v>86</v>
      </c>
      <c r="I4349" t="s">
        <v>57</v>
      </c>
    </row>
    <row r="4350" spans="1:9">
      <c r="A4350" s="4" t="s">
        <v>8751</v>
      </c>
      <c r="B4350" s="4" t="s">
        <v>8752</v>
      </c>
      <c r="C4350" s="4" t="s">
        <v>41</v>
      </c>
      <c r="D4350" s="2">
        <f>99308256/(10^6)</f>
        <v>99.308256</v>
      </c>
      <c r="E4350" s="5" t="s">
        <v>86</v>
      </c>
      <c r="F4350" s="5">
        <v>4.13177394866943</v>
      </c>
      <c r="G4350" s="5">
        <v>2.75522470474243</v>
      </c>
      <c r="H4350" s="5" t="s">
        <v>86</v>
      </c>
      <c r="I4350" t="s">
        <v>57</v>
      </c>
    </row>
    <row r="4351" spans="1:9">
      <c r="A4351" s="4" t="s">
        <v>8753</v>
      </c>
      <c r="B4351" s="4" t="s">
        <v>8754</v>
      </c>
      <c r="C4351" s="4" t="s">
        <v>43</v>
      </c>
      <c r="D4351" s="2">
        <f>99307456/(10^6)</f>
        <v>99.307456</v>
      </c>
      <c r="E4351" s="5">
        <v>7.92307710647583</v>
      </c>
      <c r="F4351" s="5">
        <v>0.720341742038727</v>
      </c>
      <c r="G4351" s="5">
        <v>1.68395411968231</v>
      </c>
      <c r="H4351" s="5" t="s">
        <v>86</v>
      </c>
      <c r="I4351" t="s">
        <v>57</v>
      </c>
    </row>
    <row r="4352" spans="1:9">
      <c r="A4352" s="4" t="s">
        <v>8755</v>
      </c>
      <c r="B4352" s="4" t="s">
        <v>8756</v>
      </c>
      <c r="C4352" s="4" t="s">
        <v>41</v>
      </c>
      <c r="D4352" s="2">
        <f>99198312/(10^6)</f>
        <v>99.198312</v>
      </c>
      <c r="E4352" s="5" t="s">
        <v>86</v>
      </c>
      <c r="F4352" s="5">
        <v>6.38142538070679</v>
      </c>
      <c r="G4352" s="5" t="s">
        <v>86</v>
      </c>
      <c r="H4352" s="5" t="s">
        <v>86</v>
      </c>
      <c r="I4352" t="s">
        <v>57</v>
      </c>
    </row>
    <row r="4353" spans="1:9">
      <c r="A4353" s="4" t="s">
        <v>8757</v>
      </c>
      <c r="B4353" s="4" t="s">
        <v>8758</v>
      </c>
      <c r="C4353" s="4" t="s">
        <v>41</v>
      </c>
      <c r="D4353" s="2">
        <f>99147544/(10^6)</f>
        <v>99.147544</v>
      </c>
      <c r="E4353" s="5">
        <v>163.403442382812</v>
      </c>
      <c r="F4353" s="5">
        <v>1.08861374855042</v>
      </c>
      <c r="G4353" s="5">
        <v>0.862906336784363</v>
      </c>
      <c r="H4353" s="5">
        <v>24.110767364502</v>
      </c>
      <c r="I4353" t="s">
        <v>57</v>
      </c>
    </row>
    <row r="4354" spans="1:9">
      <c r="A4354" s="4" t="s">
        <v>8759</v>
      </c>
      <c r="B4354" s="4" t="s">
        <v>8760</v>
      </c>
      <c r="C4354" s="4" t="s">
        <v>37</v>
      </c>
      <c r="D4354" s="2">
        <f>99099424/(10^6)</f>
        <v>99.099424</v>
      </c>
      <c r="E4354" s="5">
        <v>3.90322589874268</v>
      </c>
      <c r="F4354" s="5">
        <v>0.582420706748962</v>
      </c>
      <c r="G4354" s="5">
        <v>0.429248571395874</v>
      </c>
      <c r="H4354" s="5">
        <v>2.17141509056091</v>
      </c>
      <c r="I4354" t="s">
        <v>57</v>
      </c>
    </row>
    <row r="4355" spans="1:9">
      <c r="A4355" s="4" t="s">
        <v>8761</v>
      </c>
      <c r="B4355" s="4" t="s">
        <v>8762</v>
      </c>
      <c r="C4355" s="4" t="s">
        <v>43</v>
      </c>
      <c r="D4355" s="2">
        <f>98816520/(10^6)</f>
        <v>98.81652</v>
      </c>
      <c r="E4355" s="5" t="s">
        <v>86</v>
      </c>
      <c r="F4355" s="5" t="s">
        <v>86</v>
      </c>
      <c r="G4355" s="5" t="s">
        <v>86</v>
      </c>
      <c r="H4355" s="5" t="s">
        <v>86</v>
      </c>
      <c r="I4355" t="s">
        <v>57</v>
      </c>
    </row>
    <row r="4356" spans="1:9">
      <c r="A4356" s="4" t="s">
        <v>8763</v>
      </c>
      <c r="B4356" s="4" t="s">
        <v>8764</v>
      </c>
      <c r="C4356" s="4" t="s">
        <v>43</v>
      </c>
      <c r="D4356" s="2">
        <f>98810448/(10^6)</f>
        <v>98.810448</v>
      </c>
      <c r="E4356" s="5">
        <v>6.42760944366455</v>
      </c>
      <c r="F4356" s="5">
        <v>1.1669647693634</v>
      </c>
      <c r="G4356" s="5">
        <v>2.07469129562378</v>
      </c>
      <c r="H4356" s="5" t="s">
        <v>86</v>
      </c>
      <c r="I4356" t="s">
        <v>57</v>
      </c>
    </row>
    <row r="4357" spans="1:9">
      <c r="A4357" s="4" t="s">
        <v>8765</v>
      </c>
      <c r="B4357" s="4" t="s">
        <v>8766</v>
      </c>
      <c r="C4357" s="4" t="s">
        <v>51</v>
      </c>
      <c r="D4357" s="2">
        <f>98559936/(10^6)</f>
        <v>98.559936</v>
      </c>
      <c r="E4357" s="5" t="s">
        <v>86</v>
      </c>
      <c r="F4357" s="5">
        <v>2.23622035980225</v>
      </c>
      <c r="G4357" s="5">
        <v>0.851851463317871</v>
      </c>
      <c r="H4357" s="5" t="s">
        <v>86</v>
      </c>
      <c r="I4357" t="s">
        <v>57</v>
      </c>
    </row>
    <row r="4358" spans="1:9">
      <c r="A4358" s="4" t="s">
        <v>8767</v>
      </c>
      <c r="B4358" s="4" t="s">
        <v>8768</v>
      </c>
      <c r="C4358" s="4" t="s">
        <v>41</v>
      </c>
      <c r="D4358" s="2">
        <f>98456440/(10^6)</f>
        <v>98.45644</v>
      </c>
      <c r="E4358" s="5" t="s">
        <v>86</v>
      </c>
      <c r="F4358" s="5">
        <v>0.647116422653198</v>
      </c>
      <c r="G4358" s="5">
        <v>19.1516780853271</v>
      </c>
      <c r="H4358" s="5" t="s">
        <v>86</v>
      </c>
      <c r="I4358" t="s">
        <v>57</v>
      </c>
    </row>
    <row r="4359" spans="1:9">
      <c r="A4359" s="4" t="s">
        <v>8769</v>
      </c>
      <c r="B4359" s="4" t="s">
        <v>8770</v>
      </c>
      <c r="C4359" s="4" t="s">
        <v>41</v>
      </c>
      <c r="D4359" s="2">
        <f>98416376/(10^6)</f>
        <v>98.416376</v>
      </c>
      <c r="E4359" s="5" t="s">
        <v>86</v>
      </c>
      <c r="F4359" s="5">
        <v>0.134048417210579</v>
      </c>
      <c r="G4359" s="5">
        <v>0.011037259362638</v>
      </c>
      <c r="H4359" s="5">
        <v>0.549011826515198</v>
      </c>
      <c r="I4359" t="s">
        <v>57</v>
      </c>
    </row>
    <row r="4360" spans="1:9">
      <c r="A4360" s="4" t="s">
        <v>8771</v>
      </c>
      <c r="B4360" s="4" t="s">
        <v>8772</v>
      </c>
      <c r="C4360" s="4" t="s">
        <v>43</v>
      </c>
      <c r="D4360" s="2">
        <f>98390152/(10^6)</f>
        <v>98.390152</v>
      </c>
      <c r="E4360" s="5" t="s">
        <v>86</v>
      </c>
      <c r="F4360" s="5" t="s">
        <v>86</v>
      </c>
      <c r="G4360" s="5" t="s">
        <v>86</v>
      </c>
      <c r="H4360" s="5" t="s">
        <v>86</v>
      </c>
      <c r="I4360" t="s">
        <v>57</v>
      </c>
    </row>
    <row r="4361" spans="1:9">
      <c r="A4361" s="4" t="s">
        <v>8773</v>
      </c>
      <c r="B4361" s="4" t="s">
        <v>8774</v>
      </c>
      <c r="C4361" s="4" t="s">
        <v>41</v>
      </c>
      <c r="D4361" s="2">
        <f>98353752/(10^6)</f>
        <v>98.353752</v>
      </c>
      <c r="E4361" s="5">
        <v>6.97991609573364</v>
      </c>
      <c r="F4361" s="5">
        <v>0.807842433452606</v>
      </c>
      <c r="G4361" s="5">
        <v>1.10160779953003</v>
      </c>
      <c r="H4361" s="5">
        <v>4.00793218612671</v>
      </c>
      <c r="I4361" t="s">
        <v>57</v>
      </c>
    </row>
    <row r="4362" spans="1:9">
      <c r="A4362" s="4" t="s">
        <v>8775</v>
      </c>
      <c r="B4362" s="4" t="s">
        <v>8776</v>
      </c>
      <c r="C4362" s="4" t="s">
        <v>43</v>
      </c>
      <c r="D4362" s="2">
        <f>98242008/(10^6)</f>
        <v>98.242008</v>
      </c>
      <c r="E4362" s="5">
        <v>5.0022759437561</v>
      </c>
      <c r="F4362" s="5">
        <v>0.560502827167511</v>
      </c>
      <c r="G4362" s="5">
        <v>73.0924453735352</v>
      </c>
      <c r="H4362" s="5" t="s">
        <v>86</v>
      </c>
      <c r="I4362" t="s">
        <v>57</v>
      </c>
    </row>
    <row r="4363" spans="1:9">
      <c r="A4363" s="4" t="s">
        <v>8777</v>
      </c>
      <c r="B4363" s="4" t="s">
        <v>8778</v>
      </c>
      <c r="C4363" s="4" t="s">
        <v>47</v>
      </c>
      <c r="D4363" s="2">
        <f>98227376/(10^6)</f>
        <v>98.227376</v>
      </c>
      <c r="E4363" s="5">
        <v>3.25232744216919</v>
      </c>
      <c r="F4363" s="5">
        <v>0.586884081363678</v>
      </c>
      <c r="G4363" s="5">
        <v>0.546630144119263</v>
      </c>
      <c r="H4363" s="5">
        <v>5.88656854629517</v>
      </c>
      <c r="I4363" t="s">
        <v>57</v>
      </c>
    </row>
    <row r="4364" spans="1:9">
      <c r="A4364" s="4" t="s">
        <v>8779</v>
      </c>
      <c r="B4364" s="4" t="s">
        <v>8780</v>
      </c>
      <c r="C4364" s="4" t="s">
        <v>41</v>
      </c>
      <c r="D4364" s="2">
        <f>98206672/(10^6)</f>
        <v>98.206672</v>
      </c>
      <c r="E4364" s="5">
        <v>3.12051582336426</v>
      </c>
      <c r="F4364" s="5">
        <v>1.07454872131348</v>
      </c>
      <c r="G4364" s="5">
        <v>1.50551915168762</v>
      </c>
      <c r="H4364" s="5">
        <v>0.18685519695282</v>
      </c>
      <c r="I4364" t="s">
        <v>57</v>
      </c>
    </row>
    <row r="4365" spans="1:9">
      <c r="A4365" s="4" t="s">
        <v>8781</v>
      </c>
      <c r="B4365" s="4" t="s">
        <v>8782</v>
      </c>
      <c r="C4365" s="4" t="s">
        <v>33</v>
      </c>
      <c r="D4365" s="2">
        <f>98152024/(10^6)</f>
        <v>98.152024</v>
      </c>
      <c r="E4365" s="5" t="s">
        <v>86</v>
      </c>
      <c r="F4365" s="5" t="s">
        <v>86</v>
      </c>
      <c r="G4365" s="5">
        <v>0.066193766891956</v>
      </c>
      <c r="H4365" s="5">
        <v>7.22994756698608</v>
      </c>
      <c r="I4365" t="s">
        <v>57</v>
      </c>
    </row>
    <row r="4366" spans="1:9">
      <c r="A4366" s="4" t="s">
        <v>8783</v>
      </c>
      <c r="B4366" s="4" t="s">
        <v>8784</v>
      </c>
      <c r="C4366" s="4" t="s">
        <v>43</v>
      </c>
      <c r="D4366" s="2">
        <f>98144432/(10^6)</f>
        <v>98.144432</v>
      </c>
      <c r="E4366" s="5">
        <v>7.42800760269165</v>
      </c>
      <c r="F4366" s="5">
        <v>0.361480683088303</v>
      </c>
      <c r="G4366" s="5">
        <v>0.280254691839218</v>
      </c>
      <c r="H4366" s="5">
        <v>12.8162698745728</v>
      </c>
      <c r="I4366" t="s">
        <v>57</v>
      </c>
    </row>
    <row r="4367" spans="1:9">
      <c r="A4367" s="4" t="s">
        <v>8785</v>
      </c>
      <c r="B4367" s="4" t="s">
        <v>8786</v>
      </c>
      <c r="C4367" s="4" t="s">
        <v>35</v>
      </c>
      <c r="D4367" s="2">
        <f>97495312/(10^6)</f>
        <v>97.495312</v>
      </c>
      <c r="E4367" s="5" t="s">
        <v>86</v>
      </c>
      <c r="F4367" s="5" t="s">
        <v>86</v>
      </c>
      <c r="G4367" s="5" t="s">
        <v>86</v>
      </c>
      <c r="H4367" s="5" t="s">
        <v>86</v>
      </c>
      <c r="I4367" t="s">
        <v>57</v>
      </c>
    </row>
    <row r="4368" spans="1:9">
      <c r="A4368" s="4" t="s">
        <v>8787</v>
      </c>
      <c r="B4368" s="4" t="s">
        <v>8788</v>
      </c>
      <c r="C4368" s="4" t="s">
        <v>47</v>
      </c>
      <c r="D4368" s="2">
        <f>97408528/(10^6)</f>
        <v>97.408528</v>
      </c>
      <c r="E4368" s="5" t="s">
        <v>86</v>
      </c>
      <c r="F4368" s="5">
        <v>1.15581130981445</v>
      </c>
      <c r="G4368" s="5">
        <v>0.425581604242325</v>
      </c>
      <c r="H4368" s="5" t="s">
        <v>86</v>
      </c>
      <c r="I4368" t="s">
        <v>57</v>
      </c>
    </row>
    <row r="4369" spans="1:9">
      <c r="A4369" s="4" t="s">
        <v>8789</v>
      </c>
      <c r="B4369" s="4" t="s">
        <v>8790</v>
      </c>
      <c r="C4369" s="4" t="s">
        <v>47</v>
      </c>
      <c r="D4369" s="2">
        <f>97252240/(10^6)</f>
        <v>97.25224</v>
      </c>
      <c r="E4369" s="5" t="s">
        <v>86</v>
      </c>
      <c r="F4369" s="5">
        <v>24.3611507415771</v>
      </c>
      <c r="G4369" s="5">
        <v>0.357299864292145</v>
      </c>
      <c r="H4369" s="5">
        <v>3485.83862304688</v>
      </c>
      <c r="I4369" t="s">
        <v>57</v>
      </c>
    </row>
    <row r="4370" spans="1:9">
      <c r="A4370" s="4" t="s">
        <v>8791</v>
      </c>
      <c r="B4370" s="4" t="s">
        <v>8792</v>
      </c>
      <c r="C4370" s="4" t="s">
        <v>27</v>
      </c>
      <c r="D4370" s="2">
        <f>97117952/(10^6)</f>
        <v>97.117952</v>
      </c>
      <c r="E4370" s="5" t="s">
        <v>86</v>
      </c>
      <c r="F4370" s="5">
        <v>0.026503229513764</v>
      </c>
      <c r="G4370" s="5">
        <v>0.045503199100494</v>
      </c>
      <c r="H4370" s="5">
        <v>3.1004319190979</v>
      </c>
      <c r="I4370" t="s">
        <v>57</v>
      </c>
    </row>
    <row r="4371" spans="1:9">
      <c r="A4371" s="4" t="s">
        <v>8793</v>
      </c>
      <c r="B4371" s="4" t="s">
        <v>8794</v>
      </c>
      <c r="C4371" s="4" t="s">
        <v>49</v>
      </c>
      <c r="D4371" s="2">
        <f>97108000/(10^6)</f>
        <v>97.108</v>
      </c>
      <c r="E4371" s="5" t="s">
        <v>86</v>
      </c>
      <c r="F4371" s="5" t="s">
        <v>86</v>
      </c>
      <c r="G4371" s="5">
        <v>1.26771926879883</v>
      </c>
      <c r="H4371" s="5">
        <v>713.554626464844</v>
      </c>
      <c r="I4371" t="s">
        <v>57</v>
      </c>
    </row>
    <row r="4372" spans="1:9">
      <c r="A4372" s="4" t="s">
        <v>8795</v>
      </c>
      <c r="B4372" s="4" t="s">
        <v>8796</v>
      </c>
      <c r="C4372" s="4" t="s">
        <v>43</v>
      </c>
      <c r="D4372" s="2">
        <f>96757496/(10^6)</f>
        <v>96.757496</v>
      </c>
      <c r="E4372" s="5">
        <v>7.36773824691772</v>
      </c>
      <c r="F4372" s="5">
        <v>0.806784212589264</v>
      </c>
      <c r="G4372" s="5">
        <v>1.6136988401413</v>
      </c>
      <c r="H4372" s="5" t="s">
        <v>86</v>
      </c>
      <c r="I4372" t="s">
        <v>57</v>
      </c>
    </row>
    <row r="4373" spans="1:9">
      <c r="A4373" s="4" t="s">
        <v>8797</v>
      </c>
      <c r="B4373" s="4" t="s">
        <v>8798</v>
      </c>
      <c r="C4373" s="4" t="s">
        <v>31</v>
      </c>
      <c r="D4373" s="2">
        <f>96668480/(10^6)</f>
        <v>96.66848</v>
      </c>
      <c r="E4373" s="5" t="s">
        <v>86</v>
      </c>
      <c r="F4373" s="5">
        <v>0.272305190563202</v>
      </c>
      <c r="G4373" s="5">
        <v>0.112081453204155</v>
      </c>
      <c r="H4373" s="5">
        <v>7.43265151977539</v>
      </c>
      <c r="I4373" t="s">
        <v>57</v>
      </c>
    </row>
    <row r="4374" spans="1:9">
      <c r="A4374" s="4" t="s">
        <v>8799</v>
      </c>
      <c r="B4374" s="4" t="s">
        <v>8800</v>
      </c>
      <c r="C4374" s="4" t="s">
        <v>43</v>
      </c>
      <c r="D4374" s="2">
        <f>96473952/(10^6)</f>
        <v>96.473952</v>
      </c>
      <c r="E4374" s="5">
        <v>6.92642736434937</v>
      </c>
      <c r="F4374" s="5">
        <v>0.595457911491394</v>
      </c>
      <c r="G4374" s="5">
        <v>1.36938393115997</v>
      </c>
      <c r="H4374" s="5" t="s">
        <v>86</v>
      </c>
      <c r="I4374" t="s">
        <v>57</v>
      </c>
    </row>
    <row r="4375" spans="1:9">
      <c r="A4375" s="4" t="s">
        <v>8801</v>
      </c>
      <c r="B4375" s="4" t="s">
        <v>8802</v>
      </c>
      <c r="C4375" s="4" t="s">
        <v>31</v>
      </c>
      <c r="D4375" s="2">
        <f>96443384/(10^6)</f>
        <v>96.443384</v>
      </c>
      <c r="E4375" s="5">
        <v>103.718688964844</v>
      </c>
      <c r="F4375" s="5">
        <v>0.777948558330536</v>
      </c>
      <c r="G4375" s="5">
        <v>0.297206044197083</v>
      </c>
      <c r="H4375" s="5">
        <v>6.92041730880737</v>
      </c>
      <c r="I4375" t="s">
        <v>57</v>
      </c>
    </row>
    <row r="4376" spans="1:9">
      <c r="A4376" s="4" t="s">
        <v>8803</v>
      </c>
      <c r="B4376" s="4" t="s">
        <v>8804</v>
      </c>
      <c r="C4376" s="4" t="s">
        <v>41</v>
      </c>
      <c r="D4376" s="2">
        <f>96367216/(10^6)</f>
        <v>96.367216</v>
      </c>
      <c r="E4376" s="5" t="s">
        <v>86</v>
      </c>
      <c r="F4376" s="5">
        <v>1.36040389537811</v>
      </c>
      <c r="G4376" s="5">
        <v>45.3517799377441</v>
      </c>
      <c r="H4376" s="5" t="s">
        <v>86</v>
      </c>
      <c r="I4376" t="s">
        <v>57</v>
      </c>
    </row>
    <row r="4377" spans="1:9">
      <c r="A4377" s="4" t="s">
        <v>8805</v>
      </c>
      <c r="B4377" s="4" t="s">
        <v>8806</v>
      </c>
      <c r="C4377" s="4" t="s">
        <v>43</v>
      </c>
      <c r="D4377" s="2">
        <f>96241000/(10^6)</f>
        <v>96.241</v>
      </c>
      <c r="E4377" s="5" t="s">
        <v>86</v>
      </c>
      <c r="F4377" s="5" t="s">
        <v>86</v>
      </c>
      <c r="G4377" s="5" t="s">
        <v>86</v>
      </c>
      <c r="H4377" s="5" t="s">
        <v>86</v>
      </c>
      <c r="I4377" t="s">
        <v>57</v>
      </c>
    </row>
    <row r="4378" spans="1:9">
      <c r="A4378" s="4" t="s">
        <v>8807</v>
      </c>
      <c r="B4378" s="4" t="s">
        <v>8808</v>
      </c>
      <c r="C4378" s="4" t="s">
        <v>37</v>
      </c>
      <c r="D4378" s="2">
        <f>95662928/(10^6)</f>
        <v>95.662928</v>
      </c>
      <c r="E4378" s="5">
        <v>27.626766204834</v>
      </c>
      <c r="F4378" s="5">
        <v>0.31058531999588</v>
      </c>
      <c r="G4378" s="5">
        <v>0.06301386654377</v>
      </c>
      <c r="H4378" s="5">
        <v>7.17720079421997</v>
      </c>
      <c r="I4378" t="s">
        <v>57</v>
      </c>
    </row>
    <row r="4379" spans="1:9">
      <c r="A4379" s="4" t="s">
        <v>8809</v>
      </c>
      <c r="B4379" s="4" t="s">
        <v>8810</v>
      </c>
      <c r="C4379" s="4" t="s">
        <v>47</v>
      </c>
      <c r="D4379" s="2">
        <f>95603024/(10^6)</f>
        <v>95.603024</v>
      </c>
      <c r="E4379" s="5" t="s">
        <v>86</v>
      </c>
      <c r="F4379" s="5">
        <v>1.37745904922485</v>
      </c>
      <c r="G4379" s="5" t="s">
        <v>86</v>
      </c>
      <c r="H4379" s="5">
        <v>26.2962226867676</v>
      </c>
      <c r="I4379" t="s">
        <v>57</v>
      </c>
    </row>
    <row r="4380" spans="1:9">
      <c r="A4380" s="4" t="s">
        <v>8811</v>
      </c>
      <c r="B4380" s="4" t="s">
        <v>8812</v>
      </c>
      <c r="C4380" s="4" t="s">
        <v>43</v>
      </c>
      <c r="D4380" s="2">
        <f>95064200/(10^6)</f>
        <v>95.0642</v>
      </c>
      <c r="E4380" s="5" t="s">
        <v>86</v>
      </c>
      <c r="F4380" s="5" t="s">
        <v>86</v>
      </c>
      <c r="G4380" s="5" t="s">
        <v>86</v>
      </c>
      <c r="H4380" s="5" t="s">
        <v>86</v>
      </c>
      <c r="I4380" t="s">
        <v>57</v>
      </c>
    </row>
    <row r="4381" spans="1:9">
      <c r="A4381" s="4" t="s">
        <v>8813</v>
      </c>
      <c r="B4381" s="4" t="s">
        <v>8814</v>
      </c>
      <c r="C4381" s="4" t="s">
        <v>43</v>
      </c>
      <c r="D4381" s="2">
        <f>94715416/(10^6)</f>
        <v>94.715416</v>
      </c>
      <c r="E4381" s="5" t="s">
        <v>86</v>
      </c>
      <c r="F4381" s="5" t="s">
        <v>86</v>
      </c>
      <c r="G4381" s="5" t="s">
        <v>86</v>
      </c>
      <c r="H4381" s="5" t="s">
        <v>86</v>
      </c>
      <c r="I4381" t="s">
        <v>57</v>
      </c>
    </row>
    <row r="4382" spans="1:9">
      <c r="A4382" s="4" t="s">
        <v>8815</v>
      </c>
      <c r="B4382" s="4" t="s">
        <v>8816</v>
      </c>
      <c r="C4382" s="4" t="s">
        <v>41</v>
      </c>
      <c r="D4382" s="2">
        <f>94704912/(10^6)</f>
        <v>94.704912</v>
      </c>
      <c r="E4382" s="5" t="s">
        <v>86</v>
      </c>
      <c r="F4382" s="5">
        <v>3.41759395599365</v>
      </c>
      <c r="G4382" s="5">
        <v>1.88419568538666</v>
      </c>
      <c r="H4382" s="5" t="s">
        <v>86</v>
      </c>
      <c r="I4382" t="s">
        <v>57</v>
      </c>
    </row>
    <row r="4383" spans="1:9">
      <c r="A4383" s="4" t="s">
        <v>8817</v>
      </c>
      <c r="B4383" s="4" t="s">
        <v>8818</v>
      </c>
      <c r="C4383" s="4" t="s">
        <v>47</v>
      </c>
      <c r="D4383" s="2">
        <f>94626976/(10^6)</f>
        <v>94.626976</v>
      </c>
      <c r="E4383" s="5">
        <v>5.58807420730591</v>
      </c>
      <c r="F4383" s="5">
        <v>0.490836560726166</v>
      </c>
      <c r="G4383" s="5">
        <v>0.17694553732872</v>
      </c>
      <c r="H4383" s="5">
        <v>5.20371437072754</v>
      </c>
      <c r="I4383" t="s">
        <v>57</v>
      </c>
    </row>
    <row r="4384" spans="1:9">
      <c r="A4384" s="4" t="s">
        <v>8819</v>
      </c>
      <c r="B4384" s="4" t="s">
        <v>8820</v>
      </c>
      <c r="C4384" s="4" t="s">
        <v>43</v>
      </c>
      <c r="D4384" s="2">
        <f>94617264/(10^6)</f>
        <v>94.617264</v>
      </c>
      <c r="E4384" s="5">
        <v>26.1211128234863</v>
      </c>
      <c r="F4384" s="5">
        <v>1.62966573238373</v>
      </c>
      <c r="G4384" s="5">
        <v>4.79326772689819</v>
      </c>
      <c r="H4384" s="5" t="s">
        <v>86</v>
      </c>
      <c r="I4384" t="s">
        <v>57</v>
      </c>
    </row>
    <row r="4385" spans="1:9">
      <c r="A4385" s="4" t="s">
        <v>8821</v>
      </c>
      <c r="B4385" s="4" t="s">
        <v>8822</v>
      </c>
      <c r="C4385" s="4" t="s">
        <v>33</v>
      </c>
      <c r="D4385" s="2">
        <f>94429856/(10^6)</f>
        <v>94.429856</v>
      </c>
      <c r="E4385" s="5">
        <v>9.20675849914551</v>
      </c>
      <c r="F4385" s="5">
        <v>0.272169798612595</v>
      </c>
      <c r="G4385" s="5">
        <v>0.215337634086609</v>
      </c>
      <c r="H4385" s="5">
        <v>8.85414505004883</v>
      </c>
      <c r="I4385" t="s">
        <v>57</v>
      </c>
    </row>
    <row r="4386" spans="1:9">
      <c r="A4386" s="4" t="s">
        <v>8823</v>
      </c>
      <c r="B4386" s="4" t="s">
        <v>8824</v>
      </c>
      <c r="C4386" s="4" t="s">
        <v>31</v>
      </c>
      <c r="D4386" s="2">
        <f>94359240/(10^6)</f>
        <v>94.35924</v>
      </c>
      <c r="E4386" s="5" t="s">
        <v>86</v>
      </c>
      <c r="F4386" s="5">
        <v>0.719330012798309</v>
      </c>
      <c r="G4386" s="5">
        <v>0.458112835884094</v>
      </c>
      <c r="H4386" s="5" t="s">
        <v>86</v>
      </c>
      <c r="I4386" t="s">
        <v>57</v>
      </c>
    </row>
    <row r="4387" spans="1:9">
      <c r="A4387" s="4" t="s">
        <v>8825</v>
      </c>
      <c r="B4387" s="4" t="s">
        <v>8826</v>
      </c>
      <c r="C4387" s="4" t="s">
        <v>43</v>
      </c>
      <c r="D4387" s="2">
        <f>94257312/(10^6)</f>
        <v>94.257312</v>
      </c>
      <c r="E4387" s="5">
        <v>9.32381534576416</v>
      </c>
      <c r="F4387" s="5">
        <v>0.647966623306274</v>
      </c>
      <c r="G4387" s="5">
        <v>1.84176754951477</v>
      </c>
      <c r="H4387" s="5" t="s">
        <v>86</v>
      </c>
      <c r="I4387" t="s">
        <v>57</v>
      </c>
    </row>
    <row r="4388" spans="1:9">
      <c r="A4388" s="4" t="s">
        <v>8827</v>
      </c>
      <c r="B4388" s="4" t="s">
        <v>8828</v>
      </c>
      <c r="C4388" s="4" t="s">
        <v>41</v>
      </c>
      <c r="D4388" s="2">
        <f>94056688/(10^6)</f>
        <v>94.056688</v>
      </c>
      <c r="E4388" s="5" t="s">
        <v>86</v>
      </c>
      <c r="F4388" s="5" t="s">
        <v>86</v>
      </c>
      <c r="G4388" s="5">
        <v>299.550659179688</v>
      </c>
      <c r="H4388" s="5" t="s">
        <v>86</v>
      </c>
      <c r="I4388" t="s">
        <v>57</v>
      </c>
    </row>
    <row r="4389" spans="1:9">
      <c r="A4389" s="4" t="s">
        <v>8829</v>
      </c>
      <c r="B4389" s="4" t="s">
        <v>8830</v>
      </c>
      <c r="C4389" s="4" t="s">
        <v>43</v>
      </c>
      <c r="D4389" s="2">
        <f>93768720/(10^6)</f>
        <v>93.76872</v>
      </c>
      <c r="E4389" s="5" t="s">
        <v>86</v>
      </c>
      <c r="F4389" s="5" t="s">
        <v>86</v>
      </c>
      <c r="G4389" s="5" t="s">
        <v>86</v>
      </c>
      <c r="H4389" s="5" t="s">
        <v>86</v>
      </c>
      <c r="I4389" t="s">
        <v>57</v>
      </c>
    </row>
    <row r="4390" spans="1:9">
      <c r="A4390" s="4" t="s">
        <v>8831</v>
      </c>
      <c r="B4390" s="4" t="s">
        <v>8832</v>
      </c>
      <c r="C4390" s="4" t="s">
        <v>51</v>
      </c>
      <c r="D4390" s="2">
        <f>93659024/(10^6)</f>
        <v>93.659024</v>
      </c>
      <c r="E4390" s="5" t="s">
        <v>86</v>
      </c>
      <c r="F4390" s="5">
        <v>0.679597198963165</v>
      </c>
      <c r="G4390" s="5" t="s">
        <v>86</v>
      </c>
      <c r="H4390" s="5" t="s">
        <v>86</v>
      </c>
      <c r="I4390" t="s">
        <v>57</v>
      </c>
    </row>
    <row r="4391" spans="1:9">
      <c r="A4391" s="4" t="s">
        <v>8833</v>
      </c>
      <c r="B4391" s="4" t="s">
        <v>8834</v>
      </c>
      <c r="C4391" s="4" t="s">
        <v>27</v>
      </c>
      <c r="D4391" s="2">
        <f>93215152/(10^6)</f>
        <v>93.215152</v>
      </c>
      <c r="E4391" s="5" t="s">
        <v>86</v>
      </c>
      <c r="F4391" s="5">
        <v>0.203505858778954</v>
      </c>
      <c r="G4391" s="5">
        <v>0.446026891469955</v>
      </c>
      <c r="H4391" s="5">
        <v>20.9715785980225</v>
      </c>
      <c r="I4391" t="s">
        <v>57</v>
      </c>
    </row>
    <row r="4392" spans="1:9">
      <c r="A4392" s="4" t="s">
        <v>8835</v>
      </c>
      <c r="B4392" s="4" t="s">
        <v>8836</v>
      </c>
      <c r="C4392" s="4" t="s">
        <v>43</v>
      </c>
      <c r="D4392" s="2">
        <f>92813000/(10^6)</f>
        <v>92.813</v>
      </c>
      <c r="E4392" s="5">
        <v>21.8055553436279</v>
      </c>
      <c r="F4392" s="5">
        <v>1.16736102104187</v>
      </c>
      <c r="G4392" s="5">
        <v>5.66215229034424</v>
      </c>
      <c r="H4392" s="5" t="s">
        <v>86</v>
      </c>
      <c r="I4392" t="s">
        <v>57</v>
      </c>
    </row>
    <row r="4393" spans="1:9">
      <c r="A4393" s="4" t="s">
        <v>8837</v>
      </c>
      <c r="B4393" s="4" t="s">
        <v>8838</v>
      </c>
      <c r="C4393" s="4" t="s">
        <v>43</v>
      </c>
      <c r="D4393" s="2">
        <f>92614944/(10^6)</f>
        <v>92.614944</v>
      </c>
      <c r="E4393" s="5">
        <v>8.88180541992188</v>
      </c>
      <c r="F4393" s="5">
        <v>0.86777663230896</v>
      </c>
      <c r="G4393" s="5">
        <v>1.77912259101868</v>
      </c>
      <c r="H4393" s="5" t="s">
        <v>86</v>
      </c>
      <c r="I4393" t="s">
        <v>57</v>
      </c>
    </row>
    <row r="4394" spans="1:9">
      <c r="A4394" s="4" t="s">
        <v>8839</v>
      </c>
      <c r="B4394" s="4" t="s">
        <v>8840</v>
      </c>
      <c r="C4394" s="4" t="s">
        <v>45</v>
      </c>
      <c r="D4394" s="2">
        <f>92398768/(10^6)</f>
        <v>92.398768</v>
      </c>
      <c r="E4394" s="5">
        <v>38.1186790466309</v>
      </c>
      <c r="F4394" s="5">
        <v>14.0316982269287</v>
      </c>
      <c r="G4394" s="5">
        <v>17.8755435943604</v>
      </c>
      <c r="H4394" s="5">
        <v>26.1361541748047</v>
      </c>
      <c r="I4394" t="s">
        <v>57</v>
      </c>
    </row>
    <row r="4395" spans="1:9">
      <c r="A4395" s="4" t="s">
        <v>8841</v>
      </c>
      <c r="B4395" s="4" t="s">
        <v>8842</v>
      </c>
      <c r="C4395" s="4" t="s">
        <v>43</v>
      </c>
      <c r="D4395" s="2">
        <f>92215312/(10^6)</f>
        <v>92.215312</v>
      </c>
      <c r="E4395" s="5">
        <v>56.4782600402832</v>
      </c>
      <c r="F4395" s="5">
        <v>1.56970369815826</v>
      </c>
      <c r="G4395" s="5">
        <v>5.04029512405396</v>
      </c>
      <c r="H4395" s="5" t="s">
        <v>86</v>
      </c>
      <c r="I4395" t="s">
        <v>57</v>
      </c>
    </row>
    <row r="4396" spans="1:9">
      <c r="A4396" s="4" t="s">
        <v>8843</v>
      </c>
      <c r="B4396" s="4" t="s">
        <v>8844</v>
      </c>
      <c r="C4396" s="4" t="s">
        <v>41</v>
      </c>
      <c r="D4396" s="2">
        <f>91993560/(10^6)</f>
        <v>91.99356</v>
      </c>
      <c r="E4396" s="5" t="s">
        <v>86</v>
      </c>
      <c r="F4396" s="5">
        <v>0.83462917804718</v>
      </c>
      <c r="G4396" s="5">
        <v>6.83000612258911</v>
      </c>
      <c r="H4396" s="5" t="s">
        <v>86</v>
      </c>
      <c r="I4396" t="s">
        <v>57</v>
      </c>
    </row>
    <row r="4397" spans="1:9">
      <c r="A4397" s="4" t="s">
        <v>8845</v>
      </c>
      <c r="B4397" s="4" t="s">
        <v>8846</v>
      </c>
      <c r="C4397" s="4" t="s">
        <v>43</v>
      </c>
      <c r="D4397" s="2">
        <f>91923976/(10^6)</f>
        <v>91.923976</v>
      </c>
      <c r="E4397" s="5">
        <v>8.60822772979736</v>
      </c>
      <c r="F4397" s="5">
        <v>1.27916610240936</v>
      </c>
      <c r="G4397" s="5">
        <v>1.98219394683838</v>
      </c>
      <c r="H4397" s="5" t="s">
        <v>86</v>
      </c>
      <c r="I4397" t="s">
        <v>57</v>
      </c>
    </row>
    <row r="4398" spans="1:9">
      <c r="A4398" s="4" t="s">
        <v>8847</v>
      </c>
      <c r="B4398" s="4" t="s">
        <v>8848</v>
      </c>
      <c r="C4398" s="4" t="s">
        <v>33</v>
      </c>
      <c r="D4398" s="2">
        <f>91836608/(10^6)</f>
        <v>91.836608</v>
      </c>
      <c r="E4398" s="5">
        <v>7.60814142227173</v>
      </c>
      <c r="F4398" s="5">
        <v>0.531886100769043</v>
      </c>
      <c r="G4398" s="5">
        <v>0.398552596569061</v>
      </c>
      <c r="H4398" s="5">
        <v>4.78742408752441</v>
      </c>
      <c r="I4398" t="s">
        <v>57</v>
      </c>
    </row>
    <row r="4399" spans="1:9">
      <c r="A4399" s="4" t="s">
        <v>8849</v>
      </c>
      <c r="B4399" s="4" t="s">
        <v>8850</v>
      </c>
      <c r="C4399" s="4" t="s">
        <v>41</v>
      </c>
      <c r="D4399" s="2">
        <f>91358400/(10^6)</f>
        <v>91.3584</v>
      </c>
      <c r="E4399" s="5" t="s">
        <v>86</v>
      </c>
      <c r="F4399" s="5">
        <v>2.95103287696838</v>
      </c>
      <c r="G4399" s="5" t="s">
        <v>86</v>
      </c>
      <c r="H4399" s="5" t="s">
        <v>86</v>
      </c>
      <c r="I4399" t="s">
        <v>57</v>
      </c>
    </row>
    <row r="4400" spans="1:9">
      <c r="A4400" s="4" t="s">
        <v>8851</v>
      </c>
      <c r="B4400" s="4" t="s">
        <v>8852</v>
      </c>
      <c r="C4400" s="4" t="s">
        <v>47</v>
      </c>
      <c r="D4400" s="2">
        <f>91199040/(10^6)</f>
        <v>91.19904</v>
      </c>
      <c r="E4400" s="5">
        <v>7.30165863037109</v>
      </c>
      <c r="F4400" s="5">
        <v>0.574577748775482</v>
      </c>
      <c r="G4400" s="5">
        <v>0.31723091006279</v>
      </c>
      <c r="H4400" s="5">
        <v>4.5492730140686</v>
      </c>
      <c r="I4400" t="s">
        <v>57</v>
      </c>
    </row>
    <row r="4401" spans="1:9">
      <c r="A4401" s="4" t="s">
        <v>8853</v>
      </c>
      <c r="B4401" s="4" t="s">
        <v>8854</v>
      </c>
      <c r="C4401" s="4" t="s">
        <v>49</v>
      </c>
      <c r="D4401" s="2">
        <f>91102656/(10^6)</f>
        <v>91.102656</v>
      </c>
      <c r="E4401" s="5" t="s">
        <v>86</v>
      </c>
      <c r="F4401" s="5" t="s">
        <v>86</v>
      </c>
      <c r="G4401" s="5" t="s">
        <v>86</v>
      </c>
      <c r="H4401" s="5" t="s">
        <v>86</v>
      </c>
      <c r="I4401" t="s">
        <v>57</v>
      </c>
    </row>
    <row r="4402" spans="1:9">
      <c r="A4402" s="4" t="s">
        <v>8855</v>
      </c>
      <c r="B4402" s="4" t="s">
        <v>8856</v>
      </c>
      <c r="C4402" s="4" t="s">
        <v>43</v>
      </c>
      <c r="D4402" s="2">
        <f>91080752/(10^6)</f>
        <v>91.080752</v>
      </c>
      <c r="E4402" s="5">
        <v>11.2829341888428</v>
      </c>
      <c r="F4402" s="5">
        <v>0.90228545665741</v>
      </c>
      <c r="G4402" s="5">
        <v>1.79792559146881</v>
      </c>
      <c r="H4402" s="5" t="s">
        <v>86</v>
      </c>
      <c r="I4402" t="s">
        <v>57</v>
      </c>
    </row>
    <row r="4403" spans="1:9">
      <c r="A4403" s="4" t="s">
        <v>8857</v>
      </c>
      <c r="B4403" s="4" t="s">
        <v>8858</v>
      </c>
      <c r="C4403" s="4" t="s">
        <v>47</v>
      </c>
      <c r="D4403" s="2">
        <f>90540000/(10^6)</f>
        <v>90.54</v>
      </c>
      <c r="E4403" s="5" t="s">
        <v>86</v>
      </c>
      <c r="F4403" s="5" t="s">
        <v>86</v>
      </c>
      <c r="G4403" s="5" t="s">
        <v>86</v>
      </c>
      <c r="H4403" s="5" t="s">
        <v>86</v>
      </c>
      <c r="I4403" t="s">
        <v>57</v>
      </c>
    </row>
    <row r="4404" spans="1:9">
      <c r="A4404" s="4" t="s">
        <v>8859</v>
      </c>
      <c r="B4404" s="4" t="s">
        <v>8860</v>
      </c>
      <c r="C4404" s="4" t="s">
        <v>27</v>
      </c>
      <c r="D4404" s="2">
        <f>90453728/(10^6)</f>
        <v>90.453728</v>
      </c>
      <c r="E4404" s="5">
        <v>11.9015588760376</v>
      </c>
      <c r="F4404" s="5">
        <v>0.034003090113401</v>
      </c>
      <c r="G4404" s="5">
        <v>0.077253900468349</v>
      </c>
      <c r="H4404" s="5">
        <v>2.88968777656555</v>
      </c>
      <c r="I4404" t="s">
        <v>57</v>
      </c>
    </row>
    <row r="4405" spans="1:9">
      <c r="A4405" s="4" t="s">
        <v>8861</v>
      </c>
      <c r="B4405" s="4" t="s">
        <v>8862</v>
      </c>
      <c r="C4405" s="4" t="s">
        <v>43</v>
      </c>
      <c r="D4405" s="2">
        <f>90274384/(10^6)</f>
        <v>90.274384</v>
      </c>
      <c r="E4405" s="5" t="s">
        <v>86</v>
      </c>
      <c r="F4405" s="5" t="s">
        <v>86</v>
      </c>
      <c r="G4405" s="5" t="s">
        <v>86</v>
      </c>
      <c r="H4405" s="5" t="s">
        <v>86</v>
      </c>
      <c r="I4405" t="s">
        <v>57</v>
      </c>
    </row>
    <row r="4406" spans="1:9">
      <c r="A4406" s="4" t="s">
        <v>8863</v>
      </c>
      <c r="B4406" s="4" t="s">
        <v>8864</v>
      </c>
      <c r="C4406" s="4" t="s">
        <v>43</v>
      </c>
      <c r="D4406" s="2">
        <f>90060648/(10^6)</f>
        <v>90.060648</v>
      </c>
      <c r="E4406" s="5">
        <v>6.99284982681274</v>
      </c>
      <c r="F4406" s="5">
        <v>0.657687962055206</v>
      </c>
      <c r="G4406" s="5">
        <v>1.1900178194046</v>
      </c>
      <c r="H4406" s="5" t="s">
        <v>86</v>
      </c>
      <c r="I4406" t="s">
        <v>57</v>
      </c>
    </row>
    <row r="4407" spans="1:9">
      <c r="A4407" s="4" t="s">
        <v>8865</v>
      </c>
      <c r="B4407" s="4" t="s">
        <v>8866</v>
      </c>
      <c r="C4407" s="4" t="s">
        <v>41</v>
      </c>
      <c r="D4407" s="2">
        <f>89749048/(10^6)</f>
        <v>89.749048</v>
      </c>
      <c r="E4407" s="5" t="s">
        <v>86</v>
      </c>
      <c r="F4407" s="5">
        <v>1.16983091831207</v>
      </c>
      <c r="G4407" s="5" t="s">
        <v>86</v>
      </c>
      <c r="H4407" s="5" t="s">
        <v>86</v>
      </c>
      <c r="I4407" t="s">
        <v>57</v>
      </c>
    </row>
    <row r="4408" spans="1:9">
      <c r="A4408" s="4" t="s">
        <v>8867</v>
      </c>
      <c r="B4408" s="4" t="s">
        <v>8868</v>
      </c>
      <c r="C4408" s="4" t="s">
        <v>47</v>
      </c>
      <c r="D4408" s="2">
        <f>89629832/(10^6)</f>
        <v>89.629832</v>
      </c>
      <c r="E4408" s="5" t="s">
        <v>86</v>
      </c>
      <c r="F4408" s="5" t="s">
        <v>86</v>
      </c>
      <c r="G4408" s="5" t="s">
        <v>86</v>
      </c>
      <c r="H4408" s="5">
        <v>7.73715543746948</v>
      </c>
      <c r="I4408" t="s">
        <v>57</v>
      </c>
    </row>
    <row r="4409" spans="1:9">
      <c r="A4409" s="4" t="s">
        <v>8869</v>
      </c>
      <c r="B4409" s="4" t="s">
        <v>8870</v>
      </c>
      <c r="C4409" s="4" t="s">
        <v>47</v>
      </c>
      <c r="D4409" s="2">
        <f>89581160/(10^6)</f>
        <v>89.58116</v>
      </c>
      <c r="E4409" s="5" t="s">
        <v>86</v>
      </c>
      <c r="F4409" s="5">
        <v>0.425916254520416</v>
      </c>
      <c r="G4409" s="5">
        <v>0.213783010840416</v>
      </c>
      <c r="H4409" s="5" t="s">
        <v>86</v>
      </c>
      <c r="I4409" t="s">
        <v>57</v>
      </c>
    </row>
    <row r="4410" spans="1:9">
      <c r="A4410" s="4" t="s">
        <v>8871</v>
      </c>
      <c r="B4410" s="4" t="s">
        <v>8872</v>
      </c>
      <c r="C4410" s="4" t="s">
        <v>27</v>
      </c>
      <c r="D4410" s="2">
        <f>89445896/(10^6)</f>
        <v>89.445896</v>
      </c>
      <c r="E4410" s="5" t="s">
        <v>86</v>
      </c>
      <c r="F4410" s="5" t="s">
        <v>86</v>
      </c>
      <c r="G4410" s="5" t="s">
        <v>86</v>
      </c>
      <c r="H4410" s="5" t="s">
        <v>86</v>
      </c>
      <c r="I4410" t="s">
        <v>57</v>
      </c>
    </row>
    <row r="4411" spans="1:9">
      <c r="A4411" s="4" t="s">
        <v>8873</v>
      </c>
      <c r="B4411" s="4" t="s">
        <v>8874</v>
      </c>
      <c r="C4411" s="4" t="s">
        <v>27</v>
      </c>
      <c r="D4411" s="2">
        <f>89249168/(10^6)</f>
        <v>89.249168</v>
      </c>
      <c r="E4411" s="5">
        <v>0.913268864154816</v>
      </c>
      <c r="F4411" s="5">
        <v>0.105078049004078</v>
      </c>
      <c r="G4411" s="5">
        <v>0.106887102127075</v>
      </c>
      <c r="H4411" s="5">
        <v>170.866668701172</v>
      </c>
      <c r="I4411" t="s">
        <v>57</v>
      </c>
    </row>
    <row r="4412" spans="1:9">
      <c r="A4412" s="4" t="s">
        <v>8875</v>
      </c>
      <c r="B4412" s="4" t="s">
        <v>8876</v>
      </c>
      <c r="C4412" s="4" t="s">
        <v>41</v>
      </c>
      <c r="D4412" s="2">
        <f>89205704/(10^6)</f>
        <v>89.205704</v>
      </c>
      <c r="E4412" s="5" t="s">
        <v>86</v>
      </c>
      <c r="F4412" s="5" t="s">
        <v>86</v>
      </c>
      <c r="G4412" s="5">
        <v>137.114181518555</v>
      </c>
      <c r="H4412" s="5" t="s">
        <v>86</v>
      </c>
      <c r="I4412" t="s">
        <v>57</v>
      </c>
    </row>
    <row r="4413" spans="1:9">
      <c r="A4413" s="4" t="s">
        <v>8877</v>
      </c>
      <c r="B4413" s="4" t="s">
        <v>8878</v>
      </c>
      <c r="C4413" s="4" t="s">
        <v>43</v>
      </c>
      <c r="D4413" s="2">
        <f>89152656/(10^6)</f>
        <v>89.152656</v>
      </c>
      <c r="E4413" s="5" t="s">
        <v>86</v>
      </c>
      <c r="F4413" s="5" t="s">
        <v>86</v>
      </c>
      <c r="G4413" s="5" t="s">
        <v>86</v>
      </c>
      <c r="H4413" s="5" t="s">
        <v>86</v>
      </c>
      <c r="I4413" t="s">
        <v>57</v>
      </c>
    </row>
    <row r="4414" spans="1:9">
      <c r="A4414" s="4" t="s">
        <v>8879</v>
      </c>
      <c r="B4414" s="4" t="s">
        <v>8880</v>
      </c>
      <c r="C4414" s="4" t="s">
        <v>31</v>
      </c>
      <c r="D4414" s="2">
        <f>89071800/(10^6)</f>
        <v>89.0718</v>
      </c>
      <c r="E4414" s="5">
        <v>6.49625539779663</v>
      </c>
      <c r="F4414" s="5">
        <v>1.30113530158997</v>
      </c>
      <c r="G4414" s="5">
        <v>0.300570368766785</v>
      </c>
      <c r="H4414" s="5">
        <v>4.68455934524536</v>
      </c>
      <c r="I4414" t="s">
        <v>57</v>
      </c>
    </row>
    <row r="4415" spans="1:9">
      <c r="A4415" s="4" t="s">
        <v>8881</v>
      </c>
      <c r="B4415" s="4" t="s">
        <v>8882</v>
      </c>
      <c r="C4415" s="4" t="s">
        <v>43</v>
      </c>
      <c r="D4415" s="2">
        <f>88944872/(10^6)</f>
        <v>88.944872</v>
      </c>
      <c r="E4415" s="5" t="s">
        <v>86</v>
      </c>
      <c r="F4415" s="5" t="s">
        <v>86</v>
      </c>
      <c r="G4415" s="5" t="s">
        <v>86</v>
      </c>
      <c r="H4415" s="5" t="s">
        <v>86</v>
      </c>
      <c r="I4415" t="s">
        <v>57</v>
      </c>
    </row>
    <row r="4416" spans="1:9">
      <c r="A4416" s="4" t="s">
        <v>8883</v>
      </c>
      <c r="B4416" s="4" t="s">
        <v>8884</v>
      </c>
      <c r="C4416" s="4" t="s">
        <v>33</v>
      </c>
      <c r="D4416" s="2">
        <f>88908032/(10^6)</f>
        <v>88.908032</v>
      </c>
      <c r="E4416" s="5" t="s">
        <v>86</v>
      </c>
      <c r="F4416" s="5" t="s">
        <v>86</v>
      </c>
      <c r="G4416" s="5">
        <v>2.16802000999451</v>
      </c>
      <c r="H4416" s="5" t="s">
        <v>86</v>
      </c>
      <c r="I4416" t="s">
        <v>57</v>
      </c>
    </row>
    <row r="4417" spans="1:9">
      <c r="A4417" s="4" t="s">
        <v>8885</v>
      </c>
      <c r="B4417" s="4" t="s">
        <v>8886</v>
      </c>
      <c r="C4417" s="4" t="s">
        <v>43</v>
      </c>
      <c r="D4417" s="2">
        <f>88565632/(10^6)</f>
        <v>88.565632</v>
      </c>
      <c r="E4417" s="5">
        <v>8.63354015350342</v>
      </c>
      <c r="F4417" s="5" t="s">
        <v>86</v>
      </c>
      <c r="G4417" s="5" t="s">
        <v>86</v>
      </c>
      <c r="H4417" s="5" t="s">
        <v>86</v>
      </c>
      <c r="I4417" t="s">
        <v>57</v>
      </c>
    </row>
    <row r="4418" spans="1:9">
      <c r="A4418" s="4" t="s">
        <v>8887</v>
      </c>
      <c r="B4418" s="4" t="s">
        <v>8888</v>
      </c>
      <c r="C4418" s="4" t="s">
        <v>27</v>
      </c>
      <c r="D4418" s="2">
        <f>88468784/(10^6)</f>
        <v>88.468784</v>
      </c>
      <c r="E4418" s="5" t="s">
        <v>86</v>
      </c>
      <c r="F4418" s="5">
        <v>0.500217974185944</v>
      </c>
      <c r="G4418" s="5">
        <v>0.055228170007467</v>
      </c>
      <c r="H4418" s="5" t="s">
        <v>86</v>
      </c>
      <c r="I4418" t="s">
        <v>57</v>
      </c>
    </row>
    <row r="4419" spans="1:9">
      <c r="A4419" s="4" t="s">
        <v>8889</v>
      </c>
      <c r="B4419" s="4" t="s">
        <v>8890</v>
      </c>
      <c r="C4419" s="4" t="s">
        <v>43</v>
      </c>
      <c r="D4419" s="2">
        <f>88171496/(10^6)</f>
        <v>88.171496</v>
      </c>
      <c r="E4419" s="5">
        <v>5.29621124267578</v>
      </c>
      <c r="F4419" s="5">
        <v>0.712151646614075</v>
      </c>
      <c r="G4419" s="5">
        <v>0.799032151699066</v>
      </c>
      <c r="H4419" s="5" t="s">
        <v>86</v>
      </c>
      <c r="I4419" t="s">
        <v>57</v>
      </c>
    </row>
    <row r="4420" spans="1:9">
      <c r="A4420" s="4" t="s">
        <v>8891</v>
      </c>
      <c r="B4420" s="4" t="s">
        <v>8892</v>
      </c>
      <c r="C4420" s="4" t="s">
        <v>41</v>
      </c>
      <c r="D4420" s="2">
        <f>87993360/(10^6)</f>
        <v>87.99336</v>
      </c>
      <c r="E4420" s="5" t="s">
        <v>86</v>
      </c>
      <c r="F4420" s="5">
        <v>1.2731614112854</v>
      </c>
      <c r="G4420" s="5">
        <v>13.9040813446045</v>
      </c>
      <c r="H4420" s="5" t="s">
        <v>86</v>
      </c>
      <c r="I4420" t="s">
        <v>57</v>
      </c>
    </row>
    <row r="4421" spans="1:9">
      <c r="A4421" s="4" t="s">
        <v>8893</v>
      </c>
      <c r="B4421" s="4" t="s">
        <v>8894</v>
      </c>
      <c r="C4421" s="4" t="s">
        <v>51</v>
      </c>
      <c r="D4421" s="2">
        <f>87900272/(10^6)</f>
        <v>87.900272</v>
      </c>
      <c r="E4421" s="5" t="s">
        <v>86</v>
      </c>
      <c r="F4421" s="5">
        <v>0.991979658603668</v>
      </c>
      <c r="G4421" s="5">
        <v>0.401641994714737</v>
      </c>
      <c r="H4421" s="5">
        <v>16.915340423584</v>
      </c>
      <c r="I4421" t="s">
        <v>57</v>
      </c>
    </row>
    <row r="4422" spans="1:9">
      <c r="A4422" s="4" t="s">
        <v>8895</v>
      </c>
      <c r="B4422" s="4" t="s">
        <v>8896</v>
      </c>
      <c r="C4422" s="4" t="s">
        <v>41</v>
      </c>
      <c r="D4422" s="2">
        <f>87894424/(10^6)</f>
        <v>87.894424</v>
      </c>
      <c r="E4422" s="5" t="s">
        <v>86</v>
      </c>
      <c r="F4422" s="5">
        <v>12.1059055328369</v>
      </c>
      <c r="G4422" s="5">
        <v>61.3205032348633</v>
      </c>
      <c r="H4422" s="5" t="s">
        <v>86</v>
      </c>
      <c r="I4422" t="s">
        <v>57</v>
      </c>
    </row>
    <row r="4423" spans="1:9">
      <c r="A4423" s="4" t="s">
        <v>8897</v>
      </c>
      <c r="B4423" s="4" t="s">
        <v>8898</v>
      </c>
      <c r="C4423" s="4" t="s">
        <v>51</v>
      </c>
      <c r="D4423" s="2">
        <f>87811624/(10^6)</f>
        <v>87.811624</v>
      </c>
      <c r="E4423" s="5" t="s">
        <v>86</v>
      </c>
      <c r="F4423" s="5" t="s">
        <v>86</v>
      </c>
      <c r="G4423" s="5">
        <v>0.076227240264416</v>
      </c>
      <c r="H4423" s="5">
        <v>0.283720910549164</v>
      </c>
      <c r="I4423" t="s">
        <v>57</v>
      </c>
    </row>
    <row r="4424" spans="1:9">
      <c r="A4424" s="4" t="s">
        <v>8899</v>
      </c>
      <c r="B4424" s="4" t="s">
        <v>8900</v>
      </c>
      <c r="C4424" s="4" t="s">
        <v>31</v>
      </c>
      <c r="D4424" s="2">
        <f>87788104/(10^6)</f>
        <v>87.788104</v>
      </c>
      <c r="E4424" s="5" t="s">
        <v>86</v>
      </c>
      <c r="F4424" s="5" t="s">
        <v>86</v>
      </c>
      <c r="G4424" s="5">
        <v>4.51368570327759</v>
      </c>
      <c r="H4424" s="5" t="s">
        <v>86</v>
      </c>
      <c r="I4424" t="s">
        <v>57</v>
      </c>
    </row>
    <row r="4425" spans="1:9">
      <c r="A4425" s="4" t="s">
        <v>8901</v>
      </c>
      <c r="B4425" s="4" t="s">
        <v>8902</v>
      </c>
      <c r="C4425" s="4" t="s">
        <v>41</v>
      </c>
      <c r="D4425" s="2">
        <f>87679416/(10^6)</f>
        <v>87.679416</v>
      </c>
      <c r="E4425" s="5" t="s">
        <v>86</v>
      </c>
      <c r="F4425" s="5">
        <v>1.49759042263031</v>
      </c>
      <c r="G4425" s="5" t="s">
        <v>86</v>
      </c>
      <c r="H4425" s="5" t="s">
        <v>86</v>
      </c>
      <c r="I4425" t="s">
        <v>57</v>
      </c>
    </row>
    <row r="4426" spans="1:9">
      <c r="A4426" s="4" t="s">
        <v>8903</v>
      </c>
      <c r="B4426" s="4" t="s">
        <v>8904</v>
      </c>
      <c r="C4426" s="4" t="s">
        <v>41</v>
      </c>
      <c r="D4426" s="2">
        <f>87504864/(10^6)</f>
        <v>87.504864</v>
      </c>
      <c r="E4426" s="5" t="s">
        <v>86</v>
      </c>
      <c r="F4426" s="5">
        <v>10.0191497802734</v>
      </c>
      <c r="G4426" s="5">
        <v>17.2071590423584</v>
      </c>
      <c r="H4426" s="5" t="s">
        <v>86</v>
      </c>
      <c r="I4426" t="s">
        <v>57</v>
      </c>
    </row>
    <row r="4427" spans="1:9">
      <c r="A4427" s="4" t="s">
        <v>8905</v>
      </c>
      <c r="B4427" s="4" t="s">
        <v>8906</v>
      </c>
      <c r="C4427" s="4" t="s">
        <v>43</v>
      </c>
      <c r="D4427" s="2">
        <f>87355968/(10^6)</f>
        <v>87.355968</v>
      </c>
      <c r="E4427" s="5">
        <v>3.36911797523498</v>
      </c>
      <c r="F4427" s="5">
        <v>0.384671002626419</v>
      </c>
      <c r="G4427" s="5">
        <v>1.75854051113129</v>
      </c>
      <c r="H4427" s="5" t="s">
        <v>86</v>
      </c>
      <c r="I4427" t="s">
        <v>57</v>
      </c>
    </row>
    <row r="4428" spans="1:9">
      <c r="A4428" s="4" t="s">
        <v>8907</v>
      </c>
      <c r="B4428" s="4" t="s">
        <v>8908</v>
      </c>
      <c r="C4428" s="4" t="s">
        <v>43</v>
      </c>
      <c r="D4428" s="2">
        <f>87225760/(10^6)</f>
        <v>87.22576</v>
      </c>
      <c r="E4428" s="5">
        <v>13.3779268264771</v>
      </c>
      <c r="F4428" s="5">
        <v>1.16633665561676</v>
      </c>
      <c r="G4428" s="5">
        <v>3.19674921035767</v>
      </c>
      <c r="H4428" s="5" t="s">
        <v>86</v>
      </c>
      <c r="I4428" t="s">
        <v>57</v>
      </c>
    </row>
    <row r="4429" spans="1:9">
      <c r="A4429" s="4" t="s">
        <v>8909</v>
      </c>
      <c r="B4429" s="4" t="s">
        <v>8910</v>
      </c>
      <c r="C4429" s="4" t="s">
        <v>37</v>
      </c>
      <c r="D4429" s="2">
        <f>87031672/(10^6)</f>
        <v>87.031672</v>
      </c>
      <c r="E4429" s="5" t="s">
        <v>86</v>
      </c>
      <c r="F4429" s="5">
        <v>0.266516089439392</v>
      </c>
      <c r="G4429" s="5">
        <v>0.501608550548553</v>
      </c>
      <c r="H4429" s="5">
        <v>10.5275917053223</v>
      </c>
      <c r="I4429" t="s">
        <v>57</v>
      </c>
    </row>
    <row r="4430" spans="1:9">
      <c r="A4430" s="4" t="s">
        <v>8911</v>
      </c>
      <c r="B4430" s="4" t="s">
        <v>8912</v>
      </c>
      <c r="C4430" s="4" t="s">
        <v>43</v>
      </c>
      <c r="D4430" s="2">
        <f>86907600/(10^6)</f>
        <v>86.9076</v>
      </c>
      <c r="E4430" s="5" t="s">
        <v>86</v>
      </c>
      <c r="F4430" s="5" t="s">
        <v>86</v>
      </c>
      <c r="G4430" s="5" t="s">
        <v>86</v>
      </c>
      <c r="H4430" s="5" t="s">
        <v>86</v>
      </c>
      <c r="I4430" t="s">
        <v>57</v>
      </c>
    </row>
    <row r="4431" spans="1:9">
      <c r="A4431" s="4" t="s">
        <v>8913</v>
      </c>
      <c r="B4431" s="4" t="s">
        <v>8914</v>
      </c>
      <c r="C4431" s="4" t="s">
        <v>47</v>
      </c>
      <c r="D4431" s="2">
        <f>86894160/(10^6)</f>
        <v>86.89416</v>
      </c>
      <c r="E4431" s="5" t="s">
        <v>86</v>
      </c>
      <c r="F4431" s="5">
        <v>1.93494522571564</v>
      </c>
      <c r="G4431" s="5">
        <v>4.0323314666748</v>
      </c>
      <c r="H4431" s="5">
        <v>62.2062797546387</v>
      </c>
      <c r="I4431" t="s">
        <v>57</v>
      </c>
    </row>
    <row r="4432" spans="1:9">
      <c r="A4432" s="4" t="s">
        <v>8915</v>
      </c>
      <c r="B4432" s="4" t="s">
        <v>8916</v>
      </c>
      <c r="C4432" s="4" t="s">
        <v>43</v>
      </c>
      <c r="D4432" s="2">
        <f>86611448/(10^6)</f>
        <v>86.611448</v>
      </c>
      <c r="E4432" s="5">
        <v>12.9247570037842</v>
      </c>
      <c r="F4432" s="5">
        <v>1.44504141807556</v>
      </c>
      <c r="G4432" s="5">
        <v>2.79427170753479</v>
      </c>
      <c r="H4432" s="5" t="s">
        <v>86</v>
      </c>
      <c r="I4432" t="s">
        <v>57</v>
      </c>
    </row>
    <row r="4433" spans="1:9">
      <c r="A4433" s="4" t="s">
        <v>8917</v>
      </c>
      <c r="B4433" s="4" t="s">
        <v>8918</v>
      </c>
      <c r="C4433" s="4" t="s">
        <v>49</v>
      </c>
      <c r="D4433" s="2">
        <f>86535208/(10^6)</f>
        <v>86.535208</v>
      </c>
      <c r="E4433" s="5" t="s">
        <v>86</v>
      </c>
      <c r="F4433" s="5">
        <v>1.37708222866058</v>
      </c>
      <c r="G4433" s="5" t="s">
        <v>86</v>
      </c>
      <c r="H4433" s="5" t="s">
        <v>86</v>
      </c>
      <c r="I4433" t="s">
        <v>57</v>
      </c>
    </row>
    <row r="4434" spans="1:9">
      <c r="A4434" s="4" t="s">
        <v>8919</v>
      </c>
      <c r="B4434" s="4" t="s">
        <v>8920</v>
      </c>
      <c r="C4434" s="4" t="s">
        <v>41</v>
      </c>
      <c r="D4434" s="2">
        <f>86410456/(10^6)</f>
        <v>86.410456</v>
      </c>
      <c r="E4434" s="5" t="s">
        <v>86</v>
      </c>
      <c r="F4434" s="5">
        <v>4.49872207641602</v>
      </c>
      <c r="G4434" s="5">
        <v>30.3364067077637</v>
      </c>
      <c r="H4434" s="5" t="s">
        <v>86</v>
      </c>
      <c r="I4434" t="s">
        <v>57</v>
      </c>
    </row>
    <row r="4435" spans="1:9">
      <c r="A4435" s="4" t="s">
        <v>8921</v>
      </c>
      <c r="B4435" s="4" t="s">
        <v>8922</v>
      </c>
      <c r="C4435" s="4" t="s">
        <v>43</v>
      </c>
      <c r="D4435" s="2">
        <f>86325920/(10^6)</f>
        <v>86.32592</v>
      </c>
      <c r="E4435" s="5">
        <v>8.26993846893311</v>
      </c>
      <c r="F4435" s="5">
        <v>0.733413636684418</v>
      </c>
      <c r="G4435" s="5" t="s">
        <v>86</v>
      </c>
      <c r="H4435" s="5" t="s">
        <v>86</v>
      </c>
      <c r="I4435" t="s">
        <v>57</v>
      </c>
    </row>
    <row r="4436" spans="1:9">
      <c r="A4436" s="4" t="s">
        <v>8923</v>
      </c>
      <c r="B4436" s="4" t="s">
        <v>8924</v>
      </c>
      <c r="C4436" s="4" t="s">
        <v>41</v>
      </c>
      <c r="D4436" s="2">
        <f>86282232/(10^6)</f>
        <v>86.282232</v>
      </c>
      <c r="E4436" s="5" t="s">
        <v>86</v>
      </c>
      <c r="F4436" s="5">
        <v>1.05177199840546</v>
      </c>
      <c r="G4436" s="5">
        <v>0.733479559421539</v>
      </c>
      <c r="H4436" s="5">
        <v>14.3575191497803</v>
      </c>
      <c r="I4436" t="s">
        <v>57</v>
      </c>
    </row>
    <row r="4437" spans="1:9">
      <c r="A4437" s="4" t="s">
        <v>8925</v>
      </c>
      <c r="B4437" s="4" t="s">
        <v>8926</v>
      </c>
      <c r="C4437" s="4" t="s">
        <v>27</v>
      </c>
      <c r="D4437" s="2">
        <f>86251200/(10^6)</f>
        <v>86.2512</v>
      </c>
      <c r="E4437" s="5" t="s">
        <v>86</v>
      </c>
      <c r="F4437" s="5" t="s">
        <v>86</v>
      </c>
      <c r="G4437" s="5" t="s">
        <v>86</v>
      </c>
      <c r="H4437" s="5" t="s">
        <v>86</v>
      </c>
      <c r="I4437" t="s">
        <v>57</v>
      </c>
    </row>
    <row r="4438" spans="1:9">
      <c r="A4438" s="4" t="s">
        <v>8927</v>
      </c>
      <c r="B4438" s="4" t="s">
        <v>8928</v>
      </c>
      <c r="C4438" s="4" t="s">
        <v>43</v>
      </c>
      <c r="D4438" s="2">
        <f>86135264/(10^6)</f>
        <v>86.135264</v>
      </c>
      <c r="E4438" s="5">
        <v>59.7622184753418</v>
      </c>
      <c r="F4438" s="5">
        <v>1.20586967468262</v>
      </c>
      <c r="G4438" s="5">
        <v>0.018508618697524</v>
      </c>
      <c r="H4438" s="5">
        <v>192.63330078125</v>
      </c>
      <c r="I4438" t="s">
        <v>57</v>
      </c>
    </row>
    <row r="4439" spans="1:9">
      <c r="A4439" s="4" t="s">
        <v>8929</v>
      </c>
      <c r="B4439" s="4" t="s">
        <v>8930</v>
      </c>
      <c r="C4439" s="4" t="s">
        <v>47</v>
      </c>
      <c r="D4439" s="2">
        <f>86118600/(10^6)</f>
        <v>86.1186</v>
      </c>
      <c r="E4439" s="5">
        <v>1.10765731334686</v>
      </c>
      <c r="F4439" s="5" t="s">
        <v>86</v>
      </c>
      <c r="G4439" s="5">
        <v>0.047767370939255</v>
      </c>
      <c r="H4439" s="5">
        <v>4.07345628738403</v>
      </c>
      <c r="I4439" t="s">
        <v>57</v>
      </c>
    </row>
    <row r="4440" spans="1:9">
      <c r="A4440" s="4" t="s">
        <v>8931</v>
      </c>
      <c r="B4440" s="4" t="s">
        <v>8932</v>
      </c>
      <c r="C4440" s="4" t="s">
        <v>31</v>
      </c>
      <c r="D4440" s="2">
        <f>86097712/(10^6)</f>
        <v>86.097712</v>
      </c>
      <c r="E4440" s="5">
        <v>4.57377672195435</v>
      </c>
      <c r="F4440" s="5">
        <v>0.503580152988434</v>
      </c>
      <c r="G4440" s="5">
        <v>0.198166280984879</v>
      </c>
      <c r="H4440" s="5">
        <v>6.82950305938721</v>
      </c>
      <c r="I4440" t="s">
        <v>57</v>
      </c>
    </row>
    <row r="4441" spans="1:9">
      <c r="A4441" s="4" t="s">
        <v>8933</v>
      </c>
      <c r="B4441" s="4" t="s">
        <v>8934</v>
      </c>
      <c r="C4441" s="4" t="s">
        <v>41</v>
      </c>
      <c r="D4441" s="2">
        <f>86085168/(10^6)</f>
        <v>86.085168</v>
      </c>
      <c r="E4441" s="5" t="s">
        <v>86</v>
      </c>
      <c r="F4441" s="5">
        <v>1.91892981529236</v>
      </c>
      <c r="G4441" s="5">
        <v>396.825378417969</v>
      </c>
      <c r="H4441" s="5" t="s">
        <v>86</v>
      </c>
      <c r="I4441" t="s">
        <v>57</v>
      </c>
    </row>
    <row r="4442" spans="1:9">
      <c r="A4442" s="4" t="s">
        <v>8935</v>
      </c>
      <c r="B4442" s="4" t="s">
        <v>8936</v>
      </c>
      <c r="C4442" s="4" t="s">
        <v>41</v>
      </c>
      <c r="D4442" s="2">
        <f>86057080/(10^6)</f>
        <v>86.05708</v>
      </c>
      <c r="E4442" s="5" t="s">
        <v>86</v>
      </c>
      <c r="F4442" s="5">
        <v>0.856931567192078</v>
      </c>
      <c r="G4442" s="5" t="s">
        <v>86</v>
      </c>
      <c r="H4442" s="5" t="s">
        <v>86</v>
      </c>
      <c r="I4442" t="s">
        <v>57</v>
      </c>
    </row>
    <row r="4443" spans="1:9">
      <c r="A4443" s="4" t="s">
        <v>8937</v>
      </c>
      <c r="B4443" s="4" t="s">
        <v>8938</v>
      </c>
      <c r="C4443" s="4" t="s">
        <v>41</v>
      </c>
      <c r="D4443" s="2">
        <f>85853552/(10^6)</f>
        <v>85.853552</v>
      </c>
      <c r="E4443" s="5" t="s">
        <v>86</v>
      </c>
      <c r="F4443" s="5">
        <v>2.3656108379364</v>
      </c>
      <c r="G4443" s="5" t="s">
        <v>86</v>
      </c>
      <c r="H4443" s="5" t="s">
        <v>86</v>
      </c>
      <c r="I4443" t="s">
        <v>57</v>
      </c>
    </row>
    <row r="4444" spans="1:9">
      <c r="A4444" s="4" t="s">
        <v>8939</v>
      </c>
      <c r="B4444" s="4" t="s">
        <v>8940</v>
      </c>
      <c r="C4444" s="4" t="s">
        <v>47</v>
      </c>
      <c r="D4444" s="2">
        <f>85812080/(10^6)</f>
        <v>85.81208</v>
      </c>
      <c r="E4444" s="5">
        <v>11.3636360168457</v>
      </c>
      <c r="F4444" s="5">
        <v>12.3931245803833</v>
      </c>
      <c r="G4444" s="5">
        <v>1.1178058385849</v>
      </c>
      <c r="H4444" s="5" t="s">
        <v>86</v>
      </c>
      <c r="I4444" t="s">
        <v>57</v>
      </c>
    </row>
    <row r="4445" spans="1:9">
      <c r="A4445" s="4" t="s">
        <v>8941</v>
      </c>
      <c r="B4445" s="4" t="s">
        <v>8942</v>
      </c>
      <c r="C4445" s="4" t="s">
        <v>31</v>
      </c>
      <c r="D4445" s="2">
        <f>85701712/(10^6)</f>
        <v>85.701712</v>
      </c>
      <c r="E4445" s="5">
        <v>16.3636360168457</v>
      </c>
      <c r="F4445" s="5">
        <v>0.780864119529724</v>
      </c>
      <c r="G4445" s="5">
        <v>0.798262655735016</v>
      </c>
      <c r="H4445" s="5">
        <v>9.06328773498535</v>
      </c>
      <c r="I4445" t="s">
        <v>57</v>
      </c>
    </row>
    <row r="4446" spans="1:9">
      <c r="A4446" s="4" t="s">
        <v>8943</v>
      </c>
      <c r="B4446" s="4" t="s">
        <v>8944</v>
      </c>
      <c r="C4446" s="4" t="s">
        <v>47</v>
      </c>
      <c r="D4446" s="2">
        <f>85640832/(10^6)</f>
        <v>85.640832</v>
      </c>
      <c r="E4446" s="5">
        <v>2.25075483322144</v>
      </c>
      <c r="F4446" s="5">
        <v>0.149977624416351</v>
      </c>
      <c r="G4446" s="5">
        <v>0.013247622177005</v>
      </c>
      <c r="H4446" s="5">
        <v>5.70402860641479</v>
      </c>
      <c r="I4446" t="s">
        <v>57</v>
      </c>
    </row>
    <row r="4447" spans="1:9">
      <c r="A4447" s="4" t="s">
        <v>8945</v>
      </c>
      <c r="B4447" s="4" t="s">
        <v>8946</v>
      </c>
      <c r="C4447" s="4" t="s">
        <v>27</v>
      </c>
      <c r="D4447" s="2">
        <f>85381480/(10^6)</f>
        <v>85.38148</v>
      </c>
      <c r="E4447" s="5" t="s">
        <v>86</v>
      </c>
      <c r="F4447" s="5">
        <v>0.064949035644531</v>
      </c>
      <c r="G4447" s="5">
        <v>0.055481217801571</v>
      </c>
      <c r="H4447" s="5" t="s">
        <v>86</v>
      </c>
      <c r="I4447" t="s">
        <v>57</v>
      </c>
    </row>
    <row r="4448" spans="1:9">
      <c r="A4448" s="4" t="s">
        <v>8947</v>
      </c>
      <c r="B4448" s="4" t="s">
        <v>8948</v>
      </c>
      <c r="C4448" s="4" t="s">
        <v>49</v>
      </c>
      <c r="D4448" s="2">
        <f>85189016/(10^6)</f>
        <v>85.189016</v>
      </c>
      <c r="E4448" s="5" t="s">
        <v>86</v>
      </c>
      <c r="F4448" s="5" t="s">
        <v>86</v>
      </c>
      <c r="G4448" s="5" t="s">
        <v>86</v>
      </c>
      <c r="H4448" s="5" t="s">
        <v>86</v>
      </c>
      <c r="I4448" t="s">
        <v>57</v>
      </c>
    </row>
    <row r="4449" spans="1:9">
      <c r="A4449" s="4" t="s">
        <v>8949</v>
      </c>
      <c r="B4449" s="4" t="s">
        <v>8950</v>
      </c>
      <c r="C4449" s="4" t="s">
        <v>31</v>
      </c>
      <c r="D4449" s="2">
        <f>85009216/(10^6)</f>
        <v>85.009216</v>
      </c>
      <c r="E4449" s="5" t="s">
        <v>86</v>
      </c>
      <c r="F4449" s="5" t="s">
        <v>86</v>
      </c>
      <c r="G4449" s="5" t="s">
        <v>86</v>
      </c>
      <c r="H4449" s="5" t="s">
        <v>86</v>
      </c>
      <c r="I4449" t="s">
        <v>57</v>
      </c>
    </row>
    <row r="4450" spans="1:9">
      <c r="A4450" s="4" t="s">
        <v>8951</v>
      </c>
      <c r="B4450" s="4" t="s">
        <v>8952</v>
      </c>
      <c r="C4450" s="4" t="s">
        <v>43</v>
      </c>
      <c r="D4450" s="2">
        <f>85000000/(10^6)</f>
        <v>85</v>
      </c>
      <c r="E4450" s="5" t="s">
        <v>86</v>
      </c>
      <c r="F4450" s="5" t="s">
        <v>86</v>
      </c>
      <c r="G4450" s="5" t="s">
        <v>86</v>
      </c>
      <c r="H4450" s="5" t="s">
        <v>86</v>
      </c>
      <c r="I4450" t="s">
        <v>57</v>
      </c>
    </row>
    <row r="4451" spans="1:9">
      <c r="A4451" s="4" t="s">
        <v>8953</v>
      </c>
      <c r="B4451" s="4" t="s">
        <v>8954</v>
      </c>
      <c r="C4451" s="4" t="s">
        <v>41</v>
      </c>
      <c r="D4451" s="2">
        <f>84961464/(10^6)</f>
        <v>84.961464</v>
      </c>
      <c r="E4451" s="5" t="s">
        <v>86</v>
      </c>
      <c r="F4451" s="5" t="s">
        <v>86</v>
      </c>
      <c r="G4451" s="5">
        <v>30.2724514007568</v>
      </c>
      <c r="H4451" s="5" t="s">
        <v>86</v>
      </c>
      <c r="I4451" t="s">
        <v>57</v>
      </c>
    </row>
    <row r="4452" spans="1:9">
      <c r="A4452" s="4" t="s">
        <v>8955</v>
      </c>
      <c r="B4452" s="4" t="s">
        <v>8956</v>
      </c>
      <c r="C4452" s="4" t="s">
        <v>43</v>
      </c>
      <c r="D4452" s="2">
        <f>84830008/(10^6)</f>
        <v>84.830008</v>
      </c>
      <c r="E4452" s="5">
        <v>7.6530613899231</v>
      </c>
      <c r="F4452" s="5">
        <v>0.745918393135071</v>
      </c>
      <c r="G4452" s="5">
        <v>1.58377826213837</v>
      </c>
      <c r="H4452" s="5" t="s">
        <v>86</v>
      </c>
      <c r="I4452" t="s">
        <v>57</v>
      </c>
    </row>
    <row r="4453" spans="1:9">
      <c r="A4453" s="4" t="s">
        <v>8957</v>
      </c>
      <c r="B4453" s="4" t="s">
        <v>8958</v>
      </c>
      <c r="C4453" s="4" t="s">
        <v>41</v>
      </c>
      <c r="D4453" s="2">
        <f>84793312/(10^6)</f>
        <v>84.793312</v>
      </c>
      <c r="E4453" s="5" t="s">
        <v>86</v>
      </c>
      <c r="F4453" s="5">
        <v>0.545361042022705</v>
      </c>
      <c r="G4453" s="5">
        <v>5.47362089157104</v>
      </c>
      <c r="H4453" s="5" t="s">
        <v>86</v>
      </c>
      <c r="I4453" t="s">
        <v>57</v>
      </c>
    </row>
    <row r="4454" spans="1:9">
      <c r="A4454" s="4" t="s">
        <v>8959</v>
      </c>
      <c r="B4454" s="4" t="s">
        <v>8960</v>
      </c>
      <c r="C4454" s="4" t="s">
        <v>47</v>
      </c>
      <c r="D4454" s="2">
        <f>84476920/(10^6)</f>
        <v>84.47692</v>
      </c>
      <c r="E4454" s="5" t="s">
        <v>86</v>
      </c>
      <c r="F4454" s="5" t="s">
        <v>86</v>
      </c>
      <c r="G4454" s="5" t="s">
        <v>86</v>
      </c>
      <c r="H4454" s="5" t="s">
        <v>86</v>
      </c>
      <c r="I4454" t="s">
        <v>57</v>
      </c>
    </row>
    <row r="4455" spans="1:9">
      <c r="A4455" s="4" t="s">
        <v>8961</v>
      </c>
      <c r="B4455" s="4" t="s">
        <v>8962</v>
      </c>
      <c r="C4455" s="4" t="s">
        <v>41</v>
      </c>
      <c r="D4455" s="2">
        <f>84424088/(10^6)</f>
        <v>84.424088</v>
      </c>
      <c r="E4455" s="5" t="s">
        <v>86</v>
      </c>
      <c r="F4455" s="5">
        <v>11.5307130813599</v>
      </c>
      <c r="G4455" s="5" t="s">
        <v>86</v>
      </c>
      <c r="H4455" s="5" t="s">
        <v>86</v>
      </c>
      <c r="I4455" t="s">
        <v>57</v>
      </c>
    </row>
    <row r="4456" spans="1:9">
      <c r="A4456" s="4" t="s">
        <v>8963</v>
      </c>
      <c r="B4456" s="4" t="s">
        <v>8964</v>
      </c>
      <c r="C4456" s="4" t="s">
        <v>31</v>
      </c>
      <c r="D4456" s="2">
        <f>83683032/(10^6)</f>
        <v>83.683032</v>
      </c>
      <c r="E4456" s="5">
        <v>6.06489849090576</v>
      </c>
      <c r="F4456" s="5">
        <v>0.862372875213623</v>
      </c>
      <c r="G4456" s="5">
        <v>0.222374975681305</v>
      </c>
      <c r="H4456" s="5">
        <v>17.249605178833</v>
      </c>
      <c r="I4456" t="s">
        <v>57</v>
      </c>
    </row>
    <row r="4457" spans="1:9">
      <c r="A4457" s="4" t="s">
        <v>8965</v>
      </c>
      <c r="B4457" s="4" t="s">
        <v>8966</v>
      </c>
      <c r="C4457" s="4" t="s">
        <v>49</v>
      </c>
      <c r="D4457" s="2">
        <f>83678680/(10^6)</f>
        <v>83.67868</v>
      </c>
      <c r="E4457" s="5" t="s">
        <v>86</v>
      </c>
      <c r="F4457" s="5" t="s">
        <v>86</v>
      </c>
      <c r="G4457" s="5" t="s">
        <v>86</v>
      </c>
      <c r="H4457" s="5" t="s">
        <v>86</v>
      </c>
      <c r="I4457" t="s">
        <v>57</v>
      </c>
    </row>
    <row r="4458" spans="1:9">
      <c r="A4458" s="4" t="s">
        <v>8967</v>
      </c>
      <c r="B4458" s="4" t="s">
        <v>8968</v>
      </c>
      <c r="C4458" s="4" t="s">
        <v>41</v>
      </c>
      <c r="D4458" s="2">
        <f>83542232/(10^6)</f>
        <v>83.542232</v>
      </c>
      <c r="E4458" s="5" t="s">
        <v>86</v>
      </c>
      <c r="F4458" s="5">
        <v>0.8500075340271</v>
      </c>
      <c r="G4458" s="5">
        <v>18.3059959411621</v>
      </c>
      <c r="H4458" s="5" t="s">
        <v>86</v>
      </c>
      <c r="I4458" t="s">
        <v>57</v>
      </c>
    </row>
    <row r="4459" spans="1:9">
      <c r="A4459" s="4" t="s">
        <v>8969</v>
      </c>
      <c r="B4459" s="4" t="s">
        <v>8970</v>
      </c>
      <c r="C4459" s="4" t="s">
        <v>47</v>
      </c>
      <c r="D4459" s="2">
        <f>83399744/(10^6)</f>
        <v>83.399744</v>
      </c>
      <c r="E4459" s="5" t="s">
        <v>86</v>
      </c>
      <c r="F4459" s="5" t="s">
        <v>86</v>
      </c>
      <c r="G4459" s="5" t="s">
        <v>86</v>
      </c>
      <c r="H4459" s="5" t="s">
        <v>86</v>
      </c>
      <c r="I4459" t="s">
        <v>57</v>
      </c>
    </row>
    <row r="4460" spans="1:9">
      <c r="A4460" s="4" t="s">
        <v>8971</v>
      </c>
      <c r="B4460" s="4" t="s">
        <v>8972</v>
      </c>
      <c r="C4460" s="4" t="s">
        <v>47</v>
      </c>
      <c r="D4460" s="2">
        <f>83387608/(10^6)</f>
        <v>83.387608</v>
      </c>
      <c r="E4460" s="5" t="s">
        <v>86</v>
      </c>
      <c r="F4460" s="5">
        <v>0.920424699783325</v>
      </c>
      <c r="G4460" s="5">
        <v>0.268746137619019</v>
      </c>
      <c r="H4460" s="5" t="s">
        <v>86</v>
      </c>
      <c r="I4460" t="s">
        <v>57</v>
      </c>
    </row>
    <row r="4461" spans="1:9">
      <c r="A4461" s="4" t="s">
        <v>8973</v>
      </c>
      <c r="B4461" s="4" t="s">
        <v>8974</v>
      </c>
      <c r="C4461" s="4" t="s">
        <v>43</v>
      </c>
      <c r="D4461" s="2">
        <f>83305792/(10^6)</f>
        <v>83.305792</v>
      </c>
      <c r="E4461" s="5">
        <v>10.7518100738525</v>
      </c>
      <c r="F4461" s="5">
        <v>1.07241189479828</v>
      </c>
      <c r="G4461" s="5">
        <v>2.41950154304504</v>
      </c>
      <c r="H4461" s="5" t="s">
        <v>86</v>
      </c>
      <c r="I4461" t="s">
        <v>57</v>
      </c>
    </row>
    <row r="4462" spans="1:9">
      <c r="A4462" s="4" t="s">
        <v>8975</v>
      </c>
      <c r="B4462" s="4" t="s">
        <v>8976</v>
      </c>
      <c r="C4462" s="4" t="s">
        <v>35</v>
      </c>
      <c r="D4462" s="2">
        <f>83127312/(10^6)</f>
        <v>83.127312</v>
      </c>
      <c r="E4462" s="5">
        <v>11.8635692596436</v>
      </c>
      <c r="F4462" s="5">
        <v>3.70298957824707</v>
      </c>
      <c r="G4462" s="5">
        <v>1.80858814716339</v>
      </c>
      <c r="H4462" s="5">
        <v>9.02346420288086</v>
      </c>
      <c r="I4462" t="s">
        <v>57</v>
      </c>
    </row>
    <row r="4463" spans="1:9">
      <c r="A4463" s="4" t="s">
        <v>8977</v>
      </c>
      <c r="B4463" s="4" t="s">
        <v>8978</v>
      </c>
      <c r="C4463" s="4" t="s">
        <v>51</v>
      </c>
      <c r="D4463" s="2">
        <f>82925320/(10^6)</f>
        <v>82.92532</v>
      </c>
      <c r="E4463" s="5" t="s">
        <v>86</v>
      </c>
      <c r="F4463" s="5">
        <v>11.6935758590698</v>
      </c>
      <c r="G4463" s="5">
        <v>50.6270866394043</v>
      </c>
      <c r="H4463" s="5" t="s">
        <v>86</v>
      </c>
      <c r="I4463" t="s">
        <v>57</v>
      </c>
    </row>
    <row r="4464" spans="1:9">
      <c r="A4464" s="4" t="s">
        <v>8979</v>
      </c>
      <c r="B4464" s="4" t="s">
        <v>8980</v>
      </c>
      <c r="C4464" s="4" t="s">
        <v>27</v>
      </c>
      <c r="D4464" s="2">
        <f>82900608/(10^6)</f>
        <v>82.900608</v>
      </c>
      <c r="E4464" s="5" t="s">
        <v>86</v>
      </c>
      <c r="F4464" s="5" t="s">
        <v>86</v>
      </c>
      <c r="G4464" s="5" t="s">
        <v>86</v>
      </c>
      <c r="H4464" s="5" t="s">
        <v>86</v>
      </c>
      <c r="I4464" t="s">
        <v>57</v>
      </c>
    </row>
    <row r="4465" spans="1:9">
      <c r="A4465" s="4" t="s">
        <v>8981</v>
      </c>
      <c r="B4465" s="4" t="s">
        <v>8982</v>
      </c>
      <c r="C4465" s="4" t="s">
        <v>27</v>
      </c>
      <c r="D4465" s="2">
        <f>82752888/(10^6)</f>
        <v>82.752888</v>
      </c>
      <c r="E4465" s="5">
        <v>8.35117721557617</v>
      </c>
      <c r="F4465" s="5">
        <v>1.07658338546753</v>
      </c>
      <c r="G4465" s="5">
        <v>2.15601992607117</v>
      </c>
      <c r="H4465" s="5">
        <v>3.35447573661804</v>
      </c>
      <c r="I4465" t="s">
        <v>57</v>
      </c>
    </row>
    <row r="4466" spans="1:9">
      <c r="A4466" s="4" t="s">
        <v>8983</v>
      </c>
      <c r="B4466" s="4" t="s">
        <v>8984</v>
      </c>
      <c r="C4466" s="4" t="s">
        <v>43</v>
      </c>
      <c r="D4466" s="2">
        <f>82616016/(10^6)</f>
        <v>82.616016</v>
      </c>
      <c r="E4466" s="5">
        <v>8.54744720458984</v>
      </c>
      <c r="F4466" s="5">
        <v>0.85462361574173</v>
      </c>
      <c r="G4466" s="5">
        <v>1.909592628479</v>
      </c>
      <c r="H4466" s="5" t="s">
        <v>86</v>
      </c>
      <c r="I4466" t="s">
        <v>57</v>
      </c>
    </row>
    <row r="4467" spans="1:9">
      <c r="A4467" s="4" t="s">
        <v>8985</v>
      </c>
      <c r="B4467" s="4" t="s">
        <v>8986</v>
      </c>
      <c r="C4467" s="4" t="s">
        <v>43</v>
      </c>
      <c r="D4467" s="2">
        <f>82512504/(10^6)</f>
        <v>82.512504</v>
      </c>
      <c r="E4467" s="5">
        <v>10.071005821228</v>
      </c>
      <c r="F4467" s="5">
        <v>0.88983952999115</v>
      </c>
      <c r="G4467" s="5">
        <v>1.94010484218597</v>
      </c>
      <c r="H4467" s="5" t="s">
        <v>86</v>
      </c>
      <c r="I4467" t="s">
        <v>57</v>
      </c>
    </row>
    <row r="4468" spans="1:9">
      <c r="A4468" s="4" t="s">
        <v>8987</v>
      </c>
      <c r="B4468" s="4" t="s">
        <v>8988</v>
      </c>
      <c r="C4468" s="4" t="s">
        <v>41</v>
      </c>
      <c r="D4468" s="2">
        <f>82315320/(10^6)</f>
        <v>82.31532</v>
      </c>
      <c r="E4468" s="5" t="s">
        <v>86</v>
      </c>
      <c r="F4468" s="5">
        <v>0.770296931266785</v>
      </c>
      <c r="G4468" s="5">
        <v>1.45022583007812</v>
      </c>
      <c r="H4468" s="5" t="s">
        <v>86</v>
      </c>
      <c r="I4468" t="s">
        <v>57</v>
      </c>
    </row>
    <row r="4469" spans="1:9">
      <c r="A4469" s="4" t="s">
        <v>8989</v>
      </c>
      <c r="B4469" s="4" t="s">
        <v>8990</v>
      </c>
      <c r="C4469" s="4" t="s">
        <v>51</v>
      </c>
      <c r="D4469" s="2">
        <f>82254248/(10^6)</f>
        <v>82.254248</v>
      </c>
      <c r="E4469" s="5">
        <v>18.9152984619141</v>
      </c>
      <c r="F4469" s="5">
        <v>2.78990983963013</v>
      </c>
      <c r="G4469" s="5">
        <v>3.43924832344055</v>
      </c>
      <c r="H4469" s="5">
        <v>9.55144882202148</v>
      </c>
      <c r="I4469" t="s">
        <v>57</v>
      </c>
    </row>
    <row r="4470" spans="1:9">
      <c r="A4470" s="4" t="s">
        <v>8991</v>
      </c>
      <c r="B4470" s="4" t="s">
        <v>8992</v>
      </c>
      <c r="C4470" s="4" t="s">
        <v>51</v>
      </c>
      <c r="D4470" s="2">
        <f>82241248/(10^6)</f>
        <v>82.241248</v>
      </c>
      <c r="E4470" s="5" t="s">
        <v>86</v>
      </c>
      <c r="F4470" s="5">
        <v>1.44734251499176</v>
      </c>
      <c r="G4470" s="5">
        <v>1.83472514152527</v>
      </c>
      <c r="H4470" s="5" t="s">
        <v>86</v>
      </c>
      <c r="I4470" t="s">
        <v>57</v>
      </c>
    </row>
    <row r="4471" spans="1:9">
      <c r="A4471" s="4" t="s">
        <v>8993</v>
      </c>
      <c r="B4471" s="4" t="s">
        <v>8994</v>
      </c>
      <c r="C4471" s="4" t="s">
        <v>43</v>
      </c>
      <c r="D4471" s="2">
        <f>82219672/(10^6)</f>
        <v>82.219672</v>
      </c>
      <c r="E4471" s="5">
        <v>7.53055858612061</v>
      </c>
      <c r="F4471" s="5">
        <v>0.807429134845734</v>
      </c>
      <c r="G4471" s="5">
        <v>1.46562361717224</v>
      </c>
      <c r="H4471" s="5" t="s">
        <v>86</v>
      </c>
      <c r="I4471" t="s">
        <v>57</v>
      </c>
    </row>
    <row r="4472" spans="1:9">
      <c r="A4472" s="4" t="s">
        <v>8995</v>
      </c>
      <c r="B4472" s="4" t="s">
        <v>8996</v>
      </c>
      <c r="C4472" s="4" t="s">
        <v>47</v>
      </c>
      <c r="D4472" s="2">
        <f>82059920/(10^6)</f>
        <v>82.05992</v>
      </c>
      <c r="E4472" s="5">
        <v>12.5543632507324</v>
      </c>
      <c r="F4472" s="5">
        <v>1.63470411300659</v>
      </c>
      <c r="G4472" s="5">
        <v>1.85466003417969</v>
      </c>
      <c r="H4472" s="5">
        <v>7.57140779495239</v>
      </c>
      <c r="I4472" t="s">
        <v>57</v>
      </c>
    </row>
    <row r="4473" spans="1:9">
      <c r="A4473" s="4" t="s">
        <v>8997</v>
      </c>
      <c r="B4473" s="4" t="s">
        <v>8998</v>
      </c>
      <c r="C4473" s="4" t="s">
        <v>37</v>
      </c>
      <c r="D4473" s="2">
        <f>82058912/(10^6)</f>
        <v>82.058912</v>
      </c>
      <c r="E4473" s="5" t="s">
        <v>86</v>
      </c>
      <c r="F4473" s="5">
        <v>0.764052033424377</v>
      </c>
      <c r="G4473" s="5">
        <v>0.264759242534637</v>
      </c>
      <c r="H4473" s="5">
        <v>14.4930944442749</v>
      </c>
      <c r="I4473" t="s">
        <v>57</v>
      </c>
    </row>
    <row r="4474" spans="1:9">
      <c r="A4474" s="4" t="s">
        <v>8999</v>
      </c>
      <c r="B4474" s="4" t="s">
        <v>9000</v>
      </c>
      <c r="C4474" s="4" t="s">
        <v>43</v>
      </c>
      <c r="D4474" s="2">
        <f>81922904/(10^6)</f>
        <v>81.922904</v>
      </c>
      <c r="E4474" s="5">
        <v>28.125</v>
      </c>
      <c r="F4474" s="5">
        <v>1.07785677909851</v>
      </c>
      <c r="G4474" s="5" t="s">
        <v>86</v>
      </c>
      <c r="H4474" s="5" t="s">
        <v>86</v>
      </c>
      <c r="I4474" t="s">
        <v>57</v>
      </c>
    </row>
    <row r="4475" spans="1:9">
      <c r="A4475" s="4" t="s">
        <v>9001</v>
      </c>
      <c r="B4475" s="4" t="s">
        <v>9002</v>
      </c>
      <c r="C4475" s="4" t="s">
        <v>43</v>
      </c>
      <c r="D4475" s="2">
        <f>81922752/(10^6)</f>
        <v>81.922752</v>
      </c>
      <c r="E4475" s="5">
        <v>36.875</v>
      </c>
      <c r="F4475" s="5">
        <v>2.60411167144775</v>
      </c>
      <c r="G4475" s="5">
        <v>6.53458690643311</v>
      </c>
      <c r="H4475" s="5" t="s">
        <v>86</v>
      </c>
      <c r="I4475" t="s">
        <v>57</v>
      </c>
    </row>
    <row r="4476" spans="1:9">
      <c r="A4476" s="4" t="s">
        <v>9003</v>
      </c>
      <c r="B4476" s="4" t="s">
        <v>9004</v>
      </c>
      <c r="C4476" s="4" t="s">
        <v>33</v>
      </c>
      <c r="D4476" s="2">
        <f>81669376/(10^6)</f>
        <v>81.669376</v>
      </c>
      <c r="E4476" s="5">
        <v>2.72786521911621</v>
      </c>
      <c r="F4476" s="5">
        <v>0.178706988692284</v>
      </c>
      <c r="G4476" s="5">
        <v>0.083528555929661</v>
      </c>
      <c r="H4476" s="5">
        <v>4.77288007736206</v>
      </c>
      <c r="I4476" t="s">
        <v>57</v>
      </c>
    </row>
    <row r="4477" spans="1:9">
      <c r="A4477" s="4" t="s">
        <v>9005</v>
      </c>
      <c r="B4477" s="4" t="s">
        <v>9006</v>
      </c>
      <c r="C4477" s="4" t="s">
        <v>41</v>
      </c>
      <c r="D4477" s="2">
        <f>81660496/(10^6)</f>
        <v>81.660496</v>
      </c>
      <c r="E4477" s="5" t="s">
        <v>86</v>
      </c>
      <c r="F4477" s="5">
        <v>0.829904198646545</v>
      </c>
      <c r="G4477" s="5" t="s">
        <v>86</v>
      </c>
      <c r="H4477" s="5" t="s">
        <v>86</v>
      </c>
      <c r="I4477" t="s">
        <v>57</v>
      </c>
    </row>
    <row r="4478" spans="1:9">
      <c r="A4478" s="4" t="s">
        <v>9007</v>
      </c>
      <c r="B4478" s="4" t="s">
        <v>9008</v>
      </c>
      <c r="C4478" s="4" t="s">
        <v>49</v>
      </c>
      <c r="D4478" s="2">
        <f>81638696/(10^6)</f>
        <v>81.638696</v>
      </c>
      <c r="E4478" s="5" t="s">
        <v>86</v>
      </c>
      <c r="F4478" s="5" t="s">
        <v>86</v>
      </c>
      <c r="G4478" s="5" t="s">
        <v>86</v>
      </c>
      <c r="H4478" s="5" t="s">
        <v>86</v>
      </c>
      <c r="I4478" t="s">
        <v>57</v>
      </c>
    </row>
    <row r="4479" spans="1:9">
      <c r="A4479" s="4" t="s">
        <v>9009</v>
      </c>
      <c r="B4479" s="4" t="s">
        <v>9010</v>
      </c>
      <c r="C4479" s="4" t="s">
        <v>43</v>
      </c>
      <c r="D4479" s="2">
        <f>81495056/(10^6)</f>
        <v>81.495056</v>
      </c>
      <c r="E4479" s="5">
        <v>7.83506536483765</v>
      </c>
      <c r="F4479" s="5">
        <v>1.37463355064392</v>
      </c>
      <c r="G4479" s="5" t="s">
        <v>86</v>
      </c>
      <c r="H4479" s="5" t="s">
        <v>86</v>
      </c>
      <c r="I4479" t="s">
        <v>57</v>
      </c>
    </row>
    <row r="4480" spans="1:9">
      <c r="A4480" s="4" t="s">
        <v>9011</v>
      </c>
      <c r="B4480" s="4" t="s">
        <v>9012</v>
      </c>
      <c r="C4480" s="4" t="s">
        <v>35</v>
      </c>
      <c r="D4480" s="2">
        <f>81359344/(10^6)</f>
        <v>81.359344</v>
      </c>
      <c r="E4480" s="5" t="s">
        <v>86</v>
      </c>
      <c r="F4480" s="5" t="s">
        <v>86</v>
      </c>
      <c r="G4480" s="5" t="s">
        <v>86</v>
      </c>
      <c r="H4480" s="5" t="s">
        <v>86</v>
      </c>
      <c r="I4480" t="s">
        <v>57</v>
      </c>
    </row>
    <row r="4481" spans="1:9">
      <c r="A4481" s="4" t="s">
        <v>9013</v>
      </c>
      <c r="B4481" s="4" t="s">
        <v>9014</v>
      </c>
      <c r="C4481" s="4" t="s">
        <v>49</v>
      </c>
      <c r="D4481" s="2">
        <f>81217504/(10^6)</f>
        <v>81.217504</v>
      </c>
      <c r="E4481" s="5" t="s">
        <v>86</v>
      </c>
      <c r="F4481" s="5" t="s">
        <v>86</v>
      </c>
      <c r="G4481" s="5" t="s">
        <v>86</v>
      </c>
      <c r="H4481" s="5" t="s">
        <v>86</v>
      </c>
      <c r="I4481" t="s">
        <v>57</v>
      </c>
    </row>
    <row r="4482" spans="1:9">
      <c r="A4482" s="4" t="s">
        <v>9015</v>
      </c>
      <c r="B4482" s="4" t="s">
        <v>9016</v>
      </c>
      <c r="C4482" s="4" t="s">
        <v>41</v>
      </c>
      <c r="D4482" s="2">
        <f>81201432/(10^6)</f>
        <v>81.201432</v>
      </c>
      <c r="E4482" s="5" t="s">
        <v>86</v>
      </c>
      <c r="F4482" s="5">
        <v>0.346307098865509</v>
      </c>
      <c r="G4482" s="5">
        <v>0.118735447525978</v>
      </c>
      <c r="H4482" s="5" t="s">
        <v>86</v>
      </c>
      <c r="I4482" t="s">
        <v>57</v>
      </c>
    </row>
    <row r="4483" spans="1:9">
      <c r="A4483" s="4" t="s">
        <v>9017</v>
      </c>
      <c r="B4483" s="4" t="s">
        <v>9018</v>
      </c>
      <c r="C4483" s="4" t="s">
        <v>27</v>
      </c>
      <c r="D4483" s="2">
        <f>80907880/(10^6)</f>
        <v>80.90788</v>
      </c>
      <c r="E4483" s="5" t="s">
        <v>86</v>
      </c>
      <c r="F4483" s="5">
        <v>0.147207155823708</v>
      </c>
      <c r="G4483" s="5">
        <v>0.098536804318428</v>
      </c>
      <c r="H4483" s="5">
        <v>2.83794713020325</v>
      </c>
      <c r="I4483" t="s">
        <v>57</v>
      </c>
    </row>
    <row r="4484" spans="1:9">
      <c r="A4484" s="4" t="s">
        <v>9019</v>
      </c>
      <c r="B4484" s="4" t="s">
        <v>9020</v>
      </c>
      <c r="C4484" s="4" t="s">
        <v>43</v>
      </c>
      <c r="D4484" s="2">
        <f>80889696/(10^6)</f>
        <v>80.889696</v>
      </c>
      <c r="E4484" s="5">
        <v>9.81775760650635</v>
      </c>
      <c r="F4484" s="5">
        <v>0.956945478916168</v>
      </c>
      <c r="G4484" s="5">
        <v>1.72317504882812</v>
      </c>
      <c r="H4484" s="5" t="s">
        <v>86</v>
      </c>
      <c r="I4484" t="s">
        <v>57</v>
      </c>
    </row>
    <row r="4485" spans="1:9">
      <c r="A4485" s="4" t="s">
        <v>9021</v>
      </c>
      <c r="B4485" s="4" t="s">
        <v>9022</v>
      </c>
      <c r="C4485" s="4" t="s">
        <v>31</v>
      </c>
      <c r="D4485" s="2">
        <f>80886504/(10^6)</f>
        <v>80.886504</v>
      </c>
      <c r="E4485" s="5" t="s">
        <v>86</v>
      </c>
      <c r="F4485" s="5">
        <v>2.78138065338135</v>
      </c>
      <c r="G4485" s="5">
        <v>0.387179374694824</v>
      </c>
      <c r="H4485" s="5" t="s">
        <v>86</v>
      </c>
      <c r="I4485" t="s">
        <v>57</v>
      </c>
    </row>
    <row r="4486" spans="1:9">
      <c r="A4486" s="4" t="s">
        <v>9023</v>
      </c>
      <c r="B4486" s="4" t="s">
        <v>9024</v>
      </c>
      <c r="C4486" s="4" t="s">
        <v>43</v>
      </c>
      <c r="D4486" s="2">
        <f>80828992/(10^6)</f>
        <v>80.828992</v>
      </c>
      <c r="E4486" s="5">
        <v>3.85514688491821</v>
      </c>
      <c r="F4486" s="5">
        <v>0.272672057151794</v>
      </c>
      <c r="G4486" s="5">
        <v>0.182489052414894</v>
      </c>
      <c r="H4486" s="5" t="s">
        <v>86</v>
      </c>
      <c r="I4486" t="s">
        <v>57</v>
      </c>
    </row>
    <row r="4487" spans="1:9">
      <c r="A4487" s="4" t="s">
        <v>9025</v>
      </c>
      <c r="B4487" s="4" t="s">
        <v>9026</v>
      </c>
      <c r="C4487" s="4" t="s">
        <v>43</v>
      </c>
      <c r="D4487" s="2">
        <f>80761776/(10^6)</f>
        <v>80.761776</v>
      </c>
      <c r="E4487" s="5">
        <v>9.9135799407959</v>
      </c>
      <c r="F4487" s="5">
        <v>0.806601405143738</v>
      </c>
      <c r="G4487" s="5">
        <v>1.53721427917481</v>
      </c>
      <c r="H4487" s="5" t="s">
        <v>86</v>
      </c>
      <c r="I4487" t="s">
        <v>57</v>
      </c>
    </row>
    <row r="4488" spans="1:9">
      <c r="A4488" s="4" t="s">
        <v>9027</v>
      </c>
      <c r="B4488" s="4" t="s">
        <v>9028</v>
      </c>
      <c r="C4488" s="4" t="s">
        <v>31</v>
      </c>
      <c r="D4488" s="2">
        <f>80708512/(10^6)</f>
        <v>80.708512</v>
      </c>
      <c r="E4488" s="5" t="s">
        <v>86</v>
      </c>
      <c r="F4488" s="5">
        <v>0.202017351984978</v>
      </c>
      <c r="G4488" s="5">
        <v>0.043802887201309</v>
      </c>
      <c r="H4488" s="5">
        <v>17.9911022186279</v>
      </c>
      <c r="I4488" t="s">
        <v>57</v>
      </c>
    </row>
    <row r="4489" spans="1:9">
      <c r="A4489" s="4" t="s">
        <v>9029</v>
      </c>
      <c r="B4489" s="4" t="s">
        <v>9030</v>
      </c>
      <c r="C4489" s="4" t="s">
        <v>51</v>
      </c>
      <c r="D4489" s="2">
        <f>80395504/(10^6)</f>
        <v>80.395504</v>
      </c>
      <c r="E4489" s="5" t="s">
        <v>86</v>
      </c>
      <c r="F4489" s="5">
        <v>69.0178756713867</v>
      </c>
      <c r="G4489" s="5" t="s">
        <v>86</v>
      </c>
      <c r="H4489" s="5" t="s">
        <v>86</v>
      </c>
      <c r="I4489" t="s">
        <v>57</v>
      </c>
    </row>
    <row r="4490" spans="1:9">
      <c r="A4490" s="4" t="s">
        <v>9031</v>
      </c>
      <c r="B4490" s="4" t="s">
        <v>9032</v>
      </c>
      <c r="C4490" s="4" t="s">
        <v>43</v>
      </c>
      <c r="D4490" s="2">
        <f>80190264/(10^6)</f>
        <v>80.190264</v>
      </c>
      <c r="E4490" s="5">
        <v>11.0687017440796</v>
      </c>
      <c r="F4490" s="5">
        <v>1.56709206104279</v>
      </c>
      <c r="G4490" s="5">
        <v>3.79278039932251</v>
      </c>
      <c r="H4490" s="5" t="s">
        <v>86</v>
      </c>
      <c r="I4490" t="s">
        <v>57</v>
      </c>
    </row>
    <row r="4491" spans="1:9">
      <c r="A4491" s="4" t="s">
        <v>9033</v>
      </c>
      <c r="B4491" s="4" t="s">
        <v>9034</v>
      </c>
      <c r="C4491" s="4" t="s">
        <v>43</v>
      </c>
      <c r="D4491" s="2">
        <f>80146032/(10^6)</f>
        <v>80.146032</v>
      </c>
      <c r="E4491" s="5" t="s">
        <v>86</v>
      </c>
      <c r="F4491" s="5">
        <v>3.19700813293457</v>
      </c>
      <c r="G4491" s="5" t="s">
        <v>86</v>
      </c>
      <c r="H4491" s="5" t="s">
        <v>86</v>
      </c>
      <c r="I4491" t="s">
        <v>57</v>
      </c>
    </row>
    <row r="4492" spans="1:9">
      <c r="A4492" s="4" t="s">
        <v>9035</v>
      </c>
      <c r="B4492" s="4" t="s">
        <v>9036</v>
      </c>
      <c r="C4492" s="4" t="s">
        <v>47</v>
      </c>
      <c r="D4492" s="2">
        <f>80070248/(10^6)</f>
        <v>80.070248</v>
      </c>
      <c r="E4492" s="5">
        <v>11.1381931304932</v>
      </c>
      <c r="F4492" s="5">
        <v>0.639929711818695</v>
      </c>
      <c r="G4492" s="5">
        <v>0.453195959329605</v>
      </c>
      <c r="H4492" s="5">
        <v>5.33677101135254</v>
      </c>
      <c r="I4492" t="s">
        <v>57</v>
      </c>
    </row>
    <row r="4493" spans="1:9">
      <c r="A4493" s="4" t="s">
        <v>9037</v>
      </c>
      <c r="B4493" s="4" t="s">
        <v>9038</v>
      </c>
      <c r="C4493" s="4" t="s">
        <v>27</v>
      </c>
      <c r="D4493" s="2">
        <f>80056328/(10^6)</f>
        <v>80.056328</v>
      </c>
      <c r="E4493" s="5" t="s">
        <v>86</v>
      </c>
      <c r="F4493" s="5">
        <v>0.447955280542374</v>
      </c>
      <c r="G4493" s="5">
        <v>0.758704006671906</v>
      </c>
      <c r="H4493" s="5">
        <v>2.46397471427917</v>
      </c>
      <c r="I4493" t="s">
        <v>57</v>
      </c>
    </row>
    <row r="4494" spans="1:9">
      <c r="A4494" s="4" t="s">
        <v>9039</v>
      </c>
      <c r="B4494" s="4" t="s">
        <v>9040</v>
      </c>
      <c r="C4494" s="4" t="s">
        <v>41</v>
      </c>
      <c r="D4494" s="2">
        <f>80048808/(10^6)</f>
        <v>80.048808</v>
      </c>
      <c r="E4494" s="5" t="s">
        <v>86</v>
      </c>
      <c r="F4494" s="5">
        <v>1.37156748771668</v>
      </c>
      <c r="G4494" s="5" t="s">
        <v>86</v>
      </c>
      <c r="H4494" s="5" t="s">
        <v>86</v>
      </c>
      <c r="I4494" t="s">
        <v>57</v>
      </c>
    </row>
    <row r="4495" spans="1:9">
      <c r="A4495" s="4" t="s">
        <v>9041</v>
      </c>
      <c r="B4495" s="4" t="s">
        <v>9042</v>
      </c>
      <c r="C4495" s="4" t="s">
        <v>47</v>
      </c>
      <c r="D4495" s="2">
        <f>79897384/(10^6)</f>
        <v>79.897384</v>
      </c>
      <c r="E4495" s="5">
        <v>5.28626918792725</v>
      </c>
      <c r="F4495" s="5">
        <v>1.25940215587616</v>
      </c>
      <c r="G4495" s="5">
        <v>0.340114772319794</v>
      </c>
      <c r="H4495" s="5">
        <v>5.36411333084106</v>
      </c>
      <c r="I4495" t="s">
        <v>57</v>
      </c>
    </row>
    <row r="4496" spans="1:9">
      <c r="A4496" s="4" t="s">
        <v>9043</v>
      </c>
      <c r="B4496" s="4" t="s">
        <v>9044</v>
      </c>
      <c r="C4496" s="4" t="s">
        <v>35</v>
      </c>
      <c r="D4496" s="2">
        <f>79594696/(10^6)</f>
        <v>79.594696</v>
      </c>
      <c r="E4496" s="5">
        <v>5.61706209182739</v>
      </c>
      <c r="F4496" s="5">
        <v>1.20791327953339</v>
      </c>
      <c r="G4496" s="5" t="s">
        <v>86</v>
      </c>
      <c r="H4496" s="5">
        <v>5.10040426254272</v>
      </c>
      <c r="I4496" t="s">
        <v>57</v>
      </c>
    </row>
    <row r="4497" spans="1:9">
      <c r="A4497" s="4" t="s">
        <v>9045</v>
      </c>
      <c r="B4497" s="4" t="s">
        <v>9046</v>
      </c>
      <c r="C4497" s="4" t="s">
        <v>31</v>
      </c>
      <c r="D4497" s="2">
        <f>79202080/(10^6)</f>
        <v>79.20208</v>
      </c>
      <c r="E4497" s="5">
        <v>24.8663806915283</v>
      </c>
      <c r="F4497" s="5">
        <v>4.803551197052</v>
      </c>
      <c r="G4497" s="5">
        <v>0.747428774833679</v>
      </c>
      <c r="H4497" s="5">
        <v>13.5236740112305</v>
      </c>
      <c r="I4497" t="s">
        <v>57</v>
      </c>
    </row>
    <row r="4498" spans="1:9">
      <c r="A4498" s="4" t="s">
        <v>9047</v>
      </c>
      <c r="B4498" s="4" t="s">
        <v>9048</v>
      </c>
      <c r="C4498" s="4" t="s">
        <v>47</v>
      </c>
      <c r="D4498" s="2">
        <f>79136040/(10^6)</f>
        <v>79.13604</v>
      </c>
      <c r="E4498" s="5" t="s">
        <v>86</v>
      </c>
      <c r="F4498" s="5" t="s">
        <v>86</v>
      </c>
      <c r="G4498" s="5">
        <v>0.034209001809359</v>
      </c>
      <c r="H4498" s="5">
        <v>98.0398483276367</v>
      </c>
      <c r="I4498" t="s">
        <v>57</v>
      </c>
    </row>
    <row r="4499" spans="1:9">
      <c r="A4499" s="4" t="s">
        <v>9049</v>
      </c>
      <c r="B4499" s="4" t="s">
        <v>9050</v>
      </c>
      <c r="C4499" s="4" t="s">
        <v>41</v>
      </c>
      <c r="D4499" s="2">
        <f>78933992/(10^6)</f>
        <v>78.933992</v>
      </c>
      <c r="E4499" s="5" t="s">
        <v>86</v>
      </c>
      <c r="F4499" s="5">
        <v>24.7109298706055</v>
      </c>
      <c r="G4499" s="5">
        <v>2.48940491676331</v>
      </c>
      <c r="H4499" s="5">
        <v>54.4596405029297</v>
      </c>
      <c r="I4499" t="s">
        <v>57</v>
      </c>
    </row>
    <row r="4500" spans="1:9">
      <c r="A4500" s="4" t="s">
        <v>9051</v>
      </c>
      <c r="B4500" s="4" t="s">
        <v>9052</v>
      </c>
      <c r="C4500" s="4" t="s">
        <v>51</v>
      </c>
      <c r="D4500" s="2">
        <f>78670688/(10^6)</f>
        <v>78.670688</v>
      </c>
      <c r="E4500" s="5" t="s">
        <v>86</v>
      </c>
      <c r="F4500" s="5">
        <v>5.09782695770264</v>
      </c>
      <c r="G4500" s="5">
        <v>60.0192070007324</v>
      </c>
      <c r="H4500" s="5" t="s">
        <v>86</v>
      </c>
      <c r="I4500" t="s">
        <v>57</v>
      </c>
    </row>
    <row r="4501" spans="1:9">
      <c r="A4501" s="4" t="s">
        <v>9053</v>
      </c>
      <c r="B4501" s="4" t="s">
        <v>9054</v>
      </c>
      <c r="C4501" s="4" t="s">
        <v>47</v>
      </c>
      <c r="D4501" s="2">
        <f>78556152/(10^6)</f>
        <v>78.556152</v>
      </c>
      <c r="E4501" s="5" t="s">
        <v>86</v>
      </c>
      <c r="F4501" s="5" t="s">
        <v>86</v>
      </c>
      <c r="G4501" s="5">
        <v>1.34153211116791</v>
      </c>
      <c r="H4501" s="5">
        <v>69.7260437011719</v>
      </c>
      <c r="I4501" t="s">
        <v>57</v>
      </c>
    </row>
    <row r="4502" spans="1:9">
      <c r="A4502" s="4" t="s">
        <v>9055</v>
      </c>
      <c r="B4502" s="4" t="s">
        <v>9056</v>
      </c>
      <c r="C4502" s="4" t="s">
        <v>49</v>
      </c>
      <c r="D4502" s="2">
        <f>78388792/(10^6)</f>
        <v>78.388792</v>
      </c>
      <c r="E4502" s="5">
        <v>26.1208572387695</v>
      </c>
      <c r="F4502" s="5">
        <v>5.87754821777344</v>
      </c>
      <c r="G4502" s="5">
        <v>4.20863342285156</v>
      </c>
      <c r="H4502" s="5">
        <v>12.7526798248291</v>
      </c>
      <c r="I4502" t="s">
        <v>57</v>
      </c>
    </row>
    <row r="4503" spans="1:9">
      <c r="A4503" s="4" t="s">
        <v>9057</v>
      </c>
      <c r="B4503" s="4" t="s">
        <v>9058</v>
      </c>
      <c r="C4503" s="4" t="s">
        <v>51</v>
      </c>
      <c r="D4503" s="2">
        <f>78379800/(10^6)</f>
        <v>78.3798</v>
      </c>
      <c r="E4503" s="5" t="s">
        <v>86</v>
      </c>
      <c r="F4503" s="5">
        <v>4.41253662109375</v>
      </c>
      <c r="G4503" s="5" t="s">
        <v>86</v>
      </c>
      <c r="H4503" s="5" t="s">
        <v>86</v>
      </c>
      <c r="I4503" t="s">
        <v>57</v>
      </c>
    </row>
    <row r="4504" spans="1:9">
      <c r="A4504" s="4" t="s">
        <v>9059</v>
      </c>
      <c r="B4504" s="4" t="s">
        <v>9060</v>
      </c>
      <c r="C4504" s="4" t="s">
        <v>47</v>
      </c>
      <c r="D4504" s="2">
        <f>78344704/(10^6)</f>
        <v>78.344704</v>
      </c>
      <c r="E4504" s="5">
        <v>6.22014760971069</v>
      </c>
      <c r="F4504" s="5">
        <v>0.506024301052094</v>
      </c>
      <c r="G4504" s="5">
        <v>0.182509675621986</v>
      </c>
      <c r="H4504" s="5">
        <v>8.05422019958496</v>
      </c>
      <c r="I4504" t="s">
        <v>57</v>
      </c>
    </row>
    <row r="4505" spans="1:9">
      <c r="A4505" s="4" t="s">
        <v>9061</v>
      </c>
      <c r="B4505" s="4" t="s">
        <v>9062</v>
      </c>
      <c r="C4505" s="4" t="s">
        <v>41</v>
      </c>
      <c r="D4505" s="2">
        <f>78071288/(10^6)</f>
        <v>78.071288</v>
      </c>
      <c r="E4505" s="5" t="s">
        <v>86</v>
      </c>
      <c r="F4505" s="5">
        <v>7.33688116073608</v>
      </c>
      <c r="G4505" s="5">
        <v>33.4673309326172</v>
      </c>
      <c r="H4505" s="5" t="s">
        <v>86</v>
      </c>
      <c r="I4505" t="s">
        <v>57</v>
      </c>
    </row>
    <row r="4506" spans="1:9">
      <c r="A4506" s="4" t="s">
        <v>9063</v>
      </c>
      <c r="B4506" s="4" t="s">
        <v>9064</v>
      </c>
      <c r="C4506" s="4" t="s">
        <v>41</v>
      </c>
      <c r="D4506" s="2">
        <f>77967640/(10^6)</f>
        <v>77.96764</v>
      </c>
      <c r="E4506" s="5" t="s">
        <v>86</v>
      </c>
      <c r="F4506" s="5">
        <v>7.38822793960571</v>
      </c>
      <c r="G4506" s="5">
        <v>80.4784469604492</v>
      </c>
      <c r="H4506" s="5" t="s">
        <v>86</v>
      </c>
      <c r="I4506" t="s">
        <v>57</v>
      </c>
    </row>
    <row r="4507" spans="1:9">
      <c r="A4507" s="4" t="s">
        <v>9065</v>
      </c>
      <c r="B4507" s="4" t="s">
        <v>9066</v>
      </c>
      <c r="C4507" s="4" t="s">
        <v>43</v>
      </c>
      <c r="D4507" s="2">
        <f>77730728/(10^6)</f>
        <v>77.730728</v>
      </c>
      <c r="E4507" s="5" t="s">
        <v>86</v>
      </c>
      <c r="F4507" s="5" t="s">
        <v>86</v>
      </c>
      <c r="G4507" s="5" t="s">
        <v>86</v>
      </c>
      <c r="H4507" s="5" t="s">
        <v>86</v>
      </c>
      <c r="I4507" t="s">
        <v>57</v>
      </c>
    </row>
    <row r="4508" spans="1:9">
      <c r="A4508" s="4" t="s">
        <v>9067</v>
      </c>
      <c r="B4508" s="4" t="s">
        <v>9068</v>
      </c>
      <c r="C4508" s="4" t="s">
        <v>43</v>
      </c>
      <c r="D4508" s="2">
        <f>77709664/(10^6)</f>
        <v>77.709664</v>
      </c>
      <c r="E4508" s="5" t="s">
        <v>86</v>
      </c>
      <c r="F4508" s="5" t="s">
        <v>86</v>
      </c>
      <c r="G4508" s="5" t="s">
        <v>86</v>
      </c>
      <c r="H4508" s="5" t="s">
        <v>86</v>
      </c>
      <c r="I4508" t="s">
        <v>57</v>
      </c>
    </row>
    <row r="4509" spans="1:9">
      <c r="A4509" s="4" t="s">
        <v>9069</v>
      </c>
      <c r="B4509" s="4" t="s">
        <v>9070</v>
      </c>
      <c r="C4509" s="4" t="s">
        <v>33</v>
      </c>
      <c r="D4509" s="2">
        <f>77697992/(10^6)</f>
        <v>77.697992</v>
      </c>
      <c r="E4509" s="5">
        <v>9.30077362060547</v>
      </c>
      <c r="F4509" s="5">
        <v>0.963845252990723</v>
      </c>
      <c r="G4509" s="5">
        <v>1.19755005836487</v>
      </c>
      <c r="H4509" s="5">
        <v>4.89128398895264</v>
      </c>
      <c r="I4509" t="s">
        <v>57</v>
      </c>
    </row>
    <row r="4510" spans="1:9">
      <c r="A4510" s="4" t="s">
        <v>9071</v>
      </c>
      <c r="B4510" s="4" t="s">
        <v>9072</v>
      </c>
      <c r="C4510" s="4" t="s">
        <v>43</v>
      </c>
      <c r="D4510" s="2">
        <f>77060032/(10^6)</f>
        <v>77.060032</v>
      </c>
      <c r="E4510" s="5">
        <v>6.96120405197144</v>
      </c>
      <c r="F4510" s="5">
        <v>0.901540040969849</v>
      </c>
      <c r="G4510" s="5">
        <v>2.03381705284119</v>
      </c>
      <c r="H4510" s="5" t="s">
        <v>86</v>
      </c>
      <c r="I4510" t="s">
        <v>57</v>
      </c>
    </row>
    <row r="4511" spans="1:9">
      <c r="A4511" s="4" t="s">
        <v>9073</v>
      </c>
      <c r="B4511" s="4" t="s">
        <v>9074</v>
      </c>
      <c r="C4511" s="4" t="s">
        <v>27</v>
      </c>
      <c r="D4511" s="2">
        <f>77027808/(10^6)</f>
        <v>77.027808</v>
      </c>
      <c r="E4511" s="5">
        <v>0.982581377029419</v>
      </c>
      <c r="F4511" s="5">
        <v>0.077132277190685</v>
      </c>
      <c r="G4511" s="5">
        <v>0.10812758654356</v>
      </c>
      <c r="H4511" s="5">
        <v>3.13456225395203</v>
      </c>
      <c r="I4511" t="s">
        <v>57</v>
      </c>
    </row>
    <row r="4512" spans="1:9">
      <c r="A4512" s="4" t="s">
        <v>9075</v>
      </c>
      <c r="B4512" s="4" t="s">
        <v>9076</v>
      </c>
      <c r="C4512" s="4" t="s">
        <v>41</v>
      </c>
      <c r="D4512" s="2">
        <f>77018664/(10^6)</f>
        <v>77.018664</v>
      </c>
      <c r="E4512" s="5" t="s">
        <v>86</v>
      </c>
      <c r="F4512" s="5">
        <v>3.8646285533905</v>
      </c>
      <c r="G4512" s="5">
        <v>19.8165264129639</v>
      </c>
      <c r="H4512" s="5" t="s">
        <v>86</v>
      </c>
      <c r="I4512" t="s">
        <v>57</v>
      </c>
    </row>
    <row r="4513" spans="1:9">
      <c r="A4513" s="4" t="s">
        <v>9077</v>
      </c>
      <c r="B4513" s="4" t="s">
        <v>9078</v>
      </c>
      <c r="C4513" s="4" t="s">
        <v>43</v>
      </c>
      <c r="D4513" s="2">
        <f>76988240/(10^6)</f>
        <v>76.98824</v>
      </c>
      <c r="E4513" s="5">
        <v>7.13292837142944</v>
      </c>
      <c r="F4513" s="5">
        <v>0.777013957500458</v>
      </c>
      <c r="G4513" s="5">
        <v>1.71722328662872</v>
      </c>
      <c r="H4513" s="5" t="s">
        <v>86</v>
      </c>
      <c r="I4513" t="s">
        <v>57</v>
      </c>
    </row>
    <row r="4514" spans="1:9">
      <c r="A4514" s="4" t="s">
        <v>9079</v>
      </c>
      <c r="B4514" s="4" t="s">
        <v>9080</v>
      </c>
      <c r="C4514" s="4" t="s">
        <v>41</v>
      </c>
      <c r="D4514" s="2">
        <f>76903312/(10^6)</f>
        <v>76.903312</v>
      </c>
      <c r="E4514" s="5" t="s">
        <v>86</v>
      </c>
      <c r="F4514" s="5" t="s">
        <v>86</v>
      </c>
      <c r="G4514" s="5">
        <v>1.10673892498016</v>
      </c>
      <c r="H4514" s="5" t="s">
        <v>86</v>
      </c>
      <c r="I4514" t="s">
        <v>57</v>
      </c>
    </row>
    <row r="4515" spans="1:9">
      <c r="A4515" s="4" t="s">
        <v>9081</v>
      </c>
      <c r="B4515" s="4" t="s">
        <v>9082</v>
      </c>
      <c r="C4515" s="4" t="s">
        <v>49</v>
      </c>
      <c r="D4515" s="2">
        <f>76901248/(10^6)</f>
        <v>76.901248</v>
      </c>
      <c r="E4515" s="5" t="s">
        <v>86</v>
      </c>
      <c r="F4515" s="5">
        <v>2.94043731689453</v>
      </c>
      <c r="G4515" s="5">
        <v>0.696954369544983</v>
      </c>
      <c r="H4515" s="5">
        <v>25.9029922485352</v>
      </c>
      <c r="I4515" t="s">
        <v>57</v>
      </c>
    </row>
    <row r="4516" spans="1:9">
      <c r="A4516" s="4" t="s">
        <v>9083</v>
      </c>
      <c r="B4516" s="4" t="s">
        <v>9084</v>
      </c>
      <c r="C4516" s="4" t="s">
        <v>43</v>
      </c>
      <c r="D4516" s="2">
        <f>76877856/(10^6)</f>
        <v>76.877856</v>
      </c>
      <c r="E4516" s="5">
        <v>9.23076915740967</v>
      </c>
      <c r="F4516" s="5">
        <v>0.728776931762695</v>
      </c>
      <c r="G4516" s="5">
        <v>1.53140294551849</v>
      </c>
      <c r="H4516" s="5" t="s">
        <v>86</v>
      </c>
      <c r="I4516" t="s">
        <v>57</v>
      </c>
    </row>
    <row r="4517" spans="1:9">
      <c r="A4517" s="4" t="s">
        <v>9085</v>
      </c>
      <c r="B4517" s="4" t="s">
        <v>9086</v>
      </c>
      <c r="C4517" s="4" t="s">
        <v>43</v>
      </c>
      <c r="D4517" s="2">
        <f>76785416/(10^6)</f>
        <v>76.785416</v>
      </c>
      <c r="E4517" s="5" t="s">
        <v>86</v>
      </c>
      <c r="F4517" s="5">
        <v>0.186248928308487</v>
      </c>
      <c r="G4517" s="5">
        <v>0.067051663994789</v>
      </c>
      <c r="H4517" s="5" t="s">
        <v>86</v>
      </c>
      <c r="I4517" t="s">
        <v>57</v>
      </c>
    </row>
    <row r="4518" spans="1:9">
      <c r="A4518" s="4" t="s">
        <v>9087</v>
      </c>
      <c r="B4518" s="4" t="s">
        <v>9088</v>
      </c>
      <c r="C4518" s="4" t="s">
        <v>43</v>
      </c>
      <c r="D4518" s="2">
        <f>76749760/(10^6)</f>
        <v>76.74976</v>
      </c>
      <c r="E4518" s="5">
        <v>5.70953130722046</v>
      </c>
      <c r="F4518" s="5">
        <v>0.334623128175735</v>
      </c>
      <c r="G4518" s="5">
        <v>2.23153424263</v>
      </c>
      <c r="H4518" s="5" t="s">
        <v>86</v>
      </c>
      <c r="I4518" t="s">
        <v>57</v>
      </c>
    </row>
    <row r="4519" spans="1:9">
      <c r="A4519" s="4" t="s">
        <v>9089</v>
      </c>
      <c r="B4519" s="4" t="s">
        <v>9090</v>
      </c>
      <c r="C4519" s="4" t="s">
        <v>41</v>
      </c>
      <c r="D4519" s="2">
        <f>76389768/(10^6)</f>
        <v>76.389768</v>
      </c>
      <c r="E4519" s="5" t="s">
        <v>86</v>
      </c>
      <c r="F4519" s="5">
        <v>6.04930543899536</v>
      </c>
      <c r="G4519" s="5" t="s">
        <v>86</v>
      </c>
      <c r="H4519" s="5" t="s">
        <v>86</v>
      </c>
      <c r="I4519" t="s">
        <v>57</v>
      </c>
    </row>
    <row r="4520" spans="1:9">
      <c r="A4520" s="4" t="s">
        <v>9091</v>
      </c>
      <c r="B4520" s="4" t="s">
        <v>9092</v>
      </c>
      <c r="C4520" s="4" t="s">
        <v>51</v>
      </c>
      <c r="D4520" s="2">
        <f>76372472/(10^6)</f>
        <v>76.372472</v>
      </c>
      <c r="E4520" s="5" t="s">
        <v>86</v>
      </c>
      <c r="F4520" s="5">
        <v>0.713644981384277</v>
      </c>
      <c r="G4520" s="5">
        <v>0.221278861165047</v>
      </c>
      <c r="H4520" s="5">
        <v>32.2915306091309</v>
      </c>
      <c r="I4520" t="s">
        <v>57</v>
      </c>
    </row>
    <row r="4521" spans="1:9">
      <c r="A4521" s="4" t="s">
        <v>9093</v>
      </c>
      <c r="B4521" s="4" t="s">
        <v>9094</v>
      </c>
      <c r="C4521" s="4" t="s">
        <v>43</v>
      </c>
      <c r="D4521" s="2">
        <f>76116352/(10^6)</f>
        <v>76.116352</v>
      </c>
      <c r="E4521" s="5">
        <v>7.93213844299316</v>
      </c>
      <c r="F4521" s="5">
        <v>0.984688401222229</v>
      </c>
      <c r="G4521" s="5">
        <v>1.83267712593079</v>
      </c>
      <c r="H4521" s="5" t="s">
        <v>86</v>
      </c>
      <c r="I4521" t="s">
        <v>57</v>
      </c>
    </row>
    <row r="4522" spans="1:9">
      <c r="A4522" s="4" t="s">
        <v>9095</v>
      </c>
      <c r="B4522" s="4" t="s">
        <v>9096</v>
      </c>
      <c r="C4522" s="4" t="s">
        <v>43</v>
      </c>
      <c r="D4522" s="2">
        <f>75683400/(10^6)</f>
        <v>75.6834</v>
      </c>
      <c r="E4522" s="5" t="s">
        <v>86</v>
      </c>
      <c r="F4522" s="5">
        <v>0.858491361141205</v>
      </c>
      <c r="G4522" s="5" t="s">
        <v>86</v>
      </c>
      <c r="H4522" s="5" t="s">
        <v>86</v>
      </c>
      <c r="I4522" t="s">
        <v>57</v>
      </c>
    </row>
    <row r="4523" spans="1:9">
      <c r="A4523" s="4" t="s">
        <v>9097</v>
      </c>
      <c r="B4523" s="4" t="s">
        <v>9098</v>
      </c>
      <c r="C4523" s="4" t="s">
        <v>43</v>
      </c>
      <c r="D4523" s="2">
        <f>75672720/(10^6)</f>
        <v>75.67272</v>
      </c>
      <c r="E4523" s="5" t="s">
        <v>86</v>
      </c>
      <c r="F4523" s="5" t="s">
        <v>86</v>
      </c>
      <c r="G4523" s="5" t="s">
        <v>86</v>
      </c>
      <c r="H4523" s="5" t="s">
        <v>86</v>
      </c>
      <c r="I4523" t="s">
        <v>57</v>
      </c>
    </row>
    <row r="4524" spans="1:9">
      <c r="A4524" s="4" t="s">
        <v>9099</v>
      </c>
      <c r="B4524" s="4" t="s">
        <v>9100</v>
      </c>
      <c r="C4524" s="4" t="s">
        <v>43</v>
      </c>
      <c r="D4524" s="2">
        <f>75656880/(10^6)</f>
        <v>75.65688</v>
      </c>
      <c r="E4524" s="5" t="s">
        <v>86</v>
      </c>
      <c r="F4524" s="5" t="s">
        <v>86</v>
      </c>
      <c r="G4524" s="5" t="s">
        <v>86</v>
      </c>
      <c r="H4524" s="5" t="s">
        <v>86</v>
      </c>
      <c r="I4524" t="s">
        <v>57</v>
      </c>
    </row>
    <row r="4525" spans="1:9">
      <c r="A4525" s="4" t="s">
        <v>9101</v>
      </c>
      <c r="B4525" s="4" t="s">
        <v>9102</v>
      </c>
      <c r="C4525" s="4" t="s">
        <v>51</v>
      </c>
      <c r="D4525" s="2">
        <f>75578760/(10^6)</f>
        <v>75.57876</v>
      </c>
      <c r="E4525" s="5">
        <v>44.9988327026367</v>
      </c>
      <c r="F4525" s="5">
        <v>1.77328181266785</v>
      </c>
      <c r="G4525" s="5">
        <v>3.96419477462769</v>
      </c>
      <c r="H4525" s="5">
        <v>22.6683387756348</v>
      </c>
      <c r="I4525" t="s">
        <v>57</v>
      </c>
    </row>
    <row r="4526" spans="1:9">
      <c r="A4526" s="4" t="s">
        <v>9103</v>
      </c>
      <c r="B4526" s="4" t="s">
        <v>9104</v>
      </c>
      <c r="C4526" s="4" t="s">
        <v>47</v>
      </c>
      <c r="D4526" s="2">
        <f>75520840/(10^6)</f>
        <v>75.52084</v>
      </c>
      <c r="E4526" s="5" t="s">
        <v>86</v>
      </c>
      <c r="F4526" s="5">
        <v>0.462449848651886</v>
      </c>
      <c r="G4526" s="5">
        <v>0.345510423183441</v>
      </c>
      <c r="H4526" s="5">
        <v>29.3296642303467</v>
      </c>
      <c r="I4526" t="s">
        <v>57</v>
      </c>
    </row>
    <row r="4527" spans="1:9">
      <c r="A4527" s="4" t="s">
        <v>9105</v>
      </c>
      <c r="B4527" s="4" t="s">
        <v>9106</v>
      </c>
      <c r="C4527" s="4" t="s">
        <v>43</v>
      </c>
      <c r="D4527" s="2">
        <f>75492328/(10^6)</f>
        <v>75.492328</v>
      </c>
      <c r="E4527" s="5">
        <v>7.04772996902466</v>
      </c>
      <c r="F4527" s="5">
        <v>0.506647288799286</v>
      </c>
      <c r="G4527" s="5">
        <v>1.02003073692322</v>
      </c>
      <c r="H4527" s="5" t="s">
        <v>86</v>
      </c>
      <c r="I4527" t="s">
        <v>57</v>
      </c>
    </row>
    <row r="4528" spans="1:9">
      <c r="A4528" s="4" t="s">
        <v>9107</v>
      </c>
      <c r="B4528" s="4" t="s">
        <v>9108</v>
      </c>
      <c r="C4528" s="4" t="s">
        <v>43</v>
      </c>
      <c r="D4528" s="2">
        <f>75398256/(10^6)</f>
        <v>75.398256</v>
      </c>
      <c r="E4528" s="5" t="s">
        <v>86</v>
      </c>
      <c r="F4528" s="5">
        <v>1.11539232730866</v>
      </c>
      <c r="G4528" s="5" t="s">
        <v>86</v>
      </c>
      <c r="H4528" s="5" t="s">
        <v>86</v>
      </c>
      <c r="I4528" t="s">
        <v>57</v>
      </c>
    </row>
    <row r="4529" spans="1:9">
      <c r="A4529" s="4" t="s">
        <v>9109</v>
      </c>
      <c r="B4529" s="4" t="s">
        <v>9110</v>
      </c>
      <c r="C4529" s="4" t="s">
        <v>41</v>
      </c>
      <c r="D4529" s="2">
        <f>75341800/(10^6)</f>
        <v>75.3418</v>
      </c>
      <c r="E4529" s="5" t="s">
        <v>86</v>
      </c>
      <c r="F4529" s="5">
        <v>1.51382768154144</v>
      </c>
      <c r="G4529" s="5" t="s">
        <v>86</v>
      </c>
      <c r="H4529" s="5" t="s">
        <v>86</v>
      </c>
      <c r="I4529" t="s">
        <v>57</v>
      </c>
    </row>
    <row r="4530" spans="1:9">
      <c r="A4530" s="4" t="s">
        <v>9111</v>
      </c>
      <c r="B4530" s="4" t="s">
        <v>9112</v>
      </c>
      <c r="C4530" s="4" t="s">
        <v>37</v>
      </c>
      <c r="D4530" s="2">
        <f>74821744/(10^6)</f>
        <v>74.821744</v>
      </c>
      <c r="E4530" s="5" t="s">
        <v>86</v>
      </c>
      <c r="F4530" s="5">
        <v>3.52744889259338</v>
      </c>
      <c r="G4530" s="5" t="s">
        <v>86</v>
      </c>
      <c r="H4530" s="5" t="s">
        <v>86</v>
      </c>
      <c r="I4530" t="s">
        <v>57</v>
      </c>
    </row>
    <row r="4531" spans="1:9">
      <c r="A4531" s="4" t="s">
        <v>9113</v>
      </c>
      <c r="B4531" s="4" t="s">
        <v>9114</v>
      </c>
      <c r="C4531" s="4" t="s">
        <v>41</v>
      </c>
      <c r="D4531" s="2">
        <f>74794296/(10^6)</f>
        <v>74.794296</v>
      </c>
      <c r="E4531" s="5" t="s">
        <v>86</v>
      </c>
      <c r="F4531" s="5">
        <v>3.76474714279175</v>
      </c>
      <c r="G4531" s="5">
        <v>1.35350728034973</v>
      </c>
      <c r="H4531" s="5" t="s">
        <v>86</v>
      </c>
      <c r="I4531" t="s">
        <v>57</v>
      </c>
    </row>
    <row r="4532" spans="1:9">
      <c r="A4532" s="4" t="s">
        <v>9115</v>
      </c>
      <c r="B4532" s="4" t="s">
        <v>9116</v>
      </c>
      <c r="C4532" s="4" t="s">
        <v>43</v>
      </c>
      <c r="D4532" s="2">
        <f>74311048/(10^6)</f>
        <v>74.311048</v>
      </c>
      <c r="E4532" s="5">
        <v>8.01186943054199</v>
      </c>
      <c r="F4532" s="5">
        <v>0.879902303218842</v>
      </c>
      <c r="G4532" s="5">
        <v>1.66803574562073</v>
      </c>
      <c r="H4532" s="5" t="s">
        <v>86</v>
      </c>
      <c r="I4532" t="s">
        <v>57</v>
      </c>
    </row>
    <row r="4533" spans="1:9">
      <c r="A4533" s="4" t="s">
        <v>9117</v>
      </c>
      <c r="B4533" s="4" t="s">
        <v>9118</v>
      </c>
      <c r="C4533" s="4" t="s">
        <v>43</v>
      </c>
      <c r="D4533" s="2">
        <f>74275424/(10^6)</f>
        <v>74.275424</v>
      </c>
      <c r="E4533" s="5">
        <v>13.8448495864868</v>
      </c>
      <c r="F4533" s="5">
        <v>0.744953572750092</v>
      </c>
      <c r="G4533" s="5">
        <v>1.80971813201904</v>
      </c>
      <c r="H4533" s="5" t="s">
        <v>86</v>
      </c>
      <c r="I4533" t="s">
        <v>57</v>
      </c>
    </row>
    <row r="4534" spans="1:9">
      <c r="A4534" s="4" t="s">
        <v>9119</v>
      </c>
      <c r="B4534" s="4" t="s">
        <v>9120</v>
      </c>
      <c r="C4534" s="4" t="s">
        <v>43</v>
      </c>
      <c r="D4534" s="2">
        <f>74108744/(10^6)</f>
        <v>74.108744</v>
      </c>
      <c r="E4534" s="5">
        <v>11.886607170105</v>
      </c>
      <c r="F4534" s="5">
        <v>0.674439311027527</v>
      </c>
      <c r="G4534" s="5">
        <v>1.52905333042145</v>
      </c>
      <c r="H4534" s="5" t="s">
        <v>86</v>
      </c>
      <c r="I4534" t="s">
        <v>57</v>
      </c>
    </row>
    <row r="4535" spans="1:9">
      <c r="A4535" s="4" t="s">
        <v>9121</v>
      </c>
      <c r="B4535" s="4" t="s">
        <v>9122</v>
      </c>
      <c r="C4535" s="4" t="s">
        <v>51</v>
      </c>
      <c r="D4535" s="2">
        <f>74084080/(10^6)</f>
        <v>74.08408</v>
      </c>
      <c r="E4535" s="5" t="s">
        <v>86</v>
      </c>
      <c r="F4535" s="5">
        <v>0.906666696071625</v>
      </c>
      <c r="G4535" s="5">
        <v>0.058824557811022</v>
      </c>
      <c r="H4535" s="5" t="s">
        <v>86</v>
      </c>
      <c r="I4535" t="s">
        <v>57</v>
      </c>
    </row>
    <row r="4536" spans="1:9">
      <c r="A4536" s="4" t="s">
        <v>9123</v>
      </c>
      <c r="B4536" s="4" t="s">
        <v>9124</v>
      </c>
      <c r="C4536" s="4" t="s">
        <v>31</v>
      </c>
      <c r="D4536" s="2">
        <f>73932880/(10^6)</f>
        <v>73.93288</v>
      </c>
      <c r="E4536" s="5" t="s">
        <v>86</v>
      </c>
      <c r="F4536" s="5">
        <v>0.92928284406662</v>
      </c>
      <c r="G4536" s="5">
        <v>0.328446894884109</v>
      </c>
      <c r="H4536" s="5" t="s">
        <v>86</v>
      </c>
      <c r="I4536" t="s">
        <v>57</v>
      </c>
    </row>
    <row r="4537" spans="1:9">
      <c r="A4537" s="4" t="s">
        <v>9125</v>
      </c>
      <c r="B4537" s="4" t="s">
        <v>9126</v>
      </c>
      <c r="C4537" s="4" t="s">
        <v>47</v>
      </c>
      <c r="D4537" s="2">
        <f>73895256/(10^6)</f>
        <v>73.895256</v>
      </c>
      <c r="E4537" s="5" t="s">
        <v>86</v>
      </c>
      <c r="F4537" s="5">
        <v>0.161536887288094</v>
      </c>
      <c r="G4537" s="5">
        <v>0.037978559732437</v>
      </c>
      <c r="H4537" s="5">
        <v>2.6607940196991</v>
      </c>
      <c r="I4537" t="s">
        <v>57</v>
      </c>
    </row>
    <row r="4538" spans="1:9">
      <c r="A4538" s="4" t="s">
        <v>9127</v>
      </c>
      <c r="B4538" s="4" t="s">
        <v>9128</v>
      </c>
      <c r="C4538" s="4" t="s">
        <v>49</v>
      </c>
      <c r="D4538" s="2">
        <f>73449720/(10^6)</f>
        <v>73.44972</v>
      </c>
      <c r="E4538" s="5" t="s">
        <v>86</v>
      </c>
      <c r="F4538" s="5">
        <v>3.14083290100098</v>
      </c>
      <c r="G4538" s="5">
        <v>6.18718576431274</v>
      </c>
      <c r="H4538" s="5" t="s">
        <v>86</v>
      </c>
      <c r="I4538" t="s">
        <v>57</v>
      </c>
    </row>
    <row r="4539" spans="1:9">
      <c r="A4539" s="4" t="s">
        <v>9129</v>
      </c>
      <c r="B4539" s="4" t="s">
        <v>9130</v>
      </c>
      <c r="C4539" s="4" t="s">
        <v>27</v>
      </c>
      <c r="D4539" s="2">
        <f>73289816/(10^6)</f>
        <v>73.289816</v>
      </c>
      <c r="E4539" s="5" t="s">
        <v>86</v>
      </c>
      <c r="F4539" s="5">
        <v>0.018120210617781</v>
      </c>
      <c r="G4539" s="5">
        <v>0.045644920319319</v>
      </c>
      <c r="H4539" s="5">
        <v>3.21371054649353</v>
      </c>
      <c r="I4539" t="s">
        <v>57</v>
      </c>
    </row>
    <row r="4540" spans="1:9">
      <c r="A4540" s="4" t="s">
        <v>9131</v>
      </c>
      <c r="B4540" s="4" t="s">
        <v>9132</v>
      </c>
      <c r="C4540" s="4" t="s">
        <v>41</v>
      </c>
      <c r="D4540" s="2">
        <f>73197056/(10^6)</f>
        <v>73.197056</v>
      </c>
      <c r="E4540" s="5" t="s">
        <v>86</v>
      </c>
      <c r="F4540" s="5">
        <v>1.69127535820007</v>
      </c>
      <c r="G4540" s="5">
        <v>1.11056649684906</v>
      </c>
      <c r="H4540" s="5">
        <v>10.2220802307129</v>
      </c>
      <c r="I4540" t="s">
        <v>57</v>
      </c>
    </row>
    <row r="4541" spans="1:9">
      <c r="A4541" s="4" t="s">
        <v>9133</v>
      </c>
      <c r="B4541" s="4" t="s">
        <v>9134</v>
      </c>
      <c r="C4541" s="4" t="s">
        <v>43</v>
      </c>
      <c r="D4541" s="2">
        <f>73038648/(10^6)</f>
        <v>73.038648</v>
      </c>
      <c r="E4541" s="5">
        <v>6.50853061676025</v>
      </c>
      <c r="F4541" s="5">
        <v>0.794024586677551</v>
      </c>
      <c r="G4541" s="5">
        <v>1.31193780899048</v>
      </c>
      <c r="H4541" s="5" t="s">
        <v>86</v>
      </c>
      <c r="I4541" t="s">
        <v>57</v>
      </c>
    </row>
    <row r="4542" spans="1:9">
      <c r="A4542" s="4" t="s">
        <v>9135</v>
      </c>
      <c r="B4542" s="4" t="s">
        <v>9136</v>
      </c>
      <c r="C4542" s="4" t="s">
        <v>43</v>
      </c>
      <c r="D4542" s="2">
        <f>72894944/(10^6)</f>
        <v>72.894944</v>
      </c>
      <c r="E4542" s="5" t="s">
        <v>86</v>
      </c>
      <c r="F4542" s="5" t="s">
        <v>86</v>
      </c>
      <c r="G4542" s="5" t="s">
        <v>86</v>
      </c>
      <c r="H4542" s="5" t="s">
        <v>86</v>
      </c>
      <c r="I4542" t="s">
        <v>57</v>
      </c>
    </row>
    <row r="4543" spans="1:9">
      <c r="A4543" s="4" t="s">
        <v>9137</v>
      </c>
      <c r="B4543" s="4" t="s">
        <v>9138</v>
      </c>
      <c r="C4543" s="4" t="s">
        <v>43</v>
      </c>
      <c r="D4543" s="2">
        <f>72740000/(10^6)</f>
        <v>72.74</v>
      </c>
      <c r="E4543" s="5">
        <v>10.5095081329346</v>
      </c>
      <c r="F4543" s="5">
        <v>0.57278448343277</v>
      </c>
      <c r="G4543" s="5">
        <v>1.28395557403564</v>
      </c>
      <c r="H4543" s="5" t="s">
        <v>86</v>
      </c>
      <c r="I4543" t="s">
        <v>57</v>
      </c>
    </row>
    <row r="4544" spans="1:9">
      <c r="A4544" s="4" t="s">
        <v>9139</v>
      </c>
      <c r="B4544" s="4" t="s">
        <v>9140</v>
      </c>
      <c r="C4544" s="4" t="s">
        <v>49</v>
      </c>
      <c r="D4544" s="2">
        <f>72697000/(10^6)</f>
        <v>72.697</v>
      </c>
      <c r="E4544" s="5" t="s">
        <v>86</v>
      </c>
      <c r="F4544" s="5" t="s">
        <v>86</v>
      </c>
      <c r="G4544" s="5" t="s">
        <v>86</v>
      </c>
      <c r="H4544" s="5" t="s">
        <v>86</v>
      </c>
      <c r="I4544" t="s">
        <v>57</v>
      </c>
    </row>
    <row r="4545" spans="1:9">
      <c r="A4545" s="4" t="s">
        <v>9141</v>
      </c>
      <c r="B4545" s="4" t="s">
        <v>9142</v>
      </c>
      <c r="C4545" s="4" t="s">
        <v>43</v>
      </c>
      <c r="D4545" s="2">
        <f>72625000/(10^6)</f>
        <v>72.625</v>
      </c>
      <c r="E4545" s="5" t="s">
        <v>86</v>
      </c>
      <c r="F4545" s="5" t="s">
        <v>86</v>
      </c>
      <c r="G4545" s="5" t="s">
        <v>86</v>
      </c>
      <c r="H4545" s="5" t="s">
        <v>86</v>
      </c>
      <c r="I4545" t="s">
        <v>57</v>
      </c>
    </row>
    <row r="4546" spans="1:9">
      <c r="A4546" s="4" t="s">
        <v>9143</v>
      </c>
      <c r="B4546" s="4" t="s">
        <v>9144</v>
      </c>
      <c r="C4546" s="4" t="s">
        <v>47</v>
      </c>
      <c r="D4546" s="2">
        <f>72383768/(10^6)</f>
        <v>72.383768</v>
      </c>
      <c r="E4546" s="5" t="s">
        <v>86</v>
      </c>
      <c r="F4546" s="5">
        <v>0.180434584617615</v>
      </c>
      <c r="G4546" s="5">
        <v>0.183645769953728</v>
      </c>
      <c r="H4546" s="5" t="s">
        <v>86</v>
      </c>
      <c r="I4546" t="s">
        <v>57</v>
      </c>
    </row>
    <row r="4547" spans="1:9">
      <c r="A4547" s="4" t="s">
        <v>9145</v>
      </c>
      <c r="B4547" s="4" t="s">
        <v>9146</v>
      </c>
      <c r="C4547" s="4" t="s">
        <v>43</v>
      </c>
      <c r="D4547" s="2">
        <f>72334824/(10^6)</f>
        <v>72.334824</v>
      </c>
      <c r="E4547" s="5">
        <v>19.9404754638672</v>
      </c>
      <c r="F4547" s="5">
        <v>0.950667858123779</v>
      </c>
      <c r="G4547" s="5">
        <v>2.85012221336365</v>
      </c>
      <c r="H4547" s="5" t="s">
        <v>86</v>
      </c>
      <c r="I4547" t="s">
        <v>57</v>
      </c>
    </row>
    <row r="4548" spans="1:9">
      <c r="A4548" s="4" t="s">
        <v>9147</v>
      </c>
      <c r="B4548" s="4" t="s">
        <v>9148</v>
      </c>
      <c r="C4548" s="4" t="s">
        <v>47</v>
      </c>
      <c r="D4548" s="2">
        <f>72332760/(10^6)</f>
        <v>72.33276</v>
      </c>
      <c r="E4548" s="5" t="s">
        <v>86</v>
      </c>
      <c r="F4548" s="5">
        <v>1.05060839653015</v>
      </c>
      <c r="G4548" s="5">
        <v>0.178095057606697</v>
      </c>
      <c r="H4548" s="5">
        <v>4.95450019836426</v>
      </c>
      <c r="I4548" t="s">
        <v>57</v>
      </c>
    </row>
    <row r="4549" spans="1:9">
      <c r="A4549" s="4" t="s">
        <v>9149</v>
      </c>
      <c r="B4549" s="4" t="s">
        <v>9150</v>
      </c>
      <c r="C4549" s="4" t="s">
        <v>47</v>
      </c>
      <c r="D4549" s="2">
        <f>72149576/(10^6)</f>
        <v>72.149576</v>
      </c>
      <c r="E4549" s="5">
        <v>1.80201542377472</v>
      </c>
      <c r="F4549" s="5" t="s">
        <v>86</v>
      </c>
      <c r="G4549" s="5">
        <v>0.024807080626488</v>
      </c>
      <c r="H4549" s="5">
        <v>4.80897188186646</v>
      </c>
      <c r="I4549" t="s">
        <v>57</v>
      </c>
    </row>
    <row r="4550" spans="1:9">
      <c r="A4550" s="4" t="s">
        <v>9151</v>
      </c>
      <c r="B4550" s="4" t="s">
        <v>9152</v>
      </c>
      <c r="C4550" s="4" t="s">
        <v>41</v>
      </c>
      <c r="D4550" s="2">
        <f>72067248/(10^6)</f>
        <v>72.067248</v>
      </c>
      <c r="E4550" s="5" t="s">
        <v>86</v>
      </c>
      <c r="F4550" s="5">
        <v>0.459004253149033</v>
      </c>
      <c r="G4550" s="5">
        <v>38.6577377319336</v>
      </c>
      <c r="H4550" s="5" t="s">
        <v>86</v>
      </c>
      <c r="I4550" t="s">
        <v>57</v>
      </c>
    </row>
    <row r="4551" spans="1:9">
      <c r="A4551" s="4" t="s">
        <v>9153</v>
      </c>
      <c r="B4551" s="4" t="s">
        <v>9154</v>
      </c>
      <c r="C4551" s="4" t="s">
        <v>31</v>
      </c>
      <c r="D4551" s="2">
        <f>71649632/(10^6)</f>
        <v>71.649632</v>
      </c>
      <c r="E4551" s="5" t="s">
        <v>86</v>
      </c>
      <c r="F4551" s="5">
        <v>0.518856167793274</v>
      </c>
      <c r="G4551" s="5">
        <v>0.100154511630535</v>
      </c>
      <c r="H4551" s="5">
        <v>4.78167009353638</v>
      </c>
      <c r="I4551" t="s">
        <v>57</v>
      </c>
    </row>
    <row r="4552" spans="1:9">
      <c r="A4552" s="4" t="s">
        <v>9155</v>
      </c>
      <c r="B4552" s="4" t="s">
        <v>9156</v>
      </c>
      <c r="C4552" s="4" t="s">
        <v>49</v>
      </c>
      <c r="D4552" s="2">
        <f>71638600/(10^6)</f>
        <v>71.6386</v>
      </c>
      <c r="E4552" s="5" t="s">
        <v>86</v>
      </c>
      <c r="F4552" s="5">
        <v>5.10464525222778</v>
      </c>
      <c r="G4552" s="5">
        <v>1.27224147319794</v>
      </c>
      <c r="H4552" s="5" t="s">
        <v>86</v>
      </c>
      <c r="I4552" t="s">
        <v>57</v>
      </c>
    </row>
    <row r="4553" spans="1:9">
      <c r="A4553" s="4" t="s">
        <v>9157</v>
      </c>
      <c r="B4553" s="4" t="s">
        <v>9158</v>
      </c>
      <c r="C4553" s="4" t="s">
        <v>43</v>
      </c>
      <c r="D4553" s="2">
        <f>71625392/(10^6)</f>
        <v>71.625392</v>
      </c>
      <c r="E4553" s="5">
        <v>5.34883737564087</v>
      </c>
      <c r="F4553" s="5">
        <v>0.696733891963959</v>
      </c>
      <c r="G4553" s="5">
        <v>1.31828474998474</v>
      </c>
      <c r="H4553" s="5" t="s">
        <v>86</v>
      </c>
      <c r="I4553" t="s">
        <v>57</v>
      </c>
    </row>
    <row r="4554" spans="1:9">
      <c r="A4554" s="4" t="s">
        <v>9159</v>
      </c>
      <c r="B4554" s="4" t="s">
        <v>9160</v>
      </c>
      <c r="C4554" s="4" t="s">
        <v>31</v>
      </c>
      <c r="D4554" s="2">
        <f>71605800/(10^6)</f>
        <v>71.6058</v>
      </c>
      <c r="E4554" s="5">
        <v>10.9882669448853</v>
      </c>
      <c r="F4554" s="5">
        <v>1.08213686943054</v>
      </c>
      <c r="G4554" s="5">
        <v>0.39640349149704</v>
      </c>
      <c r="H4554" s="5">
        <v>3.39393305778503</v>
      </c>
      <c r="I4554" t="s">
        <v>57</v>
      </c>
    </row>
    <row r="4555" spans="1:9">
      <c r="A4555" s="4" t="s">
        <v>9161</v>
      </c>
      <c r="B4555" s="4" t="s">
        <v>9162</v>
      </c>
      <c r="C4555" s="4" t="s">
        <v>43</v>
      </c>
      <c r="D4555" s="2">
        <f>71460312/(10^6)</f>
        <v>71.460312</v>
      </c>
      <c r="E4555" s="5">
        <v>9.09933757781982</v>
      </c>
      <c r="F4555" s="5">
        <v>0.650975942611694</v>
      </c>
      <c r="G4555" s="5">
        <v>1.31456398963928</v>
      </c>
      <c r="H4555" s="5" t="s">
        <v>86</v>
      </c>
      <c r="I4555" t="s">
        <v>57</v>
      </c>
    </row>
    <row r="4556" spans="1:9">
      <c r="A4556" s="4" t="s">
        <v>9163</v>
      </c>
      <c r="B4556" s="4" t="s">
        <v>9164</v>
      </c>
      <c r="C4556" s="4" t="s">
        <v>51</v>
      </c>
      <c r="D4556" s="2">
        <f>71089976/(10^6)</f>
        <v>71.089976</v>
      </c>
      <c r="E4556" s="5" t="s">
        <v>86</v>
      </c>
      <c r="F4556" s="5" t="s">
        <v>86</v>
      </c>
      <c r="G4556" s="5" t="s">
        <v>86</v>
      </c>
      <c r="H4556" s="5" t="s">
        <v>86</v>
      </c>
      <c r="I4556" t="s">
        <v>57</v>
      </c>
    </row>
    <row r="4557" spans="1:9">
      <c r="A4557" s="4" t="s">
        <v>9165</v>
      </c>
      <c r="B4557" s="4" t="s">
        <v>9166</v>
      </c>
      <c r="C4557" s="4" t="s">
        <v>31</v>
      </c>
      <c r="D4557" s="2">
        <f>71077768/(10^6)</f>
        <v>71.077768</v>
      </c>
      <c r="E4557" s="5">
        <v>5.52460432052612</v>
      </c>
      <c r="F4557" s="5">
        <v>0.202814415097237</v>
      </c>
      <c r="G4557" s="5">
        <v>0.035138715058565</v>
      </c>
      <c r="H4557" s="5">
        <v>11.1599674224854</v>
      </c>
      <c r="I4557" t="s">
        <v>57</v>
      </c>
    </row>
    <row r="4558" spans="1:9">
      <c r="A4558" s="4" t="s">
        <v>9167</v>
      </c>
      <c r="B4558" s="4" t="s">
        <v>9168</v>
      </c>
      <c r="C4558" s="4" t="s">
        <v>43</v>
      </c>
      <c r="D4558" s="2">
        <f>71018704/(10^6)</f>
        <v>71.018704</v>
      </c>
      <c r="E4558" s="5">
        <v>10.7837448120117</v>
      </c>
      <c r="F4558" s="5">
        <v>0.961729943752289</v>
      </c>
      <c r="G4558" s="5">
        <v>2.33683586120606</v>
      </c>
      <c r="H4558" s="5" t="s">
        <v>86</v>
      </c>
      <c r="I4558" t="s">
        <v>57</v>
      </c>
    </row>
    <row r="4559" spans="1:9">
      <c r="A4559" s="4" t="s">
        <v>9169</v>
      </c>
      <c r="B4559" s="4" t="s">
        <v>9170</v>
      </c>
      <c r="C4559" s="4" t="s">
        <v>41</v>
      </c>
      <c r="D4559" s="2">
        <f>70872800/(10^6)</f>
        <v>70.8728</v>
      </c>
      <c r="E4559" s="5" t="s">
        <v>86</v>
      </c>
      <c r="F4559" s="5">
        <v>1.37841689586639</v>
      </c>
      <c r="G4559" s="5" t="s">
        <v>86</v>
      </c>
      <c r="H4559" s="5" t="s">
        <v>86</v>
      </c>
      <c r="I4559" t="s">
        <v>57</v>
      </c>
    </row>
    <row r="4560" spans="1:9">
      <c r="A4560" s="4" t="s">
        <v>9171</v>
      </c>
      <c r="B4560" s="4" t="s">
        <v>9172</v>
      </c>
      <c r="C4560" s="4" t="s">
        <v>43</v>
      </c>
      <c r="D4560" s="2">
        <f>70812200/(10^6)</f>
        <v>70.8122</v>
      </c>
      <c r="E4560" s="5">
        <v>6.51228857040405</v>
      </c>
      <c r="F4560" s="5">
        <v>1.94025647640228</v>
      </c>
      <c r="G4560" s="5">
        <v>0.288519591093063</v>
      </c>
      <c r="H4560" s="5">
        <v>18.6492156982422</v>
      </c>
      <c r="I4560" t="s">
        <v>57</v>
      </c>
    </row>
    <row r="4561" spans="1:9">
      <c r="A4561" s="4" t="s">
        <v>9173</v>
      </c>
      <c r="B4561" s="4" t="s">
        <v>9174</v>
      </c>
      <c r="C4561" s="4" t="s">
        <v>51</v>
      </c>
      <c r="D4561" s="2">
        <f>70571192/(10^6)</f>
        <v>70.571192</v>
      </c>
      <c r="E4561" s="5" t="s">
        <v>86</v>
      </c>
      <c r="F4561" s="5">
        <v>1.30833601951599</v>
      </c>
      <c r="G4561" s="5">
        <v>0.396212071180344</v>
      </c>
      <c r="H4561" s="5">
        <v>14.9647016525269</v>
      </c>
      <c r="I4561" t="s">
        <v>57</v>
      </c>
    </row>
    <row r="4562" spans="1:9">
      <c r="A4562" s="4" t="s">
        <v>9175</v>
      </c>
      <c r="B4562" s="4" t="s">
        <v>9176</v>
      </c>
      <c r="C4562" s="4" t="s">
        <v>49</v>
      </c>
      <c r="D4562" s="2">
        <f>70555144/(10^6)</f>
        <v>70.555144</v>
      </c>
      <c r="E4562" s="5">
        <v>4.7536735534668</v>
      </c>
      <c r="F4562" s="5">
        <v>0.551771104335785</v>
      </c>
      <c r="G4562" s="5">
        <v>0.161308094859123</v>
      </c>
      <c r="H4562" s="5">
        <v>4.4810004234314</v>
      </c>
      <c r="I4562" t="s">
        <v>57</v>
      </c>
    </row>
    <row r="4563" spans="1:9">
      <c r="A4563" s="4" t="s">
        <v>9177</v>
      </c>
      <c r="B4563" s="4" t="s">
        <v>9178</v>
      </c>
      <c r="C4563" s="4" t="s">
        <v>49</v>
      </c>
      <c r="D4563" s="2">
        <f>70555144/(10^6)</f>
        <v>70.555144</v>
      </c>
      <c r="E4563" s="5">
        <v>4.7536735534668</v>
      </c>
      <c r="F4563" s="5">
        <v>0.551771104335785</v>
      </c>
      <c r="G4563" s="5">
        <v>0.161308094859123</v>
      </c>
      <c r="H4563" s="5">
        <v>4.4810004234314</v>
      </c>
      <c r="I4563" t="s">
        <v>57</v>
      </c>
    </row>
    <row r="4564" spans="1:9">
      <c r="A4564" s="4" t="s">
        <v>9179</v>
      </c>
      <c r="B4564" s="4" t="s">
        <v>9180</v>
      </c>
      <c r="C4564" s="4" t="s">
        <v>41</v>
      </c>
      <c r="D4564" s="2">
        <f>70510584/(10^6)</f>
        <v>70.510584</v>
      </c>
      <c r="E4564" s="5" t="s">
        <v>86</v>
      </c>
      <c r="F4564" s="5">
        <v>5.46784114837646</v>
      </c>
      <c r="G4564" s="5">
        <v>305.658782958984</v>
      </c>
      <c r="H4564" s="5" t="s">
        <v>86</v>
      </c>
      <c r="I4564" t="s">
        <v>57</v>
      </c>
    </row>
    <row r="4565" spans="1:9">
      <c r="A4565" s="4" t="s">
        <v>9181</v>
      </c>
      <c r="B4565" s="4" t="s">
        <v>9182</v>
      </c>
      <c r="C4565" s="4" t="s">
        <v>27</v>
      </c>
      <c r="D4565" s="2">
        <f>70326336/(10^6)</f>
        <v>70.326336</v>
      </c>
      <c r="E4565" s="5">
        <v>15.7586669921875</v>
      </c>
      <c r="F4565" s="5">
        <v>0.920947968959808</v>
      </c>
      <c r="G4565" s="5">
        <v>2.66730880737305</v>
      </c>
      <c r="H4565" s="5">
        <v>3.66871476173401</v>
      </c>
      <c r="I4565" t="s">
        <v>57</v>
      </c>
    </row>
    <row r="4566" spans="1:9">
      <c r="A4566" s="4" t="s">
        <v>9183</v>
      </c>
      <c r="B4566" s="4" t="s">
        <v>9184</v>
      </c>
      <c r="C4566" s="4" t="s">
        <v>35</v>
      </c>
      <c r="D4566" s="2">
        <f>70135840/(10^6)</f>
        <v>70.13584</v>
      </c>
      <c r="E4566" s="5" t="s">
        <v>86</v>
      </c>
      <c r="F4566" s="5">
        <v>0.787133872509003</v>
      </c>
      <c r="G4566" s="5">
        <v>0.779593348503113</v>
      </c>
      <c r="H4566" s="5" t="s">
        <v>86</v>
      </c>
      <c r="I4566" t="s">
        <v>57</v>
      </c>
    </row>
    <row r="4567" spans="1:9">
      <c r="A4567" s="4" t="s">
        <v>9185</v>
      </c>
      <c r="B4567" s="4" t="s">
        <v>9186</v>
      </c>
      <c r="C4567" s="4" t="s">
        <v>31</v>
      </c>
      <c r="D4567" s="2">
        <f>70092736/(10^6)</f>
        <v>70.092736</v>
      </c>
      <c r="E4567" s="5" t="s">
        <v>86</v>
      </c>
      <c r="F4567" s="5" t="s">
        <v>86</v>
      </c>
      <c r="G4567" s="5">
        <v>1.46626007556915</v>
      </c>
      <c r="H4567" s="5" t="s">
        <v>86</v>
      </c>
      <c r="I4567" t="s">
        <v>57</v>
      </c>
    </row>
    <row r="4568" spans="1:9">
      <c r="A4568" s="4" t="s">
        <v>9187</v>
      </c>
      <c r="B4568" s="4" t="s">
        <v>9188</v>
      </c>
      <c r="C4568" s="4" t="s">
        <v>43</v>
      </c>
      <c r="D4568" s="2">
        <f>69992128/(10^6)</f>
        <v>69.992128</v>
      </c>
      <c r="E4568" s="5">
        <v>10.2921886444092</v>
      </c>
      <c r="F4568" s="5">
        <v>0.919654250144958</v>
      </c>
      <c r="G4568" s="5">
        <v>2.20050549507141</v>
      </c>
      <c r="H4568" s="5" t="s">
        <v>86</v>
      </c>
      <c r="I4568" t="s">
        <v>57</v>
      </c>
    </row>
    <row r="4569" spans="1:9">
      <c r="A4569" s="4" t="s">
        <v>9189</v>
      </c>
      <c r="B4569" s="4" t="s">
        <v>9190</v>
      </c>
      <c r="C4569" s="4" t="s">
        <v>41</v>
      </c>
      <c r="D4569" s="2">
        <f>69613760/(10^6)</f>
        <v>69.61376</v>
      </c>
      <c r="E4569" s="5" t="s">
        <v>86</v>
      </c>
      <c r="F4569" s="5">
        <v>2.62407517433167</v>
      </c>
      <c r="G4569" s="5">
        <v>6.87789487838745</v>
      </c>
      <c r="H4569" s="5">
        <v>551.297546386719</v>
      </c>
      <c r="I4569" t="s">
        <v>57</v>
      </c>
    </row>
    <row r="4570" spans="1:9">
      <c r="A4570" s="4" t="s">
        <v>9191</v>
      </c>
      <c r="B4570" s="4" t="s">
        <v>9192</v>
      </c>
      <c r="C4570" s="4" t="s">
        <v>37</v>
      </c>
      <c r="D4570" s="2">
        <f>69497888/(10^6)</f>
        <v>69.497888</v>
      </c>
      <c r="E4570" s="5" t="s">
        <v>86</v>
      </c>
      <c r="F4570" s="5">
        <v>0.101713456213474</v>
      </c>
      <c r="G4570" s="5">
        <v>0.031841244548559</v>
      </c>
      <c r="H4570" s="5">
        <v>12.0214767456055</v>
      </c>
      <c r="I4570" t="s">
        <v>57</v>
      </c>
    </row>
    <row r="4571" spans="1:9">
      <c r="A4571" s="4" t="s">
        <v>9193</v>
      </c>
      <c r="B4571" s="4" t="s">
        <v>9194</v>
      </c>
      <c r="C4571" s="4" t="s">
        <v>31</v>
      </c>
      <c r="D4571" s="2">
        <f>69357632/(10^6)</f>
        <v>69.357632</v>
      </c>
      <c r="E4571" s="5" t="s">
        <v>86</v>
      </c>
      <c r="F4571" s="5">
        <v>0.217637360095978</v>
      </c>
      <c r="G4571" s="5">
        <v>0.129514634609222</v>
      </c>
      <c r="H4571" s="5">
        <v>7.82210922241211</v>
      </c>
      <c r="I4571" t="s">
        <v>57</v>
      </c>
    </row>
    <row r="4572" spans="1:9">
      <c r="A4572" s="4" t="s">
        <v>9195</v>
      </c>
      <c r="B4572" s="4" t="s">
        <v>9196</v>
      </c>
      <c r="C4572" s="4" t="s">
        <v>41</v>
      </c>
      <c r="D4572" s="2">
        <f>69353920/(10^6)</f>
        <v>69.35392</v>
      </c>
      <c r="E4572" s="5" t="s">
        <v>86</v>
      </c>
      <c r="F4572" s="5">
        <v>7.11606645584106</v>
      </c>
      <c r="G4572" s="5">
        <v>2.21641397476196</v>
      </c>
      <c r="H4572" s="5" t="s">
        <v>86</v>
      </c>
      <c r="I4572" t="s">
        <v>57</v>
      </c>
    </row>
    <row r="4573" spans="1:9">
      <c r="A4573" s="4" t="s">
        <v>9197</v>
      </c>
      <c r="B4573" s="4" t="s">
        <v>9198</v>
      </c>
      <c r="C4573" s="4" t="s">
        <v>49</v>
      </c>
      <c r="D4573" s="2">
        <f>69300000/(10^6)</f>
        <v>69.3</v>
      </c>
      <c r="E4573" s="5" t="s">
        <v>86</v>
      </c>
      <c r="F4573" s="5" t="s">
        <v>86</v>
      </c>
      <c r="G4573" s="5" t="s">
        <v>86</v>
      </c>
      <c r="H4573" s="5" t="s">
        <v>86</v>
      </c>
      <c r="I4573" t="s">
        <v>57</v>
      </c>
    </row>
    <row r="4574" spans="1:9">
      <c r="A4574" s="4" t="s">
        <v>9199</v>
      </c>
      <c r="B4574" s="4" t="s">
        <v>9200</v>
      </c>
      <c r="C4574" s="4" t="s">
        <v>41</v>
      </c>
      <c r="D4574" s="2">
        <f>69258000/(10^6)</f>
        <v>69.258</v>
      </c>
      <c r="E4574" s="5" t="s">
        <v>86</v>
      </c>
      <c r="F4574" s="5" t="s">
        <v>86</v>
      </c>
      <c r="G4574" s="5">
        <v>18.9532585144043</v>
      </c>
      <c r="H4574" s="5" t="s">
        <v>86</v>
      </c>
      <c r="I4574" t="s">
        <v>57</v>
      </c>
    </row>
    <row r="4575" spans="1:9">
      <c r="A4575" s="4" t="s">
        <v>9201</v>
      </c>
      <c r="B4575" s="4" t="s">
        <v>9202</v>
      </c>
      <c r="C4575" s="4" t="s">
        <v>43</v>
      </c>
      <c r="D4575" s="2">
        <f>69240368/(10^6)</f>
        <v>69.240368</v>
      </c>
      <c r="E4575" s="5" t="s">
        <v>86</v>
      </c>
      <c r="F4575" s="5" t="s">
        <v>86</v>
      </c>
      <c r="G4575" s="5" t="s">
        <v>86</v>
      </c>
      <c r="H4575" s="5" t="s">
        <v>86</v>
      </c>
      <c r="I4575" t="s">
        <v>57</v>
      </c>
    </row>
    <row r="4576" spans="1:9">
      <c r="A4576" s="4" t="s">
        <v>9203</v>
      </c>
      <c r="B4576" s="4" t="s">
        <v>9204</v>
      </c>
      <c r="C4576" s="4" t="s">
        <v>35</v>
      </c>
      <c r="D4576" s="2">
        <f>69226168/(10^6)</f>
        <v>69.226168</v>
      </c>
      <c r="E4576" s="5" t="s">
        <v>86</v>
      </c>
      <c r="F4576" s="5" t="s">
        <v>86</v>
      </c>
      <c r="G4576" s="5" t="s">
        <v>86</v>
      </c>
      <c r="H4576" s="5" t="s">
        <v>86</v>
      </c>
      <c r="I4576" t="s">
        <v>57</v>
      </c>
    </row>
    <row r="4577" spans="1:9">
      <c r="A4577" s="4" t="s">
        <v>9205</v>
      </c>
      <c r="B4577" s="4" t="s">
        <v>9206</v>
      </c>
      <c r="C4577" s="4" t="s">
        <v>41</v>
      </c>
      <c r="D4577" s="2">
        <f>69211488/(10^6)</f>
        <v>69.211488</v>
      </c>
      <c r="E4577" s="5" t="s">
        <v>86</v>
      </c>
      <c r="F4577" s="5">
        <v>0.927699208259583</v>
      </c>
      <c r="G4577" s="5" t="s">
        <v>86</v>
      </c>
      <c r="H4577" s="5" t="s">
        <v>86</v>
      </c>
      <c r="I4577" t="s">
        <v>57</v>
      </c>
    </row>
    <row r="4578" spans="1:9">
      <c r="A4578" s="4" t="s">
        <v>9207</v>
      </c>
      <c r="B4578" s="4" t="s">
        <v>9208</v>
      </c>
      <c r="C4578" s="4" t="s">
        <v>31</v>
      </c>
      <c r="D4578" s="2">
        <f>69063456/(10^6)</f>
        <v>69.063456</v>
      </c>
      <c r="E4578" s="5" t="s">
        <v>86</v>
      </c>
      <c r="F4578" s="5">
        <v>3.0251317024231</v>
      </c>
      <c r="G4578" s="5" t="s">
        <v>86</v>
      </c>
      <c r="H4578" s="5" t="s">
        <v>86</v>
      </c>
      <c r="I4578" t="s">
        <v>57</v>
      </c>
    </row>
    <row r="4579" spans="1:9">
      <c r="A4579" s="4" t="s">
        <v>9209</v>
      </c>
      <c r="B4579" s="4" t="s">
        <v>9210</v>
      </c>
      <c r="C4579" s="4" t="s">
        <v>33</v>
      </c>
      <c r="D4579" s="2">
        <f>69062464/(10^6)</f>
        <v>69.062464</v>
      </c>
      <c r="E4579" s="5" t="s">
        <v>86</v>
      </c>
      <c r="F4579" s="5">
        <v>1.0811607837677</v>
      </c>
      <c r="G4579" s="5">
        <v>1.59630048274994</v>
      </c>
      <c r="H4579" s="5" t="s">
        <v>86</v>
      </c>
      <c r="I4579" t="s">
        <v>57</v>
      </c>
    </row>
    <row r="4580" spans="1:9">
      <c r="A4580" s="4" t="s">
        <v>9211</v>
      </c>
      <c r="B4580" s="4" t="s">
        <v>9212</v>
      </c>
      <c r="C4580" s="4" t="s">
        <v>27</v>
      </c>
      <c r="D4580" s="2">
        <f>69044872/(10^6)</f>
        <v>69.044872</v>
      </c>
      <c r="E4580" s="5" t="s">
        <v>86</v>
      </c>
      <c r="F4580" s="5">
        <v>0.282275050878525</v>
      </c>
      <c r="G4580" s="5">
        <v>0.082669101655483</v>
      </c>
      <c r="H4580" s="5" t="s">
        <v>86</v>
      </c>
      <c r="I4580" t="s">
        <v>57</v>
      </c>
    </row>
    <row r="4581" spans="1:9">
      <c r="A4581" s="4" t="s">
        <v>9213</v>
      </c>
      <c r="B4581" s="4" t="s">
        <v>9214</v>
      </c>
      <c r="C4581" s="4" t="s">
        <v>31</v>
      </c>
      <c r="D4581" s="2">
        <f>68979904/(10^6)</f>
        <v>68.979904</v>
      </c>
      <c r="E4581" s="5">
        <v>24.7822303771973</v>
      </c>
      <c r="F4581" s="5">
        <v>2.2343008518219</v>
      </c>
      <c r="G4581" s="5">
        <v>0.933831751346588</v>
      </c>
      <c r="H4581" s="5">
        <v>15.6018257141113</v>
      </c>
      <c r="I4581" t="s">
        <v>57</v>
      </c>
    </row>
    <row r="4582" spans="1:9">
      <c r="A4582" s="4" t="s">
        <v>9215</v>
      </c>
      <c r="B4582" s="4" t="s">
        <v>9216</v>
      </c>
      <c r="C4582" s="4" t="s">
        <v>51</v>
      </c>
      <c r="D4582" s="2">
        <f>68968904/(10^6)</f>
        <v>68.968904</v>
      </c>
      <c r="E4582" s="5">
        <v>12.6978054046631</v>
      </c>
      <c r="F4582" s="5">
        <v>2.10506343841553</v>
      </c>
      <c r="G4582" s="5">
        <v>0.412683993577957</v>
      </c>
      <c r="H4582" s="5">
        <v>9.66958999633789</v>
      </c>
      <c r="I4582" t="s">
        <v>57</v>
      </c>
    </row>
    <row r="4583" spans="1:9">
      <c r="A4583" s="4" t="s">
        <v>9217</v>
      </c>
      <c r="B4583" s="4" t="s">
        <v>9218</v>
      </c>
      <c r="C4583" s="4" t="s">
        <v>41</v>
      </c>
      <c r="D4583" s="2">
        <f>68848832/(10^6)</f>
        <v>68.848832</v>
      </c>
      <c r="E4583" s="5" t="s">
        <v>86</v>
      </c>
      <c r="F4583" s="5">
        <v>20.3096046447754</v>
      </c>
      <c r="G4583" s="5">
        <v>12.8241271972656</v>
      </c>
      <c r="H4583" s="5" t="s">
        <v>86</v>
      </c>
      <c r="I4583" t="s">
        <v>57</v>
      </c>
    </row>
    <row r="4584" spans="1:9">
      <c r="A4584" s="4" t="s">
        <v>9219</v>
      </c>
      <c r="B4584" s="4" t="s">
        <v>9220</v>
      </c>
      <c r="C4584" s="4" t="s">
        <v>41</v>
      </c>
      <c r="D4584" s="2">
        <f>68825040/(10^6)</f>
        <v>68.82504</v>
      </c>
      <c r="E4584" s="5">
        <v>6.90322589874268</v>
      </c>
      <c r="F4584" s="5">
        <v>0.463633000850677</v>
      </c>
      <c r="G4584" s="5">
        <v>2.36024641990662</v>
      </c>
      <c r="H4584" s="5" t="s">
        <v>86</v>
      </c>
      <c r="I4584" t="s">
        <v>57</v>
      </c>
    </row>
    <row r="4585" spans="1:9">
      <c r="A4585" s="4" t="s">
        <v>9221</v>
      </c>
      <c r="B4585" s="4" t="s">
        <v>9222</v>
      </c>
      <c r="C4585" s="4" t="s">
        <v>35</v>
      </c>
      <c r="D4585" s="2">
        <f>68736416/(10^6)</f>
        <v>68.736416</v>
      </c>
      <c r="E4585" s="5" t="s">
        <v>86</v>
      </c>
      <c r="F4585" s="5">
        <v>2.35348701477051</v>
      </c>
      <c r="G4585" s="5">
        <v>1.25565958023071</v>
      </c>
      <c r="H4585" s="5" t="s">
        <v>86</v>
      </c>
      <c r="I4585" t="s">
        <v>57</v>
      </c>
    </row>
    <row r="4586" spans="1:9">
      <c r="A4586" s="4" t="s">
        <v>9223</v>
      </c>
      <c r="B4586" s="4" t="s">
        <v>9224</v>
      </c>
      <c r="C4586" s="4" t="s">
        <v>41</v>
      </c>
      <c r="D4586" s="2">
        <f>68605584/(10^6)</f>
        <v>68.605584</v>
      </c>
      <c r="E4586" s="5" t="s">
        <v>86</v>
      </c>
      <c r="F4586" s="5" t="s">
        <v>86</v>
      </c>
      <c r="G4586" s="5" t="s">
        <v>86</v>
      </c>
      <c r="H4586" s="5" t="s">
        <v>86</v>
      </c>
      <c r="I4586" t="s">
        <v>57</v>
      </c>
    </row>
    <row r="4587" spans="1:9">
      <c r="A4587" s="4" t="s">
        <v>9225</v>
      </c>
      <c r="B4587" s="4" t="s">
        <v>9226</v>
      </c>
      <c r="C4587" s="4" t="s">
        <v>41</v>
      </c>
      <c r="D4587" s="2">
        <f>68593392/(10^6)</f>
        <v>68.593392</v>
      </c>
      <c r="E4587" s="5" t="s">
        <v>86</v>
      </c>
      <c r="F4587" s="5">
        <v>10.6369886398315</v>
      </c>
      <c r="G4587" s="5" t="s">
        <v>86</v>
      </c>
      <c r="H4587" s="5" t="s">
        <v>86</v>
      </c>
      <c r="I4587" t="s">
        <v>57</v>
      </c>
    </row>
    <row r="4588" spans="1:9">
      <c r="A4588" s="4" t="s">
        <v>9227</v>
      </c>
      <c r="B4588" s="4" t="s">
        <v>9228</v>
      </c>
      <c r="C4588" s="4" t="s">
        <v>31</v>
      </c>
      <c r="D4588" s="2">
        <f>68380008/(10^6)</f>
        <v>68.380008</v>
      </c>
      <c r="E4588" s="5">
        <v>1.14272367954254</v>
      </c>
      <c r="F4588" s="5" t="s">
        <v>86</v>
      </c>
      <c r="G4588" s="5">
        <v>0.010947954840958</v>
      </c>
      <c r="H4588" s="5">
        <v>5.26785612106323</v>
      </c>
      <c r="I4588" t="s">
        <v>57</v>
      </c>
    </row>
    <row r="4589" spans="1:9">
      <c r="A4589" s="4" t="s">
        <v>9229</v>
      </c>
      <c r="B4589" s="4" t="s">
        <v>9230</v>
      </c>
      <c r="C4589" s="4" t="s">
        <v>51</v>
      </c>
      <c r="D4589" s="2">
        <f>68365248/(10^6)</f>
        <v>68.365248</v>
      </c>
      <c r="E4589" s="5">
        <v>50.6158256530762</v>
      </c>
      <c r="F4589" s="5" t="s">
        <v>86</v>
      </c>
      <c r="G4589" s="5" t="s">
        <v>86</v>
      </c>
      <c r="H4589" s="5">
        <v>35.4722213745117</v>
      </c>
      <c r="I4589" t="s">
        <v>57</v>
      </c>
    </row>
    <row r="4590" spans="1:9">
      <c r="A4590" s="4" t="s">
        <v>9231</v>
      </c>
      <c r="B4590" s="4" t="s">
        <v>9232</v>
      </c>
      <c r="C4590" s="4" t="s">
        <v>51</v>
      </c>
      <c r="D4590" s="2">
        <f>68305104/(10^6)</f>
        <v>68.305104</v>
      </c>
      <c r="E4590" s="5" t="s">
        <v>86</v>
      </c>
      <c r="F4590" s="5">
        <v>24.1254024505615</v>
      </c>
      <c r="G4590" s="5">
        <v>2.23034071922302</v>
      </c>
      <c r="H4590" s="5" t="s">
        <v>86</v>
      </c>
      <c r="I4590" t="s">
        <v>57</v>
      </c>
    </row>
    <row r="4591" spans="1:9">
      <c r="A4591" s="4" t="s">
        <v>9233</v>
      </c>
      <c r="B4591" s="4" t="s">
        <v>9234</v>
      </c>
      <c r="C4591" s="4" t="s">
        <v>43</v>
      </c>
      <c r="D4591" s="2">
        <f>68136928/(10^6)</f>
        <v>68.136928</v>
      </c>
      <c r="E4591" s="5">
        <v>19.3769474029541</v>
      </c>
      <c r="F4591" s="5">
        <v>2.5693097114563</v>
      </c>
      <c r="G4591" s="5">
        <v>3.0011625289917</v>
      </c>
      <c r="H4591" s="5" t="s">
        <v>86</v>
      </c>
      <c r="I4591" t="s">
        <v>57</v>
      </c>
    </row>
    <row r="4592" spans="1:9">
      <c r="A4592" s="4" t="s">
        <v>9235</v>
      </c>
      <c r="B4592" s="4" t="s">
        <v>9236</v>
      </c>
      <c r="C4592" s="4" t="s">
        <v>43</v>
      </c>
      <c r="D4592" s="2">
        <f>67932448/(10^6)</f>
        <v>67.932448</v>
      </c>
      <c r="E4592" s="5" t="s">
        <v>86</v>
      </c>
      <c r="F4592" s="5">
        <v>2.26713633537292</v>
      </c>
      <c r="G4592" s="5">
        <v>2.32879424095154</v>
      </c>
      <c r="H4592" s="5" t="s">
        <v>86</v>
      </c>
      <c r="I4592" t="s">
        <v>57</v>
      </c>
    </row>
    <row r="4593" spans="1:9">
      <c r="A4593" s="4" t="s">
        <v>9237</v>
      </c>
      <c r="B4593" s="4" t="s">
        <v>9238</v>
      </c>
      <c r="C4593" s="4" t="s">
        <v>43</v>
      </c>
      <c r="D4593" s="2">
        <f>67922528/(10^6)</f>
        <v>67.922528</v>
      </c>
      <c r="E4593" s="5">
        <v>9.63302803039551</v>
      </c>
      <c r="F4593" s="5">
        <v>1.29608523845673</v>
      </c>
      <c r="G4593" s="5">
        <v>1.84515869617462</v>
      </c>
      <c r="H4593" s="5" t="s">
        <v>86</v>
      </c>
      <c r="I4593" t="s">
        <v>57</v>
      </c>
    </row>
    <row r="4594" spans="1:9">
      <c r="A4594" s="4" t="s">
        <v>9239</v>
      </c>
      <c r="B4594" s="4" t="s">
        <v>9240</v>
      </c>
      <c r="C4594" s="4" t="s">
        <v>43</v>
      </c>
      <c r="D4594" s="2">
        <f>67543496/(10^6)</f>
        <v>67.543496</v>
      </c>
      <c r="E4594" s="5">
        <v>26.1627902984619</v>
      </c>
      <c r="F4594" s="5">
        <v>1.94847226142883</v>
      </c>
      <c r="G4594" s="5">
        <v>2.10146427154541</v>
      </c>
      <c r="H4594" s="5" t="s">
        <v>86</v>
      </c>
      <c r="I4594" t="s">
        <v>57</v>
      </c>
    </row>
    <row r="4595" spans="1:9">
      <c r="A4595" s="4" t="s">
        <v>9241</v>
      </c>
      <c r="B4595" s="4" t="s">
        <v>9242</v>
      </c>
      <c r="C4595" s="4" t="s">
        <v>43</v>
      </c>
      <c r="D4595" s="2">
        <f>67424000/(10^6)</f>
        <v>67.424</v>
      </c>
      <c r="E4595" s="5">
        <v>19.6000003814697</v>
      </c>
      <c r="F4595" s="5">
        <v>0.978930950164795</v>
      </c>
      <c r="G4595" s="5">
        <v>3.21468114852905</v>
      </c>
      <c r="H4595" s="5" t="s">
        <v>86</v>
      </c>
      <c r="I4595" t="s">
        <v>57</v>
      </c>
    </row>
    <row r="4596" spans="1:9">
      <c r="A4596" s="4" t="s">
        <v>9243</v>
      </c>
      <c r="B4596" s="4" t="s">
        <v>9244</v>
      </c>
      <c r="C4596" s="4" t="s">
        <v>31</v>
      </c>
      <c r="D4596" s="2">
        <f>67338232/(10^6)</f>
        <v>67.338232</v>
      </c>
      <c r="E4596" s="5" t="s">
        <v>86</v>
      </c>
      <c r="F4596" s="5">
        <v>47.219310760498</v>
      </c>
      <c r="G4596" s="5">
        <v>12.0818891525269</v>
      </c>
      <c r="H4596" s="5" t="s">
        <v>86</v>
      </c>
      <c r="I4596" t="s">
        <v>57</v>
      </c>
    </row>
    <row r="4597" spans="1:9">
      <c r="A4597" s="4" t="s">
        <v>9245</v>
      </c>
      <c r="B4597" s="4" t="s">
        <v>9246</v>
      </c>
      <c r="C4597" s="4" t="s">
        <v>39</v>
      </c>
      <c r="D4597" s="2">
        <f>67312264/(10^6)</f>
        <v>67.312264</v>
      </c>
      <c r="E4597" s="5" t="s">
        <v>86</v>
      </c>
      <c r="F4597" s="5" t="s">
        <v>86</v>
      </c>
      <c r="G4597" s="5" t="s">
        <v>86</v>
      </c>
      <c r="H4597" s="5" t="s">
        <v>86</v>
      </c>
      <c r="I4597" t="s">
        <v>57</v>
      </c>
    </row>
    <row r="4598" spans="1:9">
      <c r="A4598" s="4" t="s">
        <v>9247</v>
      </c>
      <c r="B4598" s="4" t="s">
        <v>9248</v>
      </c>
      <c r="C4598" s="4" t="s">
        <v>41</v>
      </c>
      <c r="D4598" s="2">
        <f>67217968/(10^6)</f>
        <v>67.217968</v>
      </c>
      <c r="E4598" s="5" t="s">
        <v>86</v>
      </c>
      <c r="F4598" s="5">
        <v>2.40275502204895</v>
      </c>
      <c r="G4598" s="5" t="s">
        <v>86</v>
      </c>
      <c r="H4598" s="5" t="s">
        <v>86</v>
      </c>
      <c r="I4598" t="s">
        <v>57</v>
      </c>
    </row>
    <row r="4599" spans="1:9">
      <c r="A4599" s="4" t="s">
        <v>9249</v>
      </c>
      <c r="B4599" s="4" t="s">
        <v>9250</v>
      </c>
      <c r="C4599" s="4" t="s">
        <v>47</v>
      </c>
      <c r="D4599" s="2">
        <f>67039500/(10^6)</f>
        <v>67.0395</v>
      </c>
      <c r="E4599" s="5" t="s">
        <v>86</v>
      </c>
      <c r="F4599" s="5">
        <v>6.00571203231812</v>
      </c>
      <c r="G4599" s="5">
        <v>0.135149896144867</v>
      </c>
      <c r="H4599" s="5">
        <v>97.3297958374023</v>
      </c>
      <c r="I4599" t="s">
        <v>57</v>
      </c>
    </row>
    <row r="4600" spans="1:9">
      <c r="A4600" s="4" t="s">
        <v>9251</v>
      </c>
      <c r="B4600" s="4" t="s">
        <v>9252</v>
      </c>
      <c r="C4600" s="4" t="s">
        <v>33</v>
      </c>
      <c r="D4600" s="2">
        <f>66786236/(10^6)</f>
        <v>66.786236</v>
      </c>
      <c r="E4600" s="5" t="s">
        <v>86</v>
      </c>
      <c r="F4600" s="5">
        <v>1.60722613334656</v>
      </c>
      <c r="G4600" s="5" t="s">
        <v>86</v>
      </c>
      <c r="H4600" s="5" t="s">
        <v>86</v>
      </c>
      <c r="I4600" t="s">
        <v>57</v>
      </c>
    </row>
    <row r="4601" spans="1:9">
      <c r="A4601" s="4" t="s">
        <v>9253</v>
      </c>
      <c r="B4601" s="4" t="s">
        <v>9254</v>
      </c>
      <c r="C4601" s="4" t="s">
        <v>41</v>
      </c>
      <c r="D4601" s="2">
        <f>66749000/(10^6)</f>
        <v>66.749</v>
      </c>
      <c r="E4601" s="5" t="s">
        <v>86</v>
      </c>
      <c r="F4601" s="5">
        <v>1.06943643093109</v>
      </c>
      <c r="G4601" s="5">
        <v>13.0500383377075</v>
      </c>
      <c r="H4601" s="5" t="s">
        <v>86</v>
      </c>
      <c r="I4601" t="s">
        <v>57</v>
      </c>
    </row>
    <row r="4602" spans="1:9">
      <c r="A4602" s="4" t="s">
        <v>9255</v>
      </c>
      <c r="B4602" s="4" t="s">
        <v>9256</v>
      </c>
      <c r="C4602" s="4" t="s">
        <v>43</v>
      </c>
      <c r="D4602" s="2">
        <f>66667940/(10^6)</f>
        <v>66.66794</v>
      </c>
      <c r="E4602" s="5">
        <v>16.625</v>
      </c>
      <c r="F4602" s="5">
        <v>0.75258880853653</v>
      </c>
      <c r="G4602" s="5">
        <v>1.84243702888489</v>
      </c>
      <c r="H4602" s="5" t="s">
        <v>86</v>
      </c>
      <c r="I4602" t="s">
        <v>57</v>
      </c>
    </row>
    <row r="4603" spans="1:9">
      <c r="A4603" s="4" t="s">
        <v>9257</v>
      </c>
      <c r="B4603" s="4" t="s">
        <v>9258</v>
      </c>
      <c r="C4603" s="4" t="s">
        <v>51</v>
      </c>
      <c r="D4603" s="2">
        <f>66489076/(10^6)</f>
        <v>66.489076</v>
      </c>
      <c r="E4603" s="5">
        <v>56.7866706848145</v>
      </c>
      <c r="F4603" s="5">
        <v>1.3863490819931</v>
      </c>
      <c r="G4603" s="5">
        <v>1.19147682189941</v>
      </c>
      <c r="H4603" s="5">
        <v>20.6927032470703</v>
      </c>
      <c r="I4603" t="s">
        <v>57</v>
      </c>
    </row>
    <row r="4604" spans="1:9">
      <c r="A4604" s="4" t="s">
        <v>9259</v>
      </c>
      <c r="B4604" s="4" t="s">
        <v>9260</v>
      </c>
      <c r="C4604" s="4" t="s">
        <v>41</v>
      </c>
      <c r="D4604" s="2">
        <f>66445844/(10^6)</f>
        <v>66.445844</v>
      </c>
      <c r="E4604" s="5" t="s">
        <v>86</v>
      </c>
      <c r="F4604" s="5">
        <v>3.4432225227356</v>
      </c>
      <c r="G4604" s="5" t="s">
        <v>86</v>
      </c>
      <c r="H4604" s="5" t="s">
        <v>86</v>
      </c>
      <c r="I4604" t="s">
        <v>57</v>
      </c>
    </row>
    <row r="4605" spans="1:9">
      <c r="A4605" s="4" t="s">
        <v>9261</v>
      </c>
      <c r="B4605" s="4" t="s">
        <v>9262</v>
      </c>
      <c r="C4605" s="4" t="s">
        <v>43</v>
      </c>
      <c r="D4605" s="2">
        <f>66420704/(10^6)</f>
        <v>66.420704</v>
      </c>
      <c r="E4605" s="5">
        <v>7.11779260635376</v>
      </c>
      <c r="F4605" s="5">
        <v>0.932190418243408</v>
      </c>
      <c r="G4605" s="5">
        <v>1.65515995025635</v>
      </c>
      <c r="H4605" s="5" t="s">
        <v>86</v>
      </c>
      <c r="I4605" t="s">
        <v>57</v>
      </c>
    </row>
    <row r="4606" spans="1:9">
      <c r="A4606" s="4" t="s">
        <v>9263</v>
      </c>
      <c r="B4606" s="4" t="s">
        <v>9264</v>
      </c>
      <c r="C4606" s="4" t="s">
        <v>41</v>
      </c>
      <c r="D4606" s="2">
        <f>66406212/(10^6)</f>
        <v>66.406212</v>
      </c>
      <c r="E4606" s="5" t="s">
        <v>86</v>
      </c>
      <c r="F4606" s="5" t="s">
        <v>86</v>
      </c>
      <c r="G4606" s="5">
        <v>102.189781188965</v>
      </c>
      <c r="H4606" s="5" t="s">
        <v>86</v>
      </c>
      <c r="I4606" t="s">
        <v>57</v>
      </c>
    </row>
    <row r="4607" spans="1:9">
      <c r="A4607" s="4" t="s">
        <v>9265</v>
      </c>
      <c r="B4607" s="4" t="s">
        <v>9266</v>
      </c>
      <c r="C4607" s="4" t="s">
        <v>41</v>
      </c>
      <c r="D4607" s="2">
        <f>66375356/(10^6)</f>
        <v>66.375356</v>
      </c>
      <c r="E4607" s="5" t="s">
        <v>86</v>
      </c>
      <c r="F4607" s="5">
        <v>29.3812122344971</v>
      </c>
      <c r="G4607" s="5" t="s">
        <v>86</v>
      </c>
      <c r="H4607" s="5" t="s">
        <v>86</v>
      </c>
      <c r="I4607" t="s">
        <v>57</v>
      </c>
    </row>
    <row r="4608" spans="1:9">
      <c r="A4608" s="4" t="s">
        <v>9267</v>
      </c>
      <c r="B4608" s="4" t="s">
        <v>9268</v>
      </c>
      <c r="C4608" s="4" t="s">
        <v>41</v>
      </c>
      <c r="D4608" s="2">
        <f>66323496/(10^6)</f>
        <v>66.323496</v>
      </c>
      <c r="E4608" s="5" t="s">
        <v>86</v>
      </c>
      <c r="F4608" s="5">
        <v>11.6031713485718</v>
      </c>
      <c r="G4608" s="5" t="s">
        <v>86</v>
      </c>
      <c r="H4608" s="5" t="s">
        <v>86</v>
      </c>
      <c r="I4608" t="s">
        <v>57</v>
      </c>
    </row>
    <row r="4609" spans="1:9">
      <c r="A4609" s="4" t="s">
        <v>9269</v>
      </c>
      <c r="B4609" s="4" t="s">
        <v>9270</v>
      </c>
      <c r="C4609" s="4" t="s">
        <v>47</v>
      </c>
      <c r="D4609" s="2">
        <f>66284820/(10^6)</f>
        <v>66.28482</v>
      </c>
      <c r="E4609" s="5" t="s">
        <v>86</v>
      </c>
      <c r="F4609" s="5">
        <v>10.2879486083984</v>
      </c>
      <c r="G4609" s="5">
        <v>0.230254620313644</v>
      </c>
      <c r="H4609" s="5" t="s">
        <v>86</v>
      </c>
      <c r="I4609" t="s">
        <v>57</v>
      </c>
    </row>
    <row r="4610" spans="1:9">
      <c r="A4610" s="4" t="s">
        <v>9271</v>
      </c>
      <c r="B4610" s="4" t="s">
        <v>9272</v>
      </c>
      <c r="C4610" s="4" t="s">
        <v>37</v>
      </c>
      <c r="D4610" s="2">
        <f>66136904/(10^6)</f>
        <v>66.136904</v>
      </c>
      <c r="E4610" s="5">
        <v>10.8097743988037</v>
      </c>
      <c r="F4610" s="5">
        <v>1.14674627780914</v>
      </c>
      <c r="G4610" s="5">
        <v>1.17377376556397</v>
      </c>
      <c r="H4610" s="5">
        <v>8.52492141723633</v>
      </c>
      <c r="I4610" t="s">
        <v>57</v>
      </c>
    </row>
    <row r="4611" spans="1:9">
      <c r="A4611" s="4" t="s">
        <v>9273</v>
      </c>
      <c r="B4611" s="4" t="s">
        <v>9274</v>
      </c>
      <c r="C4611" s="4" t="s">
        <v>43</v>
      </c>
      <c r="D4611" s="2">
        <f>66058520/(10^6)</f>
        <v>66.05852</v>
      </c>
      <c r="E4611" s="5">
        <v>6.94444465637207</v>
      </c>
      <c r="F4611" s="5">
        <v>0.914584696292877</v>
      </c>
      <c r="G4611" s="5">
        <v>1.05349314212799</v>
      </c>
      <c r="H4611" s="5" t="s">
        <v>86</v>
      </c>
      <c r="I4611" t="s">
        <v>57</v>
      </c>
    </row>
    <row r="4612" spans="1:9">
      <c r="A4612" s="4" t="s">
        <v>9275</v>
      </c>
      <c r="B4612" s="4" t="s">
        <v>9276</v>
      </c>
      <c r="C4612" s="4" t="s">
        <v>43</v>
      </c>
      <c r="D4612" s="2">
        <f>65932328/(10^6)</f>
        <v>65.932328</v>
      </c>
      <c r="E4612" s="5">
        <v>10.7458047866821</v>
      </c>
      <c r="F4612" s="5">
        <v>0.89738142490387</v>
      </c>
      <c r="G4612" s="5">
        <v>1.43804514408112</v>
      </c>
      <c r="H4612" s="5" t="s">
        <v>86</v>
      </c>
      <c r="I4612" t="s">
        <v>57</v>
      </c>
    </row>
    <row r="4613" spans="1:9">
      <c r="A4613" s="4" t="s">
        <v>9277</v>
      </c>
      <c r="B4613" s="4" t="s">
        <v>9278</v>
      </c>
      <c r="C4613" s="4" t="s">
        <v>49</v>
      </c>
      <c r="D4613" s="2">
        <f>65917644/(10^6)</f>
        <v>65.917644</v>
      </c>
      <c r="E4613" s="5">
        <v>36.7720260620117</v>
      </c>
      <c r="F4613" s="5">
        <v>0.389305204153061</v>
      </c>
      <c r="G4613" s="5" t="s">
        <v>86</v>
      </c>
      <c r="H4613" s="5" t="s">
        <v>86</v>
      </c>
      <c r="I4613" t="s">
        <v>57</v>
      </c>
    </row>
    <row r="4614" spans="1:9">
      <c r="A4614" s="4" t="s">
        <v>9279</v>
      </c>
      <c r="B4614" s="4" t="s">
        <v>9280</v>
      </c>
      <c r="C4614" s="4" t="s">
        <v>37</v>
      </c>
      <c r="D4614" s="2">
        <f>65901128/(10^6)</f>
        <v>65.901128</v>
      </c>
      <c r="E4614" s="5" t="s">
        <v>86</v>
      </c>
      <c r="F4614" s="5">
        <v>12.5628299713135</v>
      </c>
      <c r="G4614" s="5" t="s">
        <v>86</v>
      </c>
      <c r="H4614" s="5" t="s">
        <v>86</v>
      </c>
      <c r="I4614" t="s">
        <v>57</v>
      </c>
    </row>
    <row r="4615" spans="1:9">
      <c r="A4615" s="4" t="s">
        <v>9281</v>
      </c>
      <c r="B4615" s="4" t="s">
        <v>9282</v>
      </c>
      <c r="C4615" s="4" t="s">
        <v>49</v>
      </c>
      <c r="D4615" s="2">
        <f>65835000/(10^6)</f>
        <v>65.835</v>
      </c>
      <c r="E4615" s="5" t="s">
        <v>86</v>
      </c>
      <c r="F4615" s="5" t="s">
        <v>86</v>
      </c>
      <c r="G4615" s="5" t="s">
        <v>86</v>
      </c>
      <c r="H4615" s="5" t="s">
        <v>86</v>
      </c>
      <c r="I4615" t="s">
        <v>57</v>
      </c>
    </row>
    <row r="4616" spans="1:9">
      <c r="A4616" s="4" t="s">
        <v>9283</v>
      </c>
      <c r="B4616" s="4" t="s">
        <v>9284</v>
      </c>
      <c r="C4616" s="4" t="s">
        <v>43</v>
      </c>
      <c r="D4616" s="2">
        <f>65816800/(10^6)</f>
        <v>65.8168</v>
      </c>
      <c r="E4616" s="5">
        <v>19.2164630889893</v>
      </c>
      <c r="F4616" s="5">
        <v>1.70673251152039</v>
      </c>
      <c r="G4616" s="5">
        <v>7.21277809143066</v>
      </c>
      <c r="H4616" s="5" t="s">
        <v>86</v>
      </c>
      <c r="I4616" t="s">
        <v>57</v>
      </c>
    </row>
    <row r="4617" spans="1:9">
      <c r="A4617" s="4" t="s">
        <v>9285</v>
      </c>
      <c r="B4617" s="4" t="s">
        <v>9286</v>
      </c>
      <c r="C4617" s="4" t="s">
        <v>51</v>
      </c>
      <c r="D4617" s="2">
        <f>65783300/(10^6)</f>
        <v>65.7833</v>
      </c>
      <c r="E4617" s="5" t="s">
        <v>86</v>
      </c>
      <c r="F4617" s="5">
        <v>2.28634309768677</v>
      </c>
      <c r="G4617" s="5">
        <v>2.58588910102844</v>
      </c>
      <c r="H4617" s="5" t="s">
        <v>86</v>
      </c>
      <c r="I4617" t="s">
        <v>57</v>
      </c>
    </row>
    <row r="4618" spans="1:9">
      <c r="A4618" s="4" t="s">
        <v>9287</v>
      </c>
      <c r="B4618" s="4" t="s">
        <v>9288</v>
      </c>
      <c r="C4618" s="4" t="s">
        <v>43</v>
      </c>
      <c r="D4618" s="2">
        <f>65782888/(10^6)</f>
        <v>65.782888</v>
      </c>
      <c r="E4618" s="5">
        <v>9.342604637146</v>
      </c>
      <c r="F4618" s="5">
        <v>1.09780859947205</v>
      </c>
      <c r="G4618" s="5">
        <v>1.9871267080307</v>
      </c>
      <c r="H4618" s="5" t="s">
        <v>86</v>
      </c>
      <c r="I4618" t="s">
        <v>57</v>
      </c>
    </row>
    <row r="4619" spans="1:9">
      <c r="A4619" s="4" t="s">
        <v>9289</v>
      </c>
      <c r="B4619" s="4" t="s">
        <v>9290</v>
      </c>
      <c r="C4619" s="4" t="s">
        <v>33</v>
      </c>
      <c r="D4619" s="2">
        <f>65694160/(10^6)</f>
        <v>65.69416</v>
      </c>
      <c r="E4619" s="5">
        <v>2.88232207298279</v>
      </c>
      <c r="F4619" s="5" t="s">
        <v>86</v>
      </c>
      <c r="G4619" s="5">
        <v>0.127170264720917</v>
      </c>
      <c r="H4619" s="5">
        <v>5.23374795913696</v>
      </c>
      <c r="I4619" t="s">
        <v>57</v>
      </c>
    </row>
    <row r="4620" spans="1:9">
      <c r="A4620" s="4" t="s">
        <v>9291</v>
      </c>
      <c r="B4620" s="4" t="s">
        <v>9292</v>
      </c>
      <c r="C4620" s="4" t="s">
        <v>41</v>
      </c>
      <c r="D4620" s="2">
        <f>65219172/(10^6)</f>
        <v>65.219172</v>
      </c>
      <c r="E4620" s="5" t="s">
        <v>86</v>
      </c>
      <c r="F4620" s="5">
        <v>2.20719933509827</v>
      </c>
      <c r="G4620" s="5" t="s">
        <v>86</v>
      </c>
      <c r="H4620" s="5" t="s">
        <v>86</v>
      </c>
      <c r="I4620" t="s">
        <v>57</v>
      </c>
    </row>
    <row r="4621" spans="1:9">
      <c r="A4621" s="4" t="s">
        <v>9293</v>
      </c>
      <c r="B4621" s="4" t="s">
        <v>9294</v>
      </c>
      <c r="C4621" s="4" t="s">
        <v>43</v>
      </c>
      <c r="D4621" s="2">
        <f>65179904/(10^6)</f>
        <v>65.179904</v>
      </c>
      <c r="E4621" s="5">
        <v>24.0740737915039</v>
      </c>
      <c r="F4621" s="5" t="s">
        <v>86</v>
      </c>
      <c r="G4621" s="5">
        <v>4.15127229690552</v>
      </c>
      <c r="H4621" s="5" t="s">
        <v>86</v>
      </c>
      <c r="I4621" t="s">
        <v>57</v>
      </c>
    </row>
    <row r="4622" spans="1:9">
      <c r="A4622" s="4" t="s">
        <v>9295</v>
      </c>
      <c r="B4622" s="4" t="s">
        <v>9296</v>
      </c>
      <c r="C4622" s="4" t="s">
        <v>41</v>
      </c>
      <c r="D4622" s="2">
        <f>65086352/(10^6)</f>
        <v>65.086352</v>
      </c>
      <c r="E4622" s="5" t="s">
        <v>86</v>
      </c>
      <c r="F4622" s="5" t="s">
        <v>86</v>
      </c>
      <c r="G4622" s="5">
        <v>3.52704811096191</v>
      </c>
      <c r="H4622" s="5" t="s">
        <v>86</v>
      </c>
      <c r="I4622" t="s">
        <v>57</v>
      </c>
    </row>
    <row r="4623" spans="1:9">
      <c r="A4623" s="4" t="s">
        <v>9297</v>
      </c>
      <c r="B4623" s="4" t="s">
        <v>9298</v>
      </c>
      <c r="C4623" s="4" t="s">
        <v>43</v>
      </c>
      <c r="D4623" s="2">
        <f>65009088/(10^6)</f>
        <v>65.009088</v>
      </c>
      <c r="E4623" s="5">
        <v>8.39160823822021</v>
      </c>
      <c r="F4623" s="5">
        <v>0.796172618865967</v>
      </c>
      <c r="G4623" s="5">
        <v>1.60176002979279</v>
      </c>
      <c r="H4623" s="5" t="s">
        <v>86</v>
      </c>
      <c r="I4623" t="s">
        <v>57</v>
      </c>
    </row>
    <row r="4624" spans="1:9">
      <c r="A4624" s="4" t="s">
        <v>9299</v>
      </c>
      <c r="B4624" s="4" t="s">
        <v>9300</v>
      </c>
      <c r="C4624" s="4" t="s">
        <v>37</v>
      </c>
      <c r="D4624" s="2">
        <f>64925948/(10^6)</f>
        <v>64.925948</v>
      </c>
      <c r="E4624" s="5" t="s">
        <v>86</v>
      </c>
      <c r="F4624" s="5">
        <v>1.63775610923767</v>
      </c>
      <c r="G4624" s="5">
        <v>47.3017997741699</v>
      </c>
      <c r="H4624" s="5" t="s">
        <v>86</v>
      </c>
      <c r="I4624" t="s">
        <v>57</v>
      </c>
    </row>
    <row r="4625" spans="1:9">
      <c r="A4625" s="4" t="s">
        <v>9301</v>
      </c>
      <c r="B4625" s="4" t="s">
        <v>9302</v>
      </c>
      <c r="C4625" s="4" t="s">
        <v>27</v>
      </c>
      <c r="D4625" s="2">
        <f>64912112/(10^6)</f>
        <v>64.912112</v>
      </c>
      <c r="E4625" s="5">
        <v>0.916968584060669</v>
      </c>
      <c r="F4625" s="5" t="s">
        <v>86</v>
      </c>
      <c r="G4625" s="5">
        <v>0.023038897663355</v>
      </c>
      <c r="H4625" s="5">
        <v>6.12682914733887</v>
      </c>
      <c r="I4625" t="s">
        <v>57</v>
      </c>
    </row>
    <row r="4626" spans="1:9">
      <c r="A4626" s="4" t="s">
        <v>9303</v>
      </c>
      <c r="B4626" s="4" t="s">
        <v>9304</v>
      </c>
      <c r="C4626" s="4" t="s">
        <v>47</v>
      </c>
      <c r="D4626" s="2">
        <f>64840172/(10^6)</f>
        <v>64.840172</v>
      </c>
      <c r="E4626" s="5" t="s">
        <v>86</v>
      </c>
      <c r="F4626" s="5" t="s">
        <v>86</v>
      </c>
      <c r="G4626" s="5">
        <v>0.038190234452486</v>
      </c>
      <c r="H4626" s="5">
        <v>6.03042936325073</v>
      </c>
      <c r="I4626" t="s">
        <v>57</v>
      </c>
    </row>
    <row r="4627" spans="1:9">
      <c r="A4627" s="4" t="s">
        <v>9305</v>
      </c>
      <c r="B4627" s="4" t="s">
        <v>9306</v>
      </c>
      <c r="C4627" s="4" t="s">
        <v>43</v>
      </c>
      <c r="D4627" s="2">
        <f>64832828/(10^6)</f>
        <v>64.832828</v>
      </c>
      <c r="E4627" s="5">
        <v>15.718563079834</v>
      </c>
      <c r="F4627" s="5">
        <v>1.5544376373291</v>
      </c>
      <c r="G4627" s="5">
        <v>3.19893860816956</v>
      </c>
      <c r="H4627" s="5" t="s">
        <v>86</v>
      </c>
      <c r="I4627" t="s">
        <v>57</v>
      </c>
    </row>
    <row r="4628" spans="1:9">
      <c r="A4628" s="4" t="s">
        <v>9307</v>
      </c>
      <c r="B4628" s="4" t="s">
        <v>9308</v>
      </c>
      <c r="C4628" s="4" t="s">
        <v>47</v>
      </c>
      <c r="D4628" s="2">
        <f>64618516/(10^6)</f>
        <v>64.618516</v>
      </c>
      <c r="E4628" s="5">
        <v>24.0755977630615</v>
      </c>
      <c r="F4628" s="5">
        <v>5.77251958847046</v>
      </c>
      <c r="G4628" s="5">
        <v>0.78779524564743</v>
      </c>
      <c r="H4628" s="5">
        <v>14.8939571380615</v>
      </c>
      <c r="I4628" t="s">
        <v>57</v>
      </c>
    </row>
    <row r="4629" spans="1:9">
      <c r="A4629" s="4" t="s">
        <v>9309</v>
      </c>
      <c r="B4629" s="4" t="s">
        <v>9310</v>
      </c>
      <c r="C4629" s="4" t="s">
        <v>43</v>
      </c>
      <c r="D4629" s="2">
        <f>64574752/(10^6)</f>
        <v>64.574752</v>
      </c>
      <c r="E4629" s="5">
        <v>12.6041660308838</v>
      </c>
      <c r="F4629" s="5">
        <v>1.41718053817749</v>
      </c>
      <c r="G4629" s="5">
        <v>2.75460410118103</v>
      </c>
      <c r="H4629" s="5" t="s">
        <v>86</v>
      </c>
      <c r="I4629" t="s">
        <v>57</v>
      </c>
    </row>
    <row r="4630" spans="1:9">
      <c r="A4630" s="4" t="s">
        <v>9311</v>
      </c>
      <c r="B4630" s="4" t="s">
        <v>9312</v>
      </c>
      <c r="C4630" s="4" t="s">
        <v>45</v>
      </c>
      <c r="D4630" s="2">
        <f>64291840/(10^6)</f>
        <v>64.29184</v>
      </c>
      <c r="E4630" s="5">
        <v>28.4953708648682</v>
      </c>
      <c r="F4630" s="5" t="s">
        <v>86</v>
      </c>
      <c r="G4630" s="5">
        <v>0.858828961849213</v>
      </c>
      <c r="H4630" s="5">
        <v>10.8294734954834</v>
      </c>
      <c r="I4630" t="s">
        <v>57</v>
      </c>
    </row>
    <row r="4631" spans="1:9">
      <c r="A4631" s="4" t="s">
        <v>9313</v>
      </c>
      <c r="B4631" s="4" t="s">
        <v>9314</v>
      </c>
      <c r="C4631" s="4" t="s">
        <v>45</v>
      </c>
      <c r="D4631" s="2">
        <f>64262000/(10^6)</f>
        <v>64.262</v>
      </c>
      <c r="E4631" s="5" t="s">
        <v>86</v>
      </c>
      <c r="F4631" s="5">
        <v>1.06289231777191</v>
      </c>
      <c r="G4631" s="5">
        <v>15.6253681182861</v>
      </c>
      <c r="H4631" s="5" t="s">
        <v>86</v>
      </c>
      <c r="I4631" t="s">
        <v>57</v>
      </c>
    </row>
    <row r="4632" spans="1:9">
      <c r="A4632" s="4" t="s">
        <v>9315</v>
      </c>
      <c r="B4632" s="4" t="s">
        <v>9316</v>
      </c>
      <c r="C4632" s="4" t="s">
        <v>47</v>
      </c>
      <c r="D4632" s="2">
        <f>64158328/(10^6)</f>
        <v>64.158328</v>
      </c>
      <c r="E4632" s="5">
        <v>13.0546960830688</v>
      </c>
      <c r="F4632" s="5">
        <v>0.359536796808243</v>
      </c>
      <c r="G4632" s="5">
        <v>0.144452378153801</v>
      </c>
      <c r="H4632" s="5">
        <v>2.09494996070862</v>
      </c>
      <c r="I4632" t="s">
        <v>57</v>
      </c>
    </row>
    <row r="4633" spans="1:9">
      <c r="A4633" s="4" t="s">
        <v>9317</v>
      </c>
      <c r="B4633" s="4" t="s">
        <v>9318</v>
      </c>
      <c r="C4633" s="4" t="s">
        <v>37</v>
      </c>
      <c r="D4633" s="2">
        <f>64086684/(10^6)</f>
        <v>64.086684</v>
      </c>
      <c r="E4633" s="5">
        <v>14.8571434020996</v>
      </c>
      <c r="F4633" s="5">
        <v>0.263473510742188</v>
      </c>
      <c r="G4633" s="5">
        <v>0.262946218252182</v>
      </c>
      <c r="H4633" s="5">
        <v>4.87828063964844</v>
      </c>
      <c r="I4633" t="s">
        <v>57</v>
      </c>
    </row>
    <row r="4634" spans="1:9">
      <c r="A4634" s="4" t="s">
        <v>9319</v>
      </c>
      <c r="B4634" s="4" t="s">
        <v>9320</v>
      </c>
      <c r="C4634" s="4" t="s">
        <v>43</v>
      </c>
      <c r="D4634" s="2">
        <f>64020940/(10^6)</f>
        <v>64.02094</v>
      </c>
      <c r="E4634" s="5">
        <v>2.93552589416504</v>
      </c>
      <c r="F4634" s="5">
        <v>0.756463587284088</v>
      </c>
      <c r="G4634" s="5">
        <v>1.24692809581757</v>
      </c>
      <c r="H4634" s="5" t="s">
        <v>86</v>
      </c>
      <c r="I4634" t="s">
        <v>57</v>
      </c>
    </row>
    <row r="4635" spans="1:9">
      <c r="A4635" s="4" t="s">
        <v>9321</v>
      </c>
      <c r="B4635" s="4" t="s">
        <v>9322</v>
      </c>
      <c r="C4635" s="4" t="s">
        <v>27</v>
      </c>
      <c r="D4635" s="2">
        <f>63984384/(10^6)</f>
        <v>63.984384</v>
      </c>
      <c r="E4635" s="5">
        <v>40.0158386230469</v>
      </c>
      <c r="F4635" s="5">
        <v>0.248487964272499</v>
      </c>
      <c r="G4635" s="5">
        <v>0.830090999603271</v>
      </c>
      <c r="H4635" s="5">
        <v>4.41264295578003</v>
      </c>
      <c r="I4635" t="s">
        <v>57</v>
      </c>
    </row>
    <row r="4636" spans="1:9">
      <c r="A4636" s="4" t="s">
        <v>9323</v>
      </c>
      <c r="B4636" s="4" t="s">
        <v>9324</v>
      </c>
      <c r="C4636" s="4" t="s">
        <v>35</v>
      </c>
      <c r="D4636" s="2">
        <f>63910956/(10^6)</f>
        <v>63.910956</v>
      </c>
      <c r="E4636" s="5" t="s">
        <v>86</v>
      </c>
      <c r="F4636" s="5" t="s">
        <v>86</v>
      </c>
      <c r="G4636" s="5">
        <v>0.855915188789368</v>
      </c>
      <c r="H4636" s="5" t="s">
        <v>86</v>
      </c>
      <c r="I4636" t="s">
        <v>57</v>
      </c>
    </row>
    <row r="4637" spans="1:9">
      <c r="A4637" s="4" t="s">
        <v>9325</v>
      </c>
      <c r="B4637" s="4" t="s">
        <v>9326</v>
      </c>
      <c r="C4637" s="4" t="s">
        <v>43</v>
      </c>
      <c r="D4637" s="2">
        <f>63885560/(10^6)</f>
        <v>63.88556</v>
      </c>
      <c r="E4637" s="5">
        <v>7.78301906585693</v>
      </c>
      <c r="F4637" s="5">
        <v>1.41882419586182</v>
      </c>
      <c r="G4637" s="5" t="s">
        <v>86</v>
      </c>
      <c r="H4637" s="5" t="s">
        <v>86</v>
      </c>
      <c r="I4637" t="s">
        <v>57</v>
      </c>
    </row>
    <row r="4638" spans="1:9">
      <c r="A4638" s="4" t="s">
        <v>9327</v>
      </c>
      <c r="B4638" s="4" t="s">
        <v>9328</v>
      </c>
      <c r="C4638" s="4" t="s">
        <v>43</v>
      </c>
      <c r="D4638" s="2">
        <f>63671548/(10^6)</f>
        <v>63.671548</v>
      </c>
      <c r="E4638" s="5">
        <v>35.3552703857422</v>
      </c>
      <c r="F4638" s="5">
        <v>0.895800471305847</v>
      </c>
      <c r="G4638" s="5">
        <v>4.33526039123535</v>
      </c>
      <c r="H4638" s="5" t="s">
        <v>86</v>
      </c>
      <c r="I4638" t="s">
        <v>57</v>
      </c>
    </row>
    <row r="4639" spans="1:9">
      <c r="A4639" s="4" t="s">
        <v>9329</v>
      </c>
      <c r="B4639" s="4" t="s">
        <v>9330</v>
      </c>
      <c r="C4639" s="4" t="s">
        <v>47</v>
      </c>
      <c r="D4639" s="2">
        <f>63649508/(10^6)</f>
        <v>63.649508</v>
      </c>
      <c r="E4639" s="5">
        <v>6.23291969299316</v>
      </c>
      <c r="F4639" s="5">
        <v>0.492799580097198</v>
      </c>
      <c r="G4639" s="5">
        <v>0.251979798078537</v>
      </c>
      <c r="H4639" s="5">
        <v>4.88889455795288</v>
      </c>
      <c r="I4639" t="s">
        <v>57</v>
      </c>
    </row>
    <row r="4640" spans="1:9">
      <c r="A4640" s="4" t="s">
        <v>9331</v>
      </c>
      <c r="B4640" s="4" t="s">
        <v>9332</v>
      </c>
      <c r="C4640" s="4" t="s">
        <v>41</v>
      </c>
      <c r="D4640" s="2">
        <f>63550176/(10^6)</f>
        <v>63.550176</v>
      </c>
      <c r="E4640" s="5" t="s">
        <v>86</v>
      </c>
      <c r="F4640" s="5" t="s">
        <v>86</v>
      </c>
      <c r="G4640" s="5">
        <v>5.35442113876343</v>
      </c>
      <c r="H4640" s="5" t="s">
        <v>86</v>
      </c>
      <c r="I4640" t="s">
        <v>57</v>
      </c>
    </row>
    <row r="4641" spans="1:9">
      <c r="A4641" s="4" t="s">
        <v>9333</v>
      </c>
      <c r="B4641" s="4" t="s">
        <v>9334</v>
      </c>
      <c r="C4641" s="4" t="s">
        <v>43</v>
      </c>
      <c r="D4641" s="2">
        <f>63517576/(10^6)</f>
        <v>63.517576</v>
      </c>
      <c r="E4641" s="5">
        <v>9.375</v>
      </c>
      <c r="F4641" s="5">
        <v>1.26169621944427</v>
      </c>
      <c r="G4641" s="5">
        <v>2.70059323310852</v>
      </c>
      <c r="H4641" s="5" t="s">
        <v>86</v>
      </c>
      <c r="I4641" t="s">
        <v>57</v>
      </c>
    </row>
    <row r="4642" spans="1:9">
      <c r="A4642" s="4" t="s">
        <v>9335</v>
      </c>
      <c r="B4642" s="4" t="s">
        <v>9336</v>
      </c>
      <c r="C4642" s="4" t="s">
        <v>41</v>
      </c>
      <c r="D4642" s="2">
        <f>63497592/(10^6)</f>
        <v>63.497592</v>
      </c>
      <c r="E4642" s="5" t="s">
        <v>86</v>
      </c>
      <c r="F4642" s="5">
        <v>35.0005340576172</v>
      </c>
      <c r="G4642" s="5">
        <v>1.04648470878601</v>
      </c>
      <c r="H4642" s="5" t="s">
        <v>86</v>
      </c>
      <c r="I4642" t="s">
        <v>57</v>
      </c>
    </row>
    <row r="4643" spans="1:9">
      <c r="A4643" s="4" t="s">
        <v>9337</v>
      </c>
      <c r="B4643" s="4" t="s">
        <v>9338</v>
      </c>
      <c r="C4643" s="4" t="s">
        <v>41</v>
      </c>
      <c r="D4643" s="2">
        <f>63477276/(10^6)</f>
        <v>63.477276</v>
      </c>
      <c r="E4643" s="5" t="s">
        <v>86</v>
      </c>
      <c r="F4643" s="5">
        <v>1.57774126529694</v>
      </c>
      <c r="G4643" s="5">
        <v>105.494956970215</v>
      </c>
      <c r="H4643" s="5" t="s">
        <v>86</v>
      </c>
      <c r="I4643" t="s">
        <v>57</v>
      </c>
    </row>
    <row r="4644" spans="1:9">
      <c r="A4644" s="4" t="s">
        <v>9339</v>
      </c>
      <c r="B4644" s="4" t="s">
        <v>9340</v>
      </c>
      <c r="C4644" s="4" t="s">
        <v>41</v>
      </c>
      <c r="D4644" s="2">
        <f>63417856/(10^6)</f>
        <v>63.417856</v>
      </c>
      <c r="E4644" s="5" t="s">
        <v>86</v>
      </c>
      <c r="F4644" s="5">
        <v>7.78090667724609</v>
      </c>
      <c r="G4644" s="5" t="s">
        <v>86</v>
      </c>
      <c r="H4644" s="5" t="s">
        <v>86</v>
      </c>
      <c r="I4644" t="s">
        <v>57</v>
      </c>
    </row>
    <row r="4645" spans="1:9">
      <c r="A4645" s="4" t="s">
        <v>9341</v>
      </c>
      <c r="B4645" s="4" t="s">
        <v>9342</v>
      </c>
      <c r="C4645" s="4" t="s">
        <v>51</v>
      </c>
      <c r="D4645" s="2">
        <f>63379644/(10^6)</f>
        <v>63.379644</v>
      </c>
      <c r="E4645" s="5" t="s">
        <v>86</v>
      </c>
      <c r="F4645" s="5">
        <v>5.3383355140686</v>
      </c>
      <c r="G4645" s="5">
        <v>8.07332515716553</v>
      </c>
      <c r="H4645" s="5" t="s">
        <v>86</v>
      </c>
      <c r="I4645" t="s">
        <v>57</v>
      </c>
    </row>
    <row r="4646" spans="1:9">
      <c r="A4646" s="4" t="s">
        <v>9343</v>
      </c>
      <c r="B4646" s="4" t="s">
        <v>9344</v>
      </c>
      <c r="C4646" s="4" t="s">
        <v>51</v>
      </c>
      <c r="D4646" s="2">
        <f>63290292/(10^6)</f>
        <v>63.290292</v>
      </c>
      <c r="E4646" s="5">
        <v>10.4377641677856</v>
      </c>
      <c r="F4646" s="5">
        <v>0.93255341053009</v>
      </c>
      <c r="G4646" s="5">
        <v>0.14331428706646</v>
      </c>
      <c r="H4646" s="5">
        <v>4.65561199188232</v>
      </c>
      <c r="I4646" t="s">
        <v>57</v>
      </c>
    </row>
    <row r="4647" spans="1:9">
      <c r="A4647" s="4" t="s">
        <v>9345</v>
      </c>
      <c r="B4647" s="4" t="s">
        <v>9346</v>
      </c>
      <c r="C4647" s="4" t="s">
        <v>31</v>
      </c>
      <c r="D4647" s="2">
        <f>63187652/(10^6)</f>
        <v>63.187652</v>
      </c>
      <c r="E4647" s="5">
        <v>11.8553466796875</v>
      </c>
      <c r="F4647" s="5">
        <v>1.13388776779175</v>
      </c>
      <c r="G4647" s="5">
        <v>0.443469136953354</v>
      </c>
      <c r="H4647" s="5">
        <v>7.31768465042114</v>
      </c>
      <c r="I4647" t="s">
        <v>57</v>
      </c>
    </row>
    <row r="4648" spans="1:9">
      <c r="A4648" s="4" t="s">
        <v>9347</v>
      </c>
      <c r="B4648" s="4" t="s">
        <v>9348</v>
      </c>
      <c r="C4648" s="4" t="s">
        <v>51</v>
      </c>
      <c r="D4648" s="2">
        <f>63152056/(10^6)</f>
        <v>63.152056</v>
      </c>
      <c r="E4648" s="5">
        <v>6.77728748321533</v>
      </c>
      <c r="F4648" s="5">
        <v>1.19436275959015</v>
      </c>
      <c r="G4648" s="5">
        <v>0.278823167085648</v>
      </c>
      <c r="H4648" s="5">
        <v>5.33112668991089</v>
      </c>
      <c r="I4648" t="s">
        <v>57</v>
      </c>
    </row>
    <row r="4649" spans="1:9">
      <c r="A4649" s="4" t="s">
        <v>9349</v>
      </c>
      <c r="B4649" s="4" t="s">
        <v>9350</v>
      </c>
      <c r="C4649" s="4" t="s">
        <v>51</v>
      </c>
      <c r="D4649" s="2">
        <f>63101004/(10^6)</f>
        <v>63.101004</v>
      </c>
      <c r="E4649" s="5" t="s">
        <v>86</v>
      </c>
      <c r="F4649" s="5">
        <v>0.82514089345932</v>
      </c>
      <c r="G4649" s="5">
        <v>0.69312846660614</v>
      </c>
      <c r="H4649" s="5" t="s">
        <v>86</v>
      </c>
      <c r="I4649" t="s">
        <v>57</v>
      </c>
    </row>
    <row r="4650" spans="1:9">
      <c r="A4650" s="4" t="s">
        <v>9351</v>
      </c>
      <c r="B4650" s="4" t="s">
        <v>9352</v>
      </c>
      <c r="C4650" s="4" t="s">
        <v>43</v>
      </c>
      <c r="D4650" s="2">
        <f>62556468/(10^6)</f>
        <v>62.556468</v>
      </c>
      <c r="E4650" s="5" t="s">
        <v>86</v>
      </c>
      <c r="F4650" s="5">
        <v>1.56451213359833</v>
      </c>
      <c r="G4650" s="5">
        <v>3.34876990318298</v>
      </c>
      <c r="H4650" s="5" t="s">
        <v>86</v>
      </c>
      <c r="I4650" t="s">
        <v>57</v>
      </c>
    </row>
    <row r="4651" spans="1:9">
      <c r="A4651" s="4" t="s">
        <v>9353</v>
      </c>
      <c r="B4651" s="4" t="s">
        <v>9354</v>
      </c>
      <c r="C4651" s="4" t="s">
        <v>41</v>
      </c>
      <c r="D4651" s="2">
        <f>62545008/(10^6)</f>
        <v>62.545008</v>
      </c>
      <c r="E4651" s="5">
        <v>16.8229160308838</v>
      </c>
      <c r="F4651" s="5">
        <v>3.50985765457153</v>
      </c>
      <c r="G4651" s="5">
        <v>2.24777746200562</v>
      </c>
      <c r="H4651" s="5">
        <v>9.78826904296875</v>
      </c>
      <c r="I4651" t="s">
        <v>57</v>
      </c>
    </row>
    <row r="4652" spans="1:9">
      <c r="A4652" s="4" t="s">
        <v>9355</v>
      </c>
      <c r="B4652" s="4" t="s">
        <v>9356</v>
      </c>
      <c r="C4652" s="4" t="s">
        <v>43</v>
      </c>
      <c r="D4652" s="2">
        <f>62450516/(10^6)</f>
        <v>62.450516</v>
      </c>
      <c r="E4652" s="5">
        <v>16.7144260406494</v>
      </c>
      <c r="F4652" s="5">
        <v>1.33304560184479</v>
      </c>
      <c r="G4652" s="5">
        <v>4.6009521484375</v>
      </c>
      <c r="H4652" s="5" t="s">
        <v>86</v>
      </c>
      <c r="I4652" t="s">
        <v>57</v>
      </c>
    </row>
    <row r="4653" spans="1:9">
      <c r="A4653" s="4" t="s">
        <v>9357</v>
      </c>
      <c r="B4653" s="4" t="s">
        <v>9358</v>
      </c>
      <c r="C4653" s="4" t="s">
        <v>37</v>
      </c>
      <c r="D4653" s="2">
        <f>62402000/(10^6)</f>
        <v>62.402</v>
      </c>
      <c r="E4653" s="5">
        <v>4.88460779190063</v>
      </c>
      <c r="F4653" s="5">
        <v>0.32648092508316</v>
      </c>
      <c r="G4653" s="5">
        <v>0.13256947696209</v>
      </c>
      <c r="H4653" s="5">
        <v>4.16824913024902</v>
      </c>
      <c r="I4653" t="s">
        <v>57</v>
      </c>
    </row>
    <row r="4654" spans="1:9">
      <c r="A4654" s="4" t="s">
        <v>9359</v>
      </c>
      <c r="B4654" s="4" t="s">
        <v>9360</v>
      </c>
      <c r="C4654" s="4" t="s">
        <v>47</v>
      </c>
      <c r="D4654" s="2">
        <f>62315336/(10^6)</f>
        <v>62.315336</v>
      </c>
      <c r="E4654" s="5" t="s">
        <v>86</v>
      </c>
      <c r="F4654" s="5">
        <v>3.45515418052673</v>
      </c>
      <c r="G4654" s="5">
        <v>9.61779308319092</v>
      </c>
      <c r="H4654" s="5" t="s">
        <v>86</v>
      </c>
      <c r="I4654" t="s">
        <v>57</v>
      </c>
    </row>
    <row r="4655" spans="1:9">
      <c r="A4655" s="4" t="s">
        <v>9361</v>
      </c>
      <c r="B4655" s="4" t="s">
        <v>9362</v>
      </c>
      <c r="C4655" s="4" t="s">
        <v>27</v>
      </c>
      <c r="D4655" s="2">
        <f>62271284/(10^6)</f>
        <v>62.271284</v>
      </c>
      <c r="E4655" s="5">
        <v>64.8289947509766</v>
      </c>
      <c r="F4655" s="5">
        <v>0.777332544326782</v>
      </c>
      <c r="G4655" s="5">
        <v>1.69496500492096</v>
      </c>
      <c r="H4655" s="5" t="s">
        <v>86</v>
      </c>
      <c r="I4655" t="s">
        <v>57</v>
      </c>
    </row>
    <row r="4656" spans="1:9">
      <c r="A4656" s="4" t="s">
        <v>9363</v>
      </c>
      <c r="B4656" s="4" t="s">
        <v>9364</v>
      </c>
      <c r="C4656" s="4" t="s">
        <v>41</v>
      </c>
      <c r="D4656" s="2">
        <f>62209644/(10^6)</f>
        <v>62.209644</v>
      </c>
      <c r="E4656" s="5" t="s">
        <v>86</v>
      </c>
      <c r="F4656" s="5" t="s">
        <v>86</v>
      </c>
      <c r="G4656" s="5" t="s">
        <v>86</v>
      </c>
      <c r="H4656" s="5" t="s">
        <v>86</v>
      </c>
      <c r="I4656" t="s">
        <v>57</v>
      </c>
    </row>
    <row r="4657" spans="1:9">
      <c r="A4657" s="4" t="s">
        <v>9365</v>
      </c>
      <c r="B4657" s="4" t="s">
        <v>9366</v>
      </c>
      <c r="C4657" s="4" t="s">
        <v>43</v>
      </c>
      <c r="D4657" s="2">
        <f>62076000/(10^6)</f>
        <v>62.076</v>
      </c>
      <c r="E4657" s="5" t="s">
        <v>86</v>
      </c>
      <c r="F4657" s="5" t="s">
        <v>86</v>
      </c>
      <c r="G4657" s="5" t="s">
        <v>86</v>
      </c>
      <c r="H4657" s="5" t="s">
        <v>86</v>
      </c>
      <c r="I4657" t="s">
        <v>57</v>
      </c>
    </row>
    <row r="4658" spans="1:9">
      <c r="A4658" s="4" t="s">
        <v>9367</v>
      </c>
      <c r="B4658" s="4" t="s">
        <v>9368</v>
      </c>
      <c r="C4658" s="4" t="s">
        <v>51</v>
      </c>
      <c r="D4658" s="2">
        <f>62000312/(10^6)</f>
        <v>62.000312</v>
      </c>
      <c r="E4658" s="5" t="s">
        <v>86</v>
      </c>
      <c r="F4658" s="5">
        <v>1.2399228811264</v>
      </c>
      <c r="G4658" s="5">
        <v>0.998543560504913</v>
      </c>
      <c r="H4658" s="5" t="s">
        <v>86</v>
      </c>
      <c r="I4658" t="s">
        <v>57</v>
      </c>
    </row>
    <row r="4659" spans="1:9">
      <c r="A4659" s="4" t="s">
        <v>9369</v>
      </c>
      <c r="B4659" s="4" t="s">
        <v>9370</v>
      </c>
      <c r="C4659" s="4" t="s">
        <v>31</v>
      </c>
      <c r="D4659" s="2">
        <f>61698800/(10^6)</f>
        <v>61.6988</v>
      </c>
      <c r="E4659" s="5" t="s">
        <v>86</v>
      </c>
      <c r="F4659" s="5" t="s">
        <v>86</v>
      </c>
      <c r="G4659" s="5">
        <v>0.011672417633235</v>
      </c>
      <c r="H4659" s="5">
        <v>3.52243328094482</v>
      </c>
      <c r="I4659" t="s">
        <v>57</v>
      </c>
    </row>
    <row r="4660" spans="1:9">
      <c r="A4660" s="4" t="s">
        <v>9371</v>
      </c>
      <c r="B4660" s="4" t="s">
        <v>9372</v>
      </c>
      <c r="C4660" s="4" t="s">
        <v>35</v>
      </c>
      <c r="D4660" s="2">
        <f>61471988/(10^6)</f>
        <v>61.471988</v>
      </c>
      <c r="E4660" s="5">
        <v>14.0159311294556</v>
      </c>
      <c r="F4660" s="5">
        <v>5.78130102157593</v>
      </c>
      <c r="G4660" s="5">
        <v>4.52030372619629</v>
      </c>
      <c r="H4660" s="5">
        <v>9.61204624176025</v>
      </c>
      <c r="I4660" t="s">
        <v>57</v>
      </c>
    </row>
    <row r="4661" spans="1:9">
      <c r="A4661" s="4" t="s">
        <v>9373</v>
      </c>
      <c r="B4661" s="4" t="s">
        <v>9374</v>
      </c>
      <c r="C4661" s="4" t="s">
        <v>43</v>
      </c>
      <c r="D4661" s="2">
        <f>61436712/(10^6)</f>
        <v>61.436712</v>
      </c>
      <c r="E4661" s="5" t="s">
        <v>86</v>
      </c>
      <c r="F4661" s="5" t="s">
        <v>86</v>
      </c>
      <c r="G4661" s="5" t="s">
        <v>86</v>
      </c>
      <c r="H4661" s="5" t="s">
        <v>86</v>
      </c>
      <c r="I4661" t="s">
        <v>57</v>
      </c>
    </row>
    <row r="4662" spans="1:9">
      <c r="A4662" s="4" t="s">
        <v>9375</v>
      </c>
      <c r="B4662" s="4" t="s">
        <v>9376</v>
      </c>
      <c r="C4662" s="4" t="s">
        <v>41</v>
      </c>
      <c r="D4662" s="2">
        <f>61400104/(10^6)</f>
        <v>61.400104</v>
      </c>
      <c r="E4662" s="5" t="s">
        <v>86</v>
      </c>
      <c r="F4662" s="5" t="s">
        <v>86</v>
      </c>
      <c r="G4662" s="5">
        <v>30.8532638549805</v>
      </c>
      <c r="H4662" s="5" t="s">
        <v>86</v>
      </c>
      <c r="I4662" t="s">
        <v>57</v>
      </c>
    </row>
    <row r="4663" spans="1:9">
      <c r="A4663" s="4" t="s">
        <v>9377</v>
      </c>
      <c r="B4663" s="4" t="s">
        <v>9378</v>
      </c>
      <c r="C4663" s="4" t="s">
        <v>43</v>
      </c>
      <c r="D4663" s="2">
        <f>61369532/(10^6)</f>
        <v>61.369532</v>
      </c>
      <c r="E4663" s="5">
        <v>7.76008081436157</v>
      </c>
      <c r="F4663" s="5">
        <v>0.375583559274673</v>
      </c>
      <c r="G4663" s="5">
        <v>0.265289008617401</v>
      </c>
      <c r="H4663" s="5" t="s">
        <v>86</v>
      </c>
      <c r="I4663" t="s">
        <v>57</v>
      </c>
    </row>
    <row r="4664" spans="1:9">
      <c r="A4664" s="4" t="s">
        <v>9379</v>
      </c>
      <c r="B4664" s="4" t="s">
        <v>9380</v>
      </c>
      <c r="C4664" s="4" t="s">
        <v>43</v>
      </c>
      <c r="D4664" s="2">
        <f>61245576/(10^6)</f>
        <v>61.245576</v>
      </c>
      <c r="E4664" s="5">
        <v>6.0142068862915</v>
      </c>
      <c r="F4664" s="5">
        <v>0.805484473705292</v>
      </c>
      <c r="G4664" s="5">
        <v>1.54561376571655</v>
      </c>
      <c r="H4664" s="5">
        <v>3.60339856147766</v>
      </c>
      <c r="I4664" t="s">
        <v>57</v>
      </c>
    </row>
    <row r="4665" spans="1:9">
      <c r="A4665" s="4" t="s">
        <v>9381</v>
      </c>
      <c r="B4665" s="4" t="s">
        <v>9382</v>
      </c>
      <c r="C4665" s="4" t="s">
        <v>43</v>
      </c>
      <c r="D4665" s="2">
        <f>61227216/(10^6)</f>
        <v>61.227216</v>
      </c>
      <c r="E4665" s="5">
        <v>7.21922492980957</v>
      </c>
      <c r="F4665" s="5">
        <v>0.749912679195404</v>
      </c>
      <c r="G4665" s="5">
        <v>1.54177057743073</v>
      </c>
      <c r="H4665" s="5" t="s">
        <v>86</v>
      </c>
      <c r="I4665" t="s">
        <v>57</v>
      </c>
    </row>
    <row r="4666" spans="1:9">
      <c r="A4666" s="4" t="s">
        <v>9383</v>
      </c>
      <c r="B4666" s="4" t="s">
        <v>9384</v>
      </c>
      <c r="C4666" s="4" t="s">
        <v>51</v>
      </c>
      <c r="D4666" s="2">
        <f>61174808/(10^6)</f>
        <v>61.174808</v>
      </c>
      <c r="E4666" s="5">
        <v>11.5967493057251</v>
      </c>
      <c r="F4666" s="5">
        <v>0.687285602092743</v>
      </c>
      <c r="G4666" s="5">
        <v>0.734440386295319</v>
      </c>
      <c r="H4666" s="5">
        <v>1.83339560031891</v>
      </c>
      <c r="I4666" t="s">
        <v>57</v>
      </c>
    </row>
    <row r="4667" spans="1:9">
      <c r="A4667" s="4" t="s">
        <v>9385</v>
      </c>
      <c r="B4667" s="4" t="s">
        <v>9386</v>
      </c>
      <c r="C4667" s="4" t="s">
        <v>43</v>
      </c>
      <c r="D4667" s="2">
        <f>60730836/(10^6)</f>
        <v>60.730836</v>
      </c>
      <c r="E4667" s="5">
        <v>3.18935561180115</v>
      </c>
      <c r="F4667" s="5">
        <v>0.364471763372421</v>
      </c>
      <c r="G4667" s="5">
        <v>1.15523624420166</v>
      </c>
      <c r="H4667" s="5">
        <v>16.5512294769287</v>
      </c>
      <c r="I4667" t="s">
        <v>57</v>
      </c>
    </row>
    <row r="4668" spans="1:9">
      <c r="A4668" s="4" t="s">
        <v>9387</v>
      </c>
      <c r="B4668" s="4" t="s">
        <v>9388</v>
      </c>
      <c r="C4668" s="4" t="s">
        <v>41</v>
      </c>
      <c r="D4668" s="2">
        <f>60727996/(10^6)</f>
        <v>60.727996</v>
      </c>
      <c r="E4668" s="5" t="s">
        <v>86</v>
      </c>
      <c r="F4668" s="5">
        <v>2.14180445671081</v>
      </c>
      <c r="G4668" s="5">
        <v>4.06675910949707</v>
      </c>
      <c r="H4668" s="5" t="s">
        <v>86</v>
      </c>
      <c r="I4668" t="s">
        <v>57</v>
      </c>
    </row>
    <row r="4669" spans="1:9">
      <c r="A4669" s="4" t="s">
        <v>9389</v>
      </c>
      <c r="B4669" s="4" t="s">
        <v>9390</v>
      </c>
      <c r="C4669" s="4" t="s">
        <v>37</v>
      </c>
      <c r="D4669" s="2">
        <f>60725356/(10^6)</f>
        <v>60.725356</v>
      </c>
      <c r="E4669" s="5" t="s">
        <v>86</v>
      </c>
      <c r="F4669" s="5">
        <v>0.253202587366104</v>
      </c>
      <c r="G4669" s="5">
        <v>0.158922076225281</v>
      </c>
      <c r="H4669" s="5">
        <v>21.3032703399658</v>
      </c>
      <c r="I4669" t="s">
        <v>57</v>
      </c>
    </row>
    <row r="4670" spans="1:9">
      <c r="A4670" s="4" t="s">
        <v>9391</v>
      </c>
      <c r="B4670" s="4" t="s">
        <v>9392</v>
      </c>
      <c r="C4670" s="4" t="s">
        <v>31</v>
      </c>
      <c r="D4670" s="2">
        <f>60706088/(10^6)</f>
        <v>60.706088</v>
      </c>
      <c r="E4670" s="5" t="s">
        <v>86</v>
      </c>
      <c r="F4670" s="5" t="s">
        <v>86</v>
      </c>
      <c r="G4670" s="5">
        <v>0.032892540097237</v>
      </c>
      <c r="H4670" s="5" t="s">
        <v>86</v>
      </c>
      <c r="I4670" t="s">
        <v>57</v>
      </c>
    </row>
    <row r="4671" spans="1:9">
      <c r="A4671" s="4" t="s">
        <v>9393</v>
      </c>
      <c r="B4671" s="4" t="s">
        <v>9394</v>
      </c>
      <c r="C4671" s="4" t="s">
        <v>41</v>
      </c>
      <c r="D4671" s="2">
        <f>60591464/(10^6)</f>
        <v>60.591464</v>
      </c>
      <c r="E4671" s="5" t="s">
        <v>86</v>
      </c>
      <c r="F4671" s="5">
        <v>9.72524642944336</v>
      </c>
      <c r="G4671" s="5">
        <v>1.57976448535919</v>
      </c>
      <c r="H4671" s="5" t="s">
        <v>86</v>
      </c>
      <c r="I4671" t="s">
        <v>57</v>
      </c>
    </row>
    <row r="4672" spans="1:9">
      <c r="A4672" s="4" t="s">
        <v>9395</v>
      </c>
      <c r="B4672" s="4" t="s">
        <v>9396</v>
      </c>
      <c r="C4672" s="4" t="s">
        <v>41</v>
      </c>
      <c r="D4672" s="2">
        <f>60522808/(10^6)</f>
        <v>60.522808</v>
      </c>
      <c r="E4672" s="5" t="s">
        <v>86</v>
      </c>
      <c r="F4672" s="5">
        <v>1.00496160984039</v>
      </c>
      <c r="G4672" s="5" t="s">
        <v>86</v>
      </c>
      <c r="H4672" s="5" t="s">
        <v>86</v>
      </c>
      <c r="I4672" t="s">
        <v>57</v>
      </c>
    </row>
    <row r="4673" spans="1:9">
      <c r="A4673" s="4" t="s">
        <v>9397</v>
      </c>
      <c r="B4673" s="4" t="s">
        <v>9398</v>
      </c>
      <c r="C4673" s="4" t="s">
        <v>51</v>
      </c>
      <c r="D4673" s="2">
        <f>60396136/(10^6)</f>
        <v>60.396136</v>
      </c>
      <c r="E4673" s="5" t="s">
        <v>86</v>
      </c>
      <c r="F4673" s="5">
        <v>4.3376669883728</v>
      </c>
      <c r="G4673" s="5">
        <v>105.808876037598</v>
      </c>
      <c r="H4673" s="5" t="s">
        <v>86</v>
      </c>
      <c r="I4673" t="s">
        <v>57</v>
      </c>
    </row>
    <row r="4674" spans="1:9">
      <c r="A4674" s="4" t="s">
        <v>9399</v>
      </c>
      <c r="B4674" s="4" t="s">
        <v>9400</v>
      </c>
      <c r="C4674" s="4" t="s">
        <v>47</v>
      </c>
      <c r="D4674" s="2">
        <f>60374752/(10^6)</f>
        <v>60.374752</v>
      </c>
      <c r="E4674" s="5">
        <v>38.8300018310547</v>
      </c>
      <c r="F4674" s="5">
        <v>1.65281748771668</v>
      </c>
      <c r="G4674" s="5">
        <v>0.205712378025055</v>
      </c>
      <c r="H4674" s="5">
        <v>6.70919275283813</v>
      </c>
      <c r="I4674" t="s">
        <v>57</v>
      </c>
    </row>
    <row r="4675" spans="1:9">
      <c r="A4675" s="4" t="s">
        <v>9401</v>
      </c>
      <c r="B4675" s="4" t="s">
        <v>9402</v>
      </c>
      <c r="C4675" s="4" t="s">
        <v>43</v>
      </c>
      <c r="D4675" s="2">
        <f>60352400/(10^6)</f>
        <v>60.3524</v>
      </c>
      <c r="E4675" s="5">
        <v>14.3703708648682</v>
      </c>
      <c r="F4675" s="5">
        <v>0.923172473907471</v>
      </c>
      <c r="G4675" s="5">
        <v>2.32317352294922</v>
      </c>
      <c r="H4675" s="5">
        <v>6.92211675643921</v>
      </c>
      <c r="I4675" t="s">
        <v>57</v>
      </c>
    </row>
    <row r="4676" spans="1:9">
      <c r="A4676" s="4" t="s">
        <v>9403</v>
      </c>
      <c r="B4676" s="4" t="s">
        <v>9404</v>
      </c>
      <c r="C4676" s="4" t="s">
        <v>51</v>
      </c>
      <c r="D4676" s="2">
        <f>60343992/(10^6)</f>
        <v>60.343992</v>
      </c>
      <c r="E4676" s="5">
        <v>54.5204925537109</v>
      </c>
      <c r="F4676" s="5">
        <v>13.7413444519043</v>
      </c>
      <c r="G4676" s="5">
        <v>4.08806848526001</v>
      </c>
      <c r="H4676" s="5">
        <v>36.8417205810547</v>
      </c>
      <c r="I4676" t="s">
        <v>57</v>
      </c>
    </row>
    <row r="4677" spans="1:9">
      <c r="A4677" s="4" t="s">
        <v>9405</v>
      </c>
      <c r="B4677" s="4" t="s">
        <v>9406</v>
      </c>
      <c r="C4677" s="4" t="s">
        <v>27</v>
      </c>
      <c r="D4677" s="2">
        <f>60317128/(10^6)</f>
        <v>60.317128</v>
      </c>
      <c r="E4677" s="5">
        <v>0.12809981405735</v>
      </c>
      <c r="F4677" s="5">
        <v>0.563257455825806</v>
      </c>
      <c r="G4677" s="5">
        <v>2.76552271842956</v>
      </c>
      <c r="H4677" s="5" t="s">
        <v>86</v>
      </c>
      <c r="I4677" t="s">
        <v>57</v>
      </c>
    </row>
    <row r="4678" spans="1:9">
      <c r="A4678" s="4" t="s">
        <v>9407</v>
      </c>
      <c r="B4678" s="4" t="s">
        <v>9408</v>
      </c>
      <c r="C4678" s="4" t="s">
        <v>49</v>
      </c>
      <c r="D4678" s="2">
        <f>60243344/(10^6)</f>
        <v>60.243344</v>
      </c>
      <c r="E4678" s="5" t="s">
        <v>86</v>
      </c>
      <c r="F4678" s="5" t="s">
        <v>86</v>
      </c>
      <c r="G4678" s="5" t="s">
        <v>86</v>
      </c>
      <c r="H4678" s="5" t="s">
        <v>86</v>
      </c>
      <c r="I4678" t="s">
        <v>57</v>
      </c>
    </row>
    <row r="4679" spans="1:9">
      <c r="A4679" s="4" t="s">
        <v>9409</v>
      </c>
      <c r="B4679" s="4" t="s">
        <v>9410</v>
      </c>
      <c r="C4679" s="4" t="s">
        <v>27</v>
      </c>
      <c r="D4679" s="2">
        <f>60135896/(10^6)</f>
        <v>60.135896</v>
      </c>
      <c r="E4679" s="5">
        <v>13.8823299407959</v>
      </c>
      <c r="F4679" s="5">
        <v>0.538330912590027</v>
      </c>
      <c r="G4679" s="5">
        <v>0.099242560565472</v>
      </c>
      <c r="H4679" s="5">
        <v>2.1259777545929</v>
      </c>
      <c r="I4679" t="s">
        <v>57</v>
      </c>
    </row>
    <row r="4680" spans="1:9">
      <c r="A4680" s="4" t="s">
        <v>9411</v>
      </c>
      <c r="B4680" s="4" t="s">
        <v>9412</v>
      </c>
      <c r="C4680" s="4" t="s">
        <v>43</v>
      </c>
      <c r="D4680" s="2">
        <f>59726456/(10^6)</f>
        <v>59.726456</v>
      </c>
      <c r="E4680" s="5">
        <v>71.1034545898438</v>
      </c>
      <c r="F4680" s="5">
        <v>1.40476787090302</v>
      </c>
      <c r="G4680" s="5">
        <v>0.779836535453796</v>
      </c>
      <c r="H4680" s="5">
        <v>4.43196392059326</v>
      </c>
      <c r="I4680" t="s">
        <v>57</v>
      </c>
    </row>
    <row r="4681" spans="1:9">
      <c r="A4681" s="4" t="s">
        <v>9413</v>
      </c>
      <c r="B4681" s="4" t="s">
        <v>9414</v>
      </c>
      <c r="C4681" s="4" t="s">
        <v>41</v>
      </c>
      <c r="D4681" s="2">
        <f>59664004/(10^6)</f>
        <v>59.664004</v>
      </c>
      <c r="E4681" s="5" t="s">
        <v>86</v>
      </c>
      <c r="F4681" s="5">
        <v>0.380444258451462</v>
      </c>
      <c r="G4681" s="5">
        <v>26.0321407318115</v>
      </c>
      <c r="H4681" s="5" t="s">
        <v>86</v>
      </c>
      <c r="I4681" t="s">
        <v>57</v>
      </c>
    </row>
    <row r="4682" spans="1:9">
      <c r="A4682" s="4" t="s">
        <v>9415</v>
      </c>
      <c r="B4682" s="4" t="s">
        <v>9416</v>
      </c>
      <c r="C4682" s="4" t="s">
        <v>43</v>
      </c>
      <c r="D4682" s="2">
        <f>59433388/(10^6)</f>
        <v>59.433388</v>
      </c>
      <c r="E4682" s="5">
        <v>10.3260869979858</v>
      </c>
      <c r="F4682" s="5">
        <v>1.55783808231354</v>
      </c>
      <c r="G4682" s="5">
        <v>2.69586086273193</v>
      </c>
      <c r="H4682" s="5" t="s">
        <v>86</v>
      </c>
      <c r="I4682" t="s">
        <v>57</v>
      </c>
    </row>
    <row r="4683" spans="1:9">
      <c r="A4683" s="4" t="s">
        <v>9417</v>
      </c>
      <c r="B4683" s="4" t="s">
        <v>9418</v>
      </c>
      <c r="C4683" s="4" t="s">
        <v>51</v>
      </c>
      <c r="D4683" s="2">
        <f>59395052/(10^6)</f>
        <v>59.395052</v>
      </c>
      <c r="E4683" s="5" t="s">
        <v>86</v>
      </c>
      <c r="F4683" s="5" t="s">
        <v>86</v>
      </c>
      <c r="G4683" s="5" t="s">
        <v>86</v>
      </c>
      <c r="H4683" s="5" t="s">
        <v>86</v>
      </c>
      <c r="I4683" t="s">
        <v>57</v>
      </c>
    </row>
    <row r="4684" spans="1:9">
      <c r="A4684" s="4" t="s">
        <v>9419</v>
      </c>
      <c r="B4684" s="4" t="s">
        <v>9420</v>
      </c>
      <c r="C4684" s="4" t="s">
        <v>37</v>
      </c>
      <c r="D4684" s="2">
        <f>59197404/(10^6)</f>
        <v>59.197404</v>
      </c>
      <c r="E4684" s="5" t="s">
        <v>86</v>
      </c>
      <c r="F4684" s="5">
        <v>1.65942525863648</v>
      </c>
      <c r="G4684" s="5" t="s">
        <v>86</v>
      </c>
      <c r="H4684" s="5" t="s">
        <v>86</v>
      </c>
      <c r="I4684" t="s">
        <v>57</v>
      </c>
    </row>
    <row r="4685" spans="1:9">
      <c r="A4685" s="4" t="s">
        <v>9421</v>
      </c>
      <c r="B4685" s="4" t="s">
        <v>9422</v>
      </c>
      <c r="C4685" s="4" t="s">
        <v>51</v>
      </c>
      <c r="D4685" s="2">
        <f>59083648/(10^6)</f>
        <v>59.083648</v>
      </c>
      <c r="E4685" s="5">
        <v>8.53590488433838</v>
      </c>
      <c r="F4685" s="5">
        <v>1.28930366039276</v>
      </c>
      <c r="G4685" s="5">
        <v>0.274318724870682</v>
      </c>
      <c r="H4685" s="5">
        <v>5.2117977142334</v>
      </c>
      <c r="I4685" t="s">
        <v>57</v>
      </c>
    </row>
    <row r="4686" spans="1:9">
      <c r="A4686" s="4" t="s">
        <v>9423</v>
      </c>
      <c r="B4686" s="4" t="s">
        <v>9424</v>
      </c>
      <c r="C4686" s="4" t="s">
        <v>33</v>
      </c>
      <c r="D4686" s="2">
        <f>59083264/(10^6)</f>
        <v>59.083264</v>
      </c>
      <c r="E4686" s="5" t="s">
        <v>86</v>
      </c>
      <c r="F4686" s="5">
        <v>0.589759647846222</v>
      </c>
      <c r="G4686" s="5">
        <v>0.569698333740234</v>
      </c>
      <c r="H4686" s="5">
        <v>5.6291561126709</v>
      </c>
      <c r="I4686" t="s">
        <v>57</v>
      </c>
    </row>
    <row r="4687" spans="1:9">
      <c r="A4687" s="4" t="s">
        <v>9425</v>
      </c>
      <c r="B4687" s="4" t="s">
        <v>9426</v>
      </c>
      <c r="C4687" s="4" t="s">
        <v>31</v>
      </c>
      <c r="D4687" s="2">
        <f>58921472/(10^6)</f>
        <v>58.921472</v>
      </c>
      <c r="E4687" s="5">
        <v>8.79267978668213</v>
      </c>
      <c r="F4687" s="5">
        <v>0.330488801002502</v>
      </c>
      <c r="G4687" s="5">
        <v>0.051428362727165</v>
      </c>
      <c r="H4687" s="5">
        <v>5.9492335319519</v>
      </c>
      <c r="I4687" t="s">
        <v>57</v>
      </c>
    </row>
    <row r="4688" spans="1:9">
      <c r="A4688" s="4" t="s">
        <v>9427</v>
      </c>
      <c r="B4688" s="4" t="s">
        <v>9428</v>
      </c>
      <c r="C4688" s="4" t="s">
        <v>47</v>
      </c>
      <c r="D4688" s="2">
        <f>58916864/(10^6)</f>
        <v>58.916864</v>
      </c>
      <c r="E4688" s="5" t="s">
        <v>86</v>
      </c>
      <c r="F4688" s="5" t="s">
        <v>86</v>
      </c>
      <c r="G4688" s="5">
        <v>0.027137123048306</v>
      </c>
      <c r="H4688" s="5">
        <v>22.0643291473389</v>
      </c>
      <c r="I4688" t="s">
        <v>57</v>
      </c>
    </row>
    <row r="4689" spans="1:9">
      <c r="A4689" s="4" t="s">
        <v>9429</v>
      </c>
      <c r="B4689" s="4" t="s">
        <v>9430</v>
      </c>
      <c r="C4689" s="4" t="s">
        <v>47</v>
      </c>
      <c r="D4689" s="2">
        <f>58916864/(10^6)</f>
        <v>58.916864</v>
      </c>
      <c r="E4689" s="5" t="s">
        <v>86</v>
      </c>
      <c r="F4689" s="5" t="s">
        <v>86</v>
      </c>
      <c r="G4689" s="5">
        <v>0.027137123048306</v>
      </c>
      <c r="H4689" s="5">
        <v>22.0643291473389</v>
      </c>
      <c r="I4689" t="s">
        <v>57</v>
      </c>
    </row>
    <row r="4690" spans="1:9">
      <c r="A4690" s="4" t="s">
        <v>9431</v>
      </c>
      <c r="B4690" s="4" t="s">
        <v>9432</v>
      </c>
      <c r="C4690" s="4" t="s">
        <v>41</v>
      </c>
      <c r="D4690" s="2">
        <f>58792952/(10^6)</f>
        <v>58.792952</v>
      </c>
      <c r="E4690" s="5" t="s">
        <v>86</v>
      </c>
      <c r="F4690" s="5">
        <v>2.43912076950073</v>
      </c>
      <c r="G4690" s="5">
        <v>0.054976344108582</v>
      </c>
      <c r="H4690" s="5" t="s">
        <v>86</v>
      </c>
      <c r="I4690" t="s">
        <v>57</v>
      </c>
    </row>
    <row r="4691" spans="1:9">
      <c r="A4691" s="4" t="s">
        <v>9433</v>
      </c>
      <c r="B4691" s="4" t="s">
        <v>9434</v>
      </c>
      <c r="C4691" s="4" t="s">
        <v>43</v>
      </c>
      <c r="D4691" s="2">
        <f>58775092/(10^6)</f>
        <v>58.775092</v>
      </c>
      <c r="E4691" s="5">
        <v>8.3511905670166</v>
      </c>
      <c r="F4691" s="5">
        <v>0.816045939922333</v>
      </c>
      <c r="G4691" s="5">
        <v>1.75537836551666</v>
      </c>
      <c r="H4691" s="5" t="s">
        <v>86</v>
      </c>
      <c r="I4691" t="s">
        <v>57</v>
      </c>
    </row>
    <row r="4692" spans="1:9">
      <c r="A4692" s="4" t="s">
        <v>9435</v>
      </c>
      <c r="B4692" s="4" t="s">
        <v>9436</v>
      </c>
      <c r="C4692" s="4" t="s">
        <v>41</v>
      </c>
      <c r="D4692" s="2">
        <f>58731528/(10^6)</f>
        <v>58.731528</v>
      </c>
      <c r="E4692" s="5" t="s">
        <v>86</v>
      </c>
      <c r="F4692" s="5">
        <v>1.6719616651535</v>
      </c>
      <c r="G4692" s="5">
        <v>177.085540771484</v>
      </c>
      <c r="H4692" s="5" t="s">
        <v>86</v>
      </c>
      <c r="I4692" t="s">
        <v>57</v>
      </c>
    </row>
    <row r="4693" spans="1:9">
      <c r="A4693" s="4" t="s">
        <v>9437</v>
      </c>
      <c r="B4693" s="4" t="s">
        <v>9438</v>
      </c>
      <c r="C4693" s="4" t="s">
        <v>35</v>
      </c>
      <c r="D4693" s="2">
        <f>58639800/(10^6)</f>
        <v>58.6398</v>
      </c>
      <c r="E4693" s="5" t="s">
        <v>86</v>
      </c>
      <c r="F4693" s="5" t="s">
        <v>86</v>
      </c>
      <c r="G4693" s="5" t="s">
        <v>86</v>
      </c>
      <c r="H4693" s="5" t="s">
        <v>86</v>
      </c>
      <c r="I4693" t="s">
        <v>57</v>
      </c>
    </row>
    <row r="4694" spans="1:9">
      <c r="A4694" s="4" t="s">
        <v>9439</v>
      </c>
      <c r="B4694" s="4" t="s">
        <v>9440</v>
      </c>
      <c r="C4694" s="4" t="s">
        <v>47</v>
      </c>
      <c r="D4694" s="2">
        <f>58542576/(10^6)</f>
        <v>58.542576</v>
      </c>
      <c r="E4694" s="5" t="s">
        <v>86</v>
      </c>
      <c r="F4694" s="5">
        <v>11.2048101425171</v>
      </c>
      <c r="G4694" s="5">
        <v>6.96507167816162</v>
      </c>
      <c r="H4694" s="5" t="s">
        <v>86</v>
      </c>
      <c r="I4694" t="s">
        <v>57</v>
      </c>
    </row>
    <row r="4695" spans="1:9">
      <c r="A4695" s="4" t="s">
        <v>9441</v>
      </c>
      <c r="B4695" s="4" t="s">
        <v>9442</v>
      </c>
      <c r="C4695" s="4" t="s">
        <v>41</v>
      </c>
      <c r="D4695" s="2">
        <f>58202956/(10^6)</f>
        <v>58.202956</v>
      </c>
      <c r="E4695" s="5" t="s">
        <v>86</v>
      </c>
      <c r="F4695" s="5">
        <v>1.40899276733398</v>
      </c>
      <c r="G4695" s="5">
        <v>4.79632616043091</v>
      </c>
      <c r="H4695" s="5" t="s">
        <v>86</v>
      </c>
      <c r="I4695" t="s">
        <v>57</v>
      </c>
    </row>
    <row r="4696" spans="1:9">
      <c r="A4696" s="4" t="s">
        <v>9443</v>
      </c>
      <c r="B4696" s="4" t="s">
        <v>9444</v>
      </c>
      <c r="C4696" s="4" t="s">
        <v>41</v>
      </c>
      <c r="D4696" s="2">
        <f>58031604/(10^6)</f>
        <v>58.031604</v>
      </c>
      <c r="E4696" s="5" t="s">
        <v>86</v>
      </c>
      <c r="F4696" s="5">
        <v>7.91991329193115</v>
      </c>
      <c r="G4696" s="5" t="s">
        <v>86</v>
      </c>
      <c r="H4696" s="5" t="s">
        <v>86</v>
      </c>
      <c r="I4696" t="s">
        <v>57</v>
      </c>
    </row>
    <row r="4697" spans="1:9">
      <c r="A4697" s="4" t="s">
        <v>9445</v>
      </c>
      <c r="B4697" s="4" t="s">
        <v>9446</v>
      </c>
      <c r="C4697" s="4" t="s">
        <v>49</v>
      </c>
      <c r="D4697" s="2">
        <f>57801376/(10^6)</f>
        <v>57.801376</v>
      </c>
      <c r="E4697" s="5" t="s">
        <v>86</v>
      </c>
      <c r="F4697" s="5" t="s">
        <v>86</v>
      </c>
      <c r="G4697" s="5">
        <v>195.096572875977</v>
      </c>
      <c r="H4697" s="5" t="s">
        <v>86</v>
      </c>
      <c r="I4697" t="s">
        <v>57</v>
      </c>
    </row>
    <row r="4698" spans="1:9">
      <c r="A4698" s="4" t="s">
        <v>9447</v>
      </c>
      <c r="B4698" s="4" t="s">
        <v>9448</v>
      </c>
      <c r="C4698" s="4" t="s">
        <v>41</v>
      </c>
      <c r="D4698" s="2">
        <f>57637176/(10^6)</f>
        <v>57.637176</v>
      </c>
      <c r="E4698" s="5" t="s">
        <v>86</v>
      </c>
      <c r="F4698" s="5" t="s">
        <v>86</v>
      </c>
      <c r="G4698" s="5" t="s">
        <v>86</v>
      </c>
      <c r="H4698" s="5" t="s">
        <v>86</v>
      </c>
      <c r="I4698" t="s">
        <v>57</v>
      </c>
    </row>
    <row r="4699" spans="1:9">
      <c r="A4699" s="4" t="s">
        <v>9449</v>
      </c>
      <c r="B4699" s="4" t="s">
        <v>9450</v>
      </c>
      <c r="C4699" s="4" t="s">
        <v>43</v>
      </c>
      <c r="D4699" s="2">
        <f>57546704/(10^6)</f>
        <v>57.546704</v>
      </c>
      <c r="E4699" s="5">
        <v>6.58715915679932</v>
      </c>
      <c r="F4699" s="5">
        <v>1.19092714786529</v>
      </c>
      <c r="G4699" s="5">
        <v>2.40143346786499</v>
      </c>
      <c r="H4699" s="5" t="s">
        <v>86</v>
      </c>
      <c r="I4699" t="s">
        <v>57</v>
      </c>
    </row>
    <row r="4700" spans="1:9">
      <c r="A4700" s="4" t="s">
        <v>9451</v>
      </c>
      <c r="B4700" s="4" t="s">
        <v>9452</v>
      </c>
      <c r="C4700" s="4" t="s">
        <v>41</v>
      </c>
      <c r="D4700" s="2">
        <f>57484560/(10^6)</f>
        <v>57.48456</v>
      </c>
      <c r="E4700" s="5" t="s">
        <v>86</v>
      </c>
      <c r="F4700" s="5" t="s">
        <v>86</v>
      </c>
      <c r="G4700" s="5">
        <v>3.94199204444885</v>
      </c>
      <c r="H4700" s="5" t="s">
        <v>86</v>
      </c>
      <c r="I4700" t="s">
        <v>57</v>
      </c>
    </row>
    <row r="4701" spans="1:9">
      <c r="A4701" s="4" t="s">
        <v>9453</v>
      </c>
      <c r="B4701" s="4" t="s">
        <v>9454</v>
      </c>
      <c r="C4701" s="4" t="s">
        <v>43</v>
      </c>
      <c r="D4701" s="2">
        <f>57464316/(10^6)</f>
        <v>57.464316</v>
      </c>
      <c r="E4701" s="5">
        <v>14.7444295883179</v>
      </c>
      <c r="F4701" s="5">
        <v>0.668831825256348</v>
      </c>
      <c r="G4701" s="5">
        <v>1.1925755739212</v>
      </c>
      <c r="H4701" s="5" t="s">
        <v>86</v>
      </c>
      <c r="I4701" t="s">
        <v>57</v>
      </c>
    </row>
    <row r="4702" spans="1:9">
      <c r="A4702" s="4" t="s">
        <v>9455</v>
      </c>
      <c r="B4702" s="4" t="s">
        <v>9456</v>
      </c>
      <c r="C4702" s="4" t="s">
        <v>31</v>
      </c>
      <c r="D4702" s="2">
        <f>57016404/(10^6)</f>
        <v>57.016404</v>
      </c>
      <c r="E4702" s="5">
        <v>19.9851741790771</v>
      </c>
      <c r="F4702" s="5">
        <v>1.02831089496613</v>
      </c>
      <c r="G4702" s="5">
        <v>0.431544691324234</v>
      </c>
      <c r="H4702" s="5">
        <v>5.85956430435181</v>
      </c>
      <c r="I4702" t="s">
        <v>57</v>
      </c>
    </row>
    <row r="4703" spans="1:9">
      <c r="A4703" s="4" t="s">
        <v>9457</v>
      </c>
      <c r="B4703" s="4" t="s">
        <v>9458</v>
      </c>
      <c r="C4703" s="4" t="s">
        <v>49</v>
      </c>
      <c r="D4703" s="2">
        <f>56964868/(10^6)</f>
        <v>56.964868</v>
      </c>
      <c r="E4703" s="5" t="s">
        <v>86</v>
      </c>
      <c r="F4703" s="5" t="s">
        <v>86</v>
      </c>
      <c r="G4703" s="5" t="s">
        <v>86</v>
      </c>
      <c r="H4703" s="5" t="s">
        <v>86</v>
      </c>
      <c r="I4703" t="s">
        <v>57</v>
      </c>
    </row>
    <row r="4704" spans="1:9">
      <c r="A4704" s="4" t="s">
        <v>9459</v>
      </c>
      <c r="B4704" s="4" t="s">
        <v>9460</v>
      </c>
      <c r="C4704" s="4" t="s">
        <v>43</v>
      </c>
      <c r="D4704" s="2">
        <f>56952180/(10^6)</f>
        <v>56.95218</v>
      </c>
      <c r="E4704" s="5">
        <v>37.6174507141113</v>
      </c>
      <c r="F4704" s="5">
        <v>2.57747292518616</v>
      </c>
      <c r="G4704" s="5">
        <v>4.82860326766968</v>
      </c>
      <c r="H4704" s="5" t="s">
        <v>86</v>
      </c>
      <c r="I4704" t="s">
        <v>57</v>
      </c>
    </row>
    <row r="4705" spans="1:9">
      <c r="A4705" s="4" t="s">
        <v>9461</v>
      </c>
      <c r="B4705" s="4" t="s">
        <v>9462</v>
      </c>
      <c r="C4705" s="4" t="s">
        <v>43</v>
      </c>
      <c r="D4705" s="2">
        <f>56917008/(10^6)</f>
        <v>56.917008</v>
      </c>
      <c r="E4705" s="5">
        <v>8.50193023681641</v>
      </c>
      <c r="F4705" s="5">
        <v>0.727348685264587</v>
      </c>
      <c r="G4705" s="5">
        <v>1.41993355751038</v>
      </c>
      <c r="H4705" s="5" t="s">
        <v>86</v>
      </c>
      <c r="I4705" t="s">
        <v>57</v>
      </c>
    </row>
    <row r="4706" spans="1:9">
      <c r="A4706" s="4" t="s">
        <v>9463</v>
      </c>
      <c r="B4706" s="4" t="s">
        <v>9464</v>
      </c>
      <c r="C4706" s="4" t="s">
        <v>43</v>
      </c>
      <c r="D4706" s="2">
        <f>56904924/(10^6)</f>
        <v>56.904924</v>
      </c>
      <c r="E4706" s="5">
        <v>5.35192441940308</v>
      </c>
      <c r="F4706" s="5">
        <v>0.599960446357727</v>
      </c>
      <c r="G4706" s="5">
        <v>1.07653868198395</v>
      </c>
      <c r="H4706" s="5" t="s">
        <v>86</v>
      </c>
      <c r="I4706" t="s">
        <v>57</v>
      </c>
    </row>
    <row r="4707" spans="1:9">
      <c r="A4707" s="4" t="s">
        <v>9465</v>
      </c>
      <c r="B4707" s="4" t="s">
        <v>9466</v>
      </c>
      <c r="C4707" s="4" t="s">
        <v>43</v>
      </c>
      <c r="D4707" s="2">
        <f>56576916/(10^6)</f>
        <v>56.576916</v>
      </c>
      <c r="E4707" s="5" t="s">
        <v>86</v>
      </c>
      <c r="F4707" s="5" t="s">
        <v>86</v>
      </c>
      <c r="G4707" s="5" t="s">
        <v>86</v>
      </c>
      <c r="H4707" s="5" t="s">
        <v>86</v>
      </c>
      <c r="I4707" t="s">
        <v>57</v>
      </c>
    </row>
    <row r="4708" spans="1:9">
      <c r="A4708" s="4" t="s">
        <v>9467</v>
      </c>
      <c r="B4708" s="4" t="s">
        <v>9468</v>
      </c>
      <c r="C4708" s="4" t="s">
        <v>33</v>
      </c>
      <c r="D4708" s="2">
        <f>56372744/(10^6)</f>
        <v>56.372744</v>
      </c>
      <c r="E4708" s="5" t="s">
        <v>86</v>
      </c>
      <c r="F4708" s="5">
        <v>0.271136820316315</v>
      </c>
      <c r="G4708" s="5">
        <v>0.505631268024445</v>
      </c>
      <c r="H4708" s="5" t="s">
        <v>86</v>
      </c>
      <c r="I4708" t="s">
        <v>57</v>
      </c>
    </row>
    <row r="4709" spans="1:9">
      <c r="A4709" s="4" t="s">
        <v>9469</v>
      </c>
      <c r="B4709" s="4" t="s">
        <v>9470</v>
      </c>
      <c r="C4709" s="4" t="s">
        <v>51</v>
      </c>
      <c r="D4709" s="2">
        <f>56208452/(10^6)</f>
        <v>56.208452</v>
      </c>
      <c r="E4709" s="5" t="s">
        <v>86</v>
      </c>
      <c r="F4709" s="5">
        <v>1.54239666461945</v>
      </c>
      <c r="G4709" s="5">
        <v>0.652856111526489</v>
      </c>
      <c r="H4709" s="5">
        <v>13.1640243530273</v>
      </c>
      <c r="I4709" t="s">
        <v>57</v>
      </c>
    </row>
    <row r="4710" spans="1:9">
      <c r="A4710" s="4" t="s">
        <v>9471</v>
      </c>
      <c r="B4710" s="4" t="s">
        <v>9472</v>
      </c>
      <c r="C4710" s="4" t="s">
        <v>51</v>
      </c>
      <c r="D4710" s="2">
        <f>56203064/(10^6)</f>
        <v>56.203064</v>
      </c>
      <c r="E4710" s="5">
        <v>34.5652160644531</v>
      </c>
      <c r="F4710" s="5">
        <v>0.787481546401978</v>
      </c>
      <c r="G4710" s="5">
        <v>0.418332934379578</v>
      </c>
      <c r="H4710" s="5">
        <v>5.3628625869751</v>
      </c>
      <c r="I4710" t="s">
        <v>57</v>
      </c>
    </row>
    <row r="4711" spans="1:9">
      <c r="A4711" s="4" t="s">
        <v>9473</v>
      </c>
      <c r="B4711" s="4" t="s">
        <v>9474</v>
      </c>
      <c r="C4711" s="4" t="s">
        <v>43</v>
      </c>
      <c r="D4711" s="2">
        <f>56199880/(10^6)</f>
        <v>56.19988</v>
      </c>
      <c r="E4711" s="5">
        <v>8.02329063415527</v>
      </c>
      <c r="F4711" s="5">
        <v>0.834852278232574</v>
      </c>
      <c r="G4711" s="5">
        <v>1.59423542022705</v>
      </c>
      <c r="H4711" s="5" t="s">
        <v>86</v>
      </c>
      <c r="I4711" t="s">
        <v>57</v>
      </c>
    </row>
    <row r="4712" spans="1:9">
      <c r="A4712" s="4" t="s">
        <v>9475</v>
      </c>
      <c r="B4712" s="4" t="s">
        <v>9476</v>
      </c>
      <c r="C4712" s="4" t="s">
        <v>43</v>
      </c>
      <c r="D4712" s="2">
        <f>56179600/(10^6)</f>
        <v>56.1796</v>
      </c>
      <c r="E4712" s="5" t="s">
        <v>86</v>
      </c>
      <c r="F4712" s="5">
        <v>0.636428594589233</v>
      </c>
      <c r="G4712" s="5">
        <v>0.384879142045975</v>
      </c>
      <c r="H4712" s="5" t="s">
        <v>86</v>
      </c>
      <c r="I4712" t="s">
        <v>57</v>
      </c>
    </row>
    <row r="4713" spans="1:9">
      <c r="A4713" s="4" t="s">
        <v>9477</v>
      </c>
      <c r="B4713" s="4" t="s">
        <v>9478</v>
      </c>
      <c r="C4713" s="4" t="s">
        <v>47</v>
      </c>
      <c r="D4713" s="2">
        <f>56155540/(10^6)</f>
        <v>56.15554</v>
      </c>
      <c r="E4713" s="5">
        <v>5.53481721878052</v>
      </c>
      <c r="F4713" s="5">
        <v>0.347154140472412</v>
      </c>
      <c r="G4713" s="5">
        <v>0.092435091733932</v>
      </c>
      <c r="H4713" s="5">
        <v>4.32014656066895</v>
      </c>
      <c r="I4713" t="s">
        <v>57</v>
      </c>
    </row>
    <row r="4714" spans="1:9">
      <c r="A4714" s="4" t="s">
        <v>9479</v>
      </c>
      <c r="B4714" s="4" t="s">
        <v>9480</v>
      </c>
      <c r="C4714" s="4" t="s">
        <v>43</v>
      </c>
      <c r="D4714" s="2">
        <f>56118992/(10^6)</f>
        <v>56.118992</v>
      </c>
      <c r="E4714" s="5">
        <v>6.91915798187256</v>
      </c>
      <c r="F4714" s="5">
        <v>0.566046595573425</v>
      </c>
      <c r="G4714" s="5">
        <v>1.43974947929382</v>
      </c>
      <c r="H4714" s="5" t="s">
        <v>86</v>
      </c>
      <c r="I4714" t="s">
        <v>57</v>
      </c>
    </row>
    <row r="4715" spans="1:9">
      <c r="A4715" s="4" t="s">
        <v>9481</v>
      </c>
      <c r="B4715" s="4" t="s">
        <v>9482</v>
      </c>
      <c r="C4715" s="4" t="s">
        <v>43</v>
      </c>
      <c r="D4715" s="2">
        <f>55975756/(10^6)</f>
        <v>55.975756</v>
      </c>
      <c r="E4715" s="5" t="s">
        <v>86</v>
      </c>
      <c r="F4715" s="5" t="s">
        <v>86</v>
      </c>
      <c r="G4715" s="5" t="s">
        <v>86</v>
      </c>
      <c r="H4715" s="5" t="s">
        <v>86</v>
      </c>
      <c r="I4715" t="s">
        <v>57</v>
      </c>
    </row>
    <row r="4716" spans="1:9">
      <c r="A4716" s="4" t="s">
        <v>9483</v>
      </c>
      <c r="B4716" s="4" t="s">
        <v>9484</v>
      </c>
      <c r="C4716" s="4" t="s">
        <v>41</v>
      </c>
      <c r="D4716" s="2">
        <f>55958588/(10^6)</f>
        <v>55.958588</v>
      </c>
      <c r="E4716" s="5" t="s">
        <v>86</v>
      </c>
      <c r="F4716" s="5">
        <v>1.79356193542481</v>
      </c>
      <c r="G4716" s="5" t="s">
        <v>86</v>
      </c>
      <c r="H4716" s="5" t="s">
        <v>86</v>
      </c>
      <c r="I4716" t="s">
        <v>57</v>
      </c>
    </row>
    <row r="4717" spans="1:9">
      <c r="A4717" s="4" t="s">
        <v>9485</v>
      </c>
      <c r="B4717" s="4" t="s">
        <v>9486</v>
      </c>
      <c r="C4717" s="4" t="s">
        <v>43</v>
      </c>
      <c r="D4717" s="2">
        <f>55873500/(10^6)</f>
        <v>55.8735</v>
      </c>
      <c r="E4717" s="5">
        <v>297.619049072266</v>
      </c>
      <c r="F4717" s="5" t="s">
        <v>86</v>
      </c>
      <c r="G4717" s="5" t="s">
        <v>86</v>
      </c>
      <c r="H4717" s="5" t="s">
        <v>86</v>
      </c>
      <c r="I4717" t="s">
        <v>57</v>
      </c>
    </row>
    <row r="4718" spans="1:9">
      <c r="A4718" s="4" t="s">
        <v>9487</v>
      </c>
      <c r="B4718" s="4" t="s">
        <v>9488</v>
      </c>
      <c r="C4718" s="4" t="s">
        <v>43</v>
      </c>
      <c r="D4718" s="2">
        <f>55854080/(10^6)</f>
        <v>55.85408</v>
      </c>
      <c r="E4718" s="5">
        <v>18.0180187225342</v>
      </c>
      <c r="F4718" s="5">
        <v>0.904771983623505</v>
      </c>
      <c r="G4718" s="5" t="s">
        <v>86</v>
      </c>
      <c r="H4718" s="5" t="s">
        <v>86</v>
      </c>
      <c r="I4718" t="s">
        <v>57</v>
      </c>
    </row>
    <row r="4719" spans="1:9">
      <c r="A4719" s="4" t="s">
        <v>9489</v>
      </c>
      <c r="B4719" s="4" t="s">
        <v>9490</v>
      </c>
      <c r="C4719" s="4" t="s">
        <v>41</v>
      </c>
      <c r="D4719" s="2">
        <f>55761228/(10^6)</f>
        <v>55.761228</v>
      </c>
      <c r="E4719" s="5" t="s">
        <v>86</v>
      </c>
      <c r="F4719" s="5">
        <v>12.1571264266968</v>
      </c>
      <c r="G4719" s="5">
        <v>4.27696514129639</v>
      </c>
      <c r="H4719" s="5" t="s">
        <v>86</v>
      </c>
      <c r="I4719" t="s">
        <v>57</v>
      </c>
    </row>
    <row r="4720" spans="1:9">
      <c r="A4720" s="4" t="s">
        <v>9491</v>
      </c>
      <c r="B4720" s="4" t="s">
        <v>9492</v>
      </c>
      <c r="C4720" s="4" t="s">
        <v>43</v>
      </c>
      <c r="D4720" s="2">
        <f>55622740/(10^6)</f>
        <v>55.62274</v>
      </c>
      <c r="E4720" s="5" t="s">
        <v>86</v>
      </c>
      <c r="F4720" s="5" t="s">
        <v>86</v>
      </c>
      <c r="G4720" s="5" t="s">
        <v>86</v>
      </c>
      <c r="H4720" s="5" t="s">
        <v>86</v>
      </c>
      <c r="I4720" t="s">
        <v>57</v>
      </c>
    </row>
    <row r="4721" spans="1:9">
      <c r="A4721" s="4" t="s">
        <v>9493</v>
      </c>
      <c r="B4721" s="4" t="s">
        <v>9494</v>
      </c>
      <c r="C4721" s="4" t="s">
        <v>37</v>
      </c>
      <c r="D4721" s="2">
        <f>55622284/(10^6)</f>
        <v>55.622284</v>
      </c>
      <c r="E4721" s="5" t="s">
        <v>86</v>
      </c>
      <c r="F4721" s="5">
        <v>10.7836818695068</v>
      </c>
      <c r="G4721" s="5" t="s">
        <v>86</v>
      </c>
      <c r="H4721" s="5" t="s">
        <v>86</v>
      </c>
      <c r="I4721" t="s">
        <v>57</v>
      </c>
    </row>
    <row r="4722" spans="1:9">
      <c r="A4722" s="4" t="s">
        <v>9495</v>
      </c>
      <c r="B4722" s="4" t="s">
        <v>9496</v>
      </c>
      <c r="C4722" s="4" t="s">
        <v>35</v>
      </c>
      <c r="D4722" s="2">
        <f>55610208/(10^6)</f>
        <v>55.610208</v>
      </c>
      <c r="E4722" s="5" t="s">
        <v>86</v>
      </c>
      <c r="F4722" s="5">
        <v>65.9725799560547</v>
      </c>
      <c r="G4722" s="5">
        <v>29.2973213195801</v>
      </c>
      <c r="H4722" s="5" t="s">
        <v>86</v>
      </c>
      <c r="I4722" t="s">
        <v>57</v>
      </c>
    </row>
    <row r="4723" spans="1:9">
      <c r="A4723" s="4" t="s">
        <v>9497</v>
      </c>
      <c r="B4723" s="4" t="s">
        <v>9498</v>
      </c>
      <c r="C4723" s="4" t="s">
        <v>49</v>
      </c>
      <c r="D4723" s="2">
        <f>55462796/(10^6)</f>
        <v>55.462796</v>
      </c>
      <c r="E4723" s="5" t="s">
        <v>86</v>
      </c>
      <c r="F4723" s="5">
        <v>0.771095395088196</v>
      </c>
      <c r="G4723" s="5" t="s">
        <v>86</v>
      </c>
      <c r="H4723" s="5" t="s">
        <v>86</v>
      </c>
      <c r="I4723" t="s">
        <v>57</v>
      </c>
    </row>
    <row r="4724" spans="1:9">
      <c r="A4724" s="4" t="s">
        <v>9499</v>
      </c>
      <c r="B4724" s="4" t="s">
        <v>9500</v>
      </c>
      <c r="C4724" s="4" t="s">
        <v>47</v>
      </c>
      <c r="D4724" s="2">
        <f>55392784/(10^6)</f>
        <v>55.392784</v>
      </c>
      <c r="E4724" s="5">
        <v>61.4115371704102</v>
      </c>
      <c r="F4724" s="5">
        <v>0.332392632961273</v>
      </c>
      <c r="G4724" s="5">
        <v>0.111177526414394</v>
      </c>
      <c r="H4724" s="5">
        <v>4.4362211227417</v>
      </c>
      <c r="I4724" t="s">
        <v>57</v>
      </c>
    </row>
    <row r="4725" spans="1:9">
      <c r="A4725" s="4" t="s">
        <v>9501</v>
      </c>
      <c r="B4725" s="4" t="s">
        <v>9502</v>
      </c>
      <c r="C4725" s="4" t="s">
        <v>45</v>
      </c>
      <c r="D4725" s="2">
        <f>55338392/(10^6)</f>
        <v>55.338392</v>
      </c>
      <c r="E4725" s="5" t="s">
        <v>86</v>
      </c>
      <c r="F4725" s="5">
        <v>0.68824565410614</v>
      </c>
      <c r="G4725" s="5">
        <v>13.2289657592773</v>
      </c>
      <c r="H4725" s="5" t="s">
        <v>86</v>
      </c>
      <c r="I4725" t="s">
        <v>57</v>
      </c>
    </row>
    <row r="4726" spans="1:9">
      <c r="A4726" s="4" t="s">
        <v>9503</v>
      </c>
      <c r="B4726" s="4" t="s">
        <v>9504</v>
      </c>
      <c r="C4726" s="4" t="s">
        <v>43</v>
      </c>
      <c r="D4726" s="2">
        <f>54980248/(10^6)</f>
        <v>54.980248</v>
      </c>
      <c r="E4726" s="5">
        <v>4.40132856369019</v>
      </c>
      <c r="F4726" s="5">
        <v>0.370870769023895</v>
      </c>
      <c r="G4726" s="5">
        <v>1.24045562744141</v>
      </c>
      <c r="H4726" s="5" t="s">
        <v>86</v>
      </c>
      <c r="I4726" t="s">
        <v>57</v>
      </c>
    </row>
    <row r="4727" spans="1:9">
      <c r="A4727" s="4" t="s">
        <v>9505</v>
      </c>
      <c r="B4727" s="4" t="s">
        <v>9506</v>
      </c>
      <c r="C4727" s="4" t="s">
        <v>33</v>
      </c>
      <c r="D4727" s="2">
        <f>54698444/(10^6)</f>
        <v>54.698444</v>
      </c>
      <c r="E4727" s="5">
        <v>6.49719667434692</v>
      </c>
      <c r="F4727" s="5">
        <v>0.192209869623184</v>
      </c>
      <c r="G4727" s="5">
        <v>0.207316294312477</v>
      </c>
      <c r="H4727" s="5">
        <v>5.80637216567993</v>
      </c>
      <c r="I4727" t="s">
        <v>57</v>
      </c>
    </row>
    <row r="4728" spans="1:9">
      <c r="A4728" s="4" t="s">
        <v>9507</v>
      </c>
      <c r="B4728" s="4" t="s">
        <v>9508</v>
      </c>
      <c r="C4728" s="4" t="s">
        <v>47</v>
      </c>
      <c r="D4728" s="2">
        <f>54691596/(10^6)</f>
        <v>54.691596</v>
      </c>
      <c r="E4728" s="5">
        <v>1.38240706920624</v>
      </c>
      <c r="F4728" s="5">
        <v>0.103208839893341</v>
      </c>
      <c r="G4728" s="5">
        <v>0.022992445155978</v>
      </c>
      <c r="H4728" s="5" t="s">
        <v>86</v>
      </c>
      <c r="I4728" t="s">
        <v>57</v>
      </c>
    </row>
    <row r="4729" spans="1:9">
      <c r="A4729" s="4" t="s">
        <v>9509</v>
      </c>
      <c r="B4729" s="4" t="s">
        <v>9510</v>
      </c>
      <c r="C4729" s="4" t="s">
        <v>51</v>
      </c>
      <c r="D4729" s="2">
        <f>54665540/(10^6)</f>
        <v>54.66554</v>
      </c>
      <c r="E4729" s="5" t="s">
        <v>86</v>
      </c>
      <c r="F4729" s="5">
        <v>1.01926934719086</v>
      </c>
      <c r="G4729" s="5">
        <v>4.48084783554077</v>
      </c>
      <c r="H4729" s="5" t="s">
        <v>86</v>
      </c>
      <c r="I4729" t="s">
        <v>57</v>
      </c>
    </row>
    <row r="4730" spans="1:9">
      <c r="A4730" s="4" t="s">
        <v>9511</v>
      </c>
      <c r="B4730" s="4" t="s">
        <v>9512</v>
      </c>
      <c r="C4730" s="4" t="s">
        <v>51</v>
      </c>
      <c r="D4730" s="2">
        <f>54640988/(10^6)</f>
        <v>54.640988</v>
      </c>
      <c r="E4730" s="5" t="s">
        <v>86</v>
      </c>
      <c r="F4730" s="5">
        <v>1.01534843444824</v>
      </c>
      <c r="G4730" s="5">
        <v>0.06408105045557</v>
      </c>
      <c r="H4730" s="5">
        <v>10.5688724517822</v>
      </c>
      <c r="I4730" t="s">
        <v>57</v>
      </c>
    </row>
    <row r="4731" spans="1:9">
      <c r="A4731" s="4" t="s">
        <v>9513</v>
      </c>
      <c r="B4731" s="4" t="s">
        <v>9514</v>
      </c>
      <c r="C4731" s="4" t="s">
        <v>43</v>
      </c>
      <c r="D4731" s="2">
        <f>54608620/(10^6)</f>
        <v>54.60862</v>
      </c>
      <c r="E4731" s="5">
        <v>34.7390060424805</v>
      </c>
      <c r="F4731" s="5">
        <v>1.34899604320526</v>
      </c>
      <c r="G4731" s="5">
        <v>4.62701511383057</v>
      </c>
      <c r="H4731" s="5" t="s">
        <v>86</v>
      </c>
      <c r="I4731" t="s">
        <v>57</v>
      </c>
    </row>
    <row r="4732" spans="1:9">
      <c r="A4732" s="4" t="s">
        <v>9515</v>
      </c>
      <c r="B4732" s="4" t="s">
        <v>9516</v>
      </c>
      <c r="C4732" s="4" t="s">
        <v>49</v>
      </c>
      <c r="D4732" s="2">
        <f>54582500/(10^6)</f>
        <v>54.5825</v>
      </c>
      <c r="E4732" s="5" t="s">
        <v>86</v>
      </c>
      <c r="F4732" s="5" t="s">
        <v>86</v>
      </c>
      <c r="G4732" s="5" t="s">
        <v>86</v>
      </c>
      <c r="H4732" s="5" t="s">
        <v>86</v>
      </c>
      <c r="I4732" t="s">
        <v>57</v>
      </c>
    </row>
    <row r="4733" spans="1:9">
      <c r="A4733" s="4" t="s">
        <v>9517</v>
      </c>
      <c r="B4733" s="4" t="s">
        <v>9518</v>
      </c>
      <c r="C4733" s="4" t="s">
        <v>51</v>
      </c>
      <c r="D4733" s="2">
        <f>54578344/(10^6)</f>
        <v>54.578344</v>
      </c>
      <c r="E4733" s="5" t="s">
        <v>86</v>
      </c>
      <c r="F4733" s="5">
        <v>2.86546111106873</v>
      </c>
      <c r="G4733" s="5">
        <v>1.35286450386047</v>
      </c>
      <c r="H4733" s="5" t="s">
        <v>86</v>
      </c>
      <c r="I4733" t="s">
        <v>57</v>
      </c>
    </row>
    <row r="4734" spans="1:9">
      <c r="A4734" s="4" t="s">
        <v>9519</v>
      </c>
      <c r="B4734" s="4" t="s">
        <v>9520</v>
      </c>
      <c r="C4734" s="4" t="s">
        <v>51</v>
      </c>
      <c r="D4734" s="2">
        <f>54574376/(10^6)</f>
        <v>54.574376</v>
      </c>
      <c r="E4734" s="5">
        <v>10.1987047195435</v>
      </c>
      <c r="F4734" s="5">
        <v>1.70229506492615</v>
      </c>
      <c r="G4734" s="5">
        <v>2.0953676700592</v>
      </c>
      <c r="H4734" s="5">
        <v>5.94025135040283</v>
      </c>
      <c r="I4734" t="s">
        <v>57</v>
      </c>
    </row>
    <row r="4735" spans="1:9">
      <c r="A4735" s="4" t="s">
        <v>9521</v>
      </c>
      <c r="B4735" s="4" t="s">
        <v>9522</v>
      </c>
      <c r="C4735" s="4" t="s">
        <v>43</v>
      </c>
      <c r="D4735" s="2">
        <f>54508232/(10^6)</f>
        <v>54.508232</v>
      </c>
      <c r="E4735" s="5">
        <v>9.69473648071289</v>
      </c>
      <c r="F4735" s="5">
        <v>0.655280649662018</v>
      </c>
      <c r="G4735" s="5">
        <v>1.97561943531036</v>
      </c>
      <c r="H4735" s="5" t="s">
        <v>86</v>
      </c>
      <c r="I4735" t="s">
        <v>57</v>
      </c>
    </row>
    <row r="4736" spans="1:9">
      <c r="A4736" s="4" t="s">
        <v>9523</v>
      </c>
      <c r="B4736" s="4" t="s">
        <v>9524</v>
      </c>
      <c r="C4736" s="4" t="s">
        <v>43</v>
      </c>
      <c r="D4736" s="2">
        <f>54472760/(10^6)</f>
        <v>54.47276</v>
      </c>
      <c r="E4736" s="5" t="s">
        <v>86</v>
      </c>
      <c r="F4736" s="5" t="s">
        <v>86</v>
      </c>
      <c r="G4736" s="5" t="s">
        <v>86</v>
      </c>
      <c r="H4736" s="5" t="s">
        <v>86</v>
      </c>
      <c r="I4736" t="s">
        <v>57</v>
      </c>
    </row>
    <row r="4737" spans="1:9">
      <c r="A4737" s="4" t="s">
        <v>9525</v>
      </c>
      <c r="B4737" s="4" t="s">
        <v>9526</v>
      </c>
      <c r="C4737" s="4" t="s">
        <v>43</v>
      </c>
      <c r="D4737" s="2">
        <f>54296620/(10^6)</f>
        <v>54.29662</v>
      </c>
      <c r="E4737" s="5" t="s">
        <v>86</v>
      </c>
      <c r="F4737" s="5" t="s">
        <v>86</v>
      </c>
      <c r="G4737" s="5" t="s">
        <v>86</v>
      </c>
      <c r="H4737" s="5" t="s">
        <v>86</v>
      </c>
      <c r="I4737" t="s">
        <v>57</v>
      </c>
    </row>
    <row r="4738" spans="1:9">
      <c r="A4738" s="4" t="s">
        <v>9527</v>
      </c>
      <c r="B4738" s="4" t="s">
        <v>9528</v>
      </c>
      <c r="C4738" s="4" t="s">
        <v>41</v>
      </c>
      <c r="D4738" s="2">
        <f>54213588/(10^6)</f>
        <v>54.213588</v>
      </c>
      <c r="E4738" s="5" t="s">
        <v>86</v>
      </c>
      <c r="F4738" s="5">
        <v>34.5575675964355</v>
      </c>
      <c r="G4738" s="5">
        <v>0.901052236557007</v>
      </c>
      <c r="H4738" s="5" t="s">
        <v>86</v>
      </c>
      <c r="I4738" t="s">
        <v>57</v>
      </c>
    </row>
    <row r="4739" spans="1:9">
      <c r="A4739" s="4" t="s">
        <v>9529</v>
      </c>
      <c r="B4739" s="4" t="s">
        <v>9530</v>
      </c>
      <c r="C4739" s="4" t="s">
        <v>43</v>
      </c>
      <c r="D4739" s="2">
        <f>54207700/(10^6)</f>
        <v>54.2077</v>
      </c>
      <c r="E4739" s="5">
        <v>13.5325994491577</v>
      </c>
      <c r="F4739" s="5">
        <v>0.654366195201874</v>
      </c>
      <c r="G4739" s="5">
        <v>2.05200910568237</v>
      </c>
      <c r="H4739" s="5" t="s">
        <v>86</v>
      </c>
      <c r="I4739" t="s">
        <v>57</v>
      </c>
    </row>
    <row r="4740" spans="1:9">
      <c r="A4740" s="4" t="s">
        <v>9531</v>
      </c>
      <c r="B4740" s="4" t="s">
        <v>9532</v>
      </c>
      <c r="C4740" s="4" t="s">
        <v>27</v>
      </c>
      <c r="D4740" s="2">
        <f>53972640/(10^6)</f>
        <v>53.97264</v>
      </c>
      <c r="E4740" s="5" t="s">
        <v>86</v>
      </c>
      <c r="F4740" s="5">
        <v>0.492299258708954</v>
      </c>
      <c r="G4740" s="5">
        <v>0.651635229587555</v>
      </c>
      <c r="H4740" s="5">
        <v>0.926463842391968</v>
      </c>
      <c r="I4740" t="s">
        <v>57</v>
      </c>
    </row>
    <row r="4741" spans="1:9">
      <c r="A4741" s="4" t="s">
        <v>9533</v>
      </c>
      <c r="B4741" s="4" t="s">
        <v>9534</v>
      </c>
      <c r="C4741" s="4" t="s">
        <v>43</v>
      </c>
      <c r="D4741" s="2">
        <f>53962668/(10^6)</f>
        <v>53.962668</v>
      </c>
      <c r="E4741" s="5">
        <v>4.73352527618408</v>
      </c>
      <c r="F4741" s="5">
        <v>0.786274313926697</v>
      </c>
      <c r="G4741" s="5">
        <v>0.985771119594574</v>
      </c>
      <c r="H4741" s="5" t="s">
        <v>86</v>
      </c>
      <c r="I4741" t="s">
        <v>57</v>
      </c>
    </row>
    <row r="4742" spans="1:9">
      <c r="A4742" s="4" t="s">
        <v>9535</v>
      </c>
      <c r="B4742" s="4" t="s">
        <v>9536</v>
      </c>
      <c r="C4742" s="4" t="s">
        <v>43</v>
      </c>
      <c r="D4742" s="2">
        <f>53730400/(10^6)</f>
        <v>53.7304</v>
      </c>
      <c r="E4742" s="5">
        <v>15.078125</v>
      </c>
      <c r="F4742" s="5">
        <v>0.685894429683685</v>
      </c>
      <c r="G4742" s="5">
        <v>1.10642242431641</v>
      </c>
      <c r="H4742" s="5" t="s">
        <v>86</v>
      </c>
      <c r="I4742" t="s">
        <v>57</v>
      </c>
    </row>
    <row r="4743" spans="1:9">
      <c r="A4743" s="4" t="s">
        <v>9537</v>
      </c>
      <c r="B4743" s="4" t="s">
        <v>9538</v>
      </c>
      <c r="C4743" s="4" t="s">
        <v>31</v>
      </c>
      <c r="D4743" s="2">
        <f>53660584/(10^6)</f>
        <v>53.660584</v>
      </c>
      <c r="E4743" s="5" t="s">
        <v>86</v>
      </c>
      <c r="F4743" s="5">
        <v>0.568319201469421</v>
      </c>
      <c r="G4743" s="5">
        <v>0.283134758472443</v>
      </c>
      <c r="H4743" s="5">
        <v>13.7728691101074</v>
      </c>
      <c r="I4743" t="s">
        <v>57</v>
      </c>
    </row>
    <row r="4744" spans="1:9">
      <c r="A4744" s="4" t="s">
        <v>9539</v>
      </c>
      <c r="B4744" s="4" t="s">
        <v>9540</v>
      </c>
      <c r="C4744" s="4" t="s">
        <v>41</v>
      </c>
      <c r="D4744" s="2">
        <f>53505216/(10^6)</f>
        <v>53.505216</v>
      </c>
      <c r="E4744" s="5" t="s">
        <v>86</v>
      </c>
      <c r="F4744" s="5">
        <v>3.07262325286865</v>
      </c>
      <c r="G4744" s="5">
        <v>0.88253390789032</v>
      </c>
      <c r="H4744" s="5" t="s">
        <v>86</v>
      </c>
      <c r="I4744" t="s">
        <v>57</v>
      </c>
    </row>
    <row r="4745" spans="1:9">
      <c r="A4745" s="4" t="s">
        <v>9541</v>
      </c>
      <c r="B4745" s="4" t="s">
        <v>9542</v>
      </c>
      <c r="C4745" s="4" t="s">
        <v>31</v>
      </c>
      <c r="D4745" s="2">
        <f>53406852/(10^6)</f>
        <v>53.406852</v>
      </c>
      <c r="E4745" s="5" t="s">
        <v>86</v>
      </c>
      <c r="F4745" s="5" t="s">
        <v>86</v>
      </c>
      <c r="G4745" s="5" t="s">
        <v>86</v>
      </c>
      <c r="H4745" s="5" t="s">
        <v>86</v>
      </c>
      <c r="I4745" t="s">
        <v>57</v>
      </c>
    </row>
    <row r="4746" spans="1:9">
      <c r="A4746" s="4" t="s">
        <v>9543</v>
      </c>
      <c r="B4746" s="4" t="s">
        <v>9544</v>
      </c>
      <c r="C4746" s="4" t="s">
        <v>31</v>
      </c>
      <c r="D4746" s="2">
        <f>53373628/(10^6)</f>
        <v>53.373628</v>
      </c>
      <c r="E4746" s="5">
        <v>8.91344738006592</v>
      </c>
      <c r="F4746" s="5">
        <v>1.10849809646606</v>
      </c>
      <c r="G4746" s="5">
        <v>0.291050463914871</v>
      </c>
      <c r="H4746" s="5">
        <v>3.58063387870789</v>
      </c>
      <c r="I4746" t="s">
        <v>57</v>
      </c>
    </row>
    <row r="4747" spans="1:9">
      <c r="A4747" s="4" t="s">
        <v>9545</v>
      </c>
      <c r="B4747" s="4" t="s">
        <v>9546</v>
      </c>
      <c r="C4747" s="4" t="s">
        <v>47</v>
      </c>
      <c r="D4747" s="2">
        <f>53114252/(10^6)</f>
        <v>53.114252</v>
      </c>
      <c r="E4747" s="5">
        <v>7.68852472305298</v>
      </c>
      <c r="F4747" s="5">
        <v>0.954120457172394</v>
      </c>
      <c r="G4747" s="5">
        <v>0.569734871387482</v>
      </c>
      <c r="H4747" s="5">
        <v>2.48404979705811</v>
      </c>
      <c r="I4747" t="s">
        <v>57</v>
      </c>
    </row>
    <row r="4748" spans="1:9">
      <c r="A4748" s="4" t="s">
        <v>9547</v>
      </c>
      <c r="B4748" s="4" t="s">
        <v>9548</v>
      </c>
      <c r="C4748" s="4" t="s">
        <v>43</v>
      </c>
      <c r="D4748" s="2">
        <f>53088656/(10^6)</f>
        <v>53.088656</v>
      </c>
      <c r="E4748" s="5" t="s">
        <v>86</v>
      </c>
      <c r="F4748" s="5" t="s">
        <v>86</v>
      </c>
      <c r="G4748" s="5" t="s">
        <v>86</v>
      </c>
      <c r="H4748" s="5" t="s">
        <v>86</v>
      </c>
      <c r="I4748" t="s">
        <v>57</v>
      </c>
    </row>
    <row r="4749" spans="1:9">
      <c r="A4749" s="4" t="s">
        <v>9549</v>
      </c>
      <c r="B4749" s="4" t="s">
        <v>9550</v>
      </c>
      <c r="C4749" s="4" t="s">
        <v>43</v>
      </c>
      <c r="D4749" s="2">
        <f>53077060/(10^6)</f>
        <v>53.07706</v>
      </c>
      <c r="E4749" s="5" t="s">
        <v>86</v>
      </c>
      <c r="F4749" s="5" t="s">
        <v>86</v>
      </c>
      <c r="G4749" s="5" t="s">
        <v>86</v>
      </c>
      <c r="H4749" s="5" t="s">
        <v>86</v>
      </c>
      <c r="I4749" t="s">
        <v>57</v>
      </c>
    </row>
    <row r="4750" spans="1:9">
      <c r="A4750" s="4" t="s">
        <v>9551</v>
      </c>
      <c r="B4750" s="4" t="s">
        <v>9552</v>
      </c>
      <c r="C4750" s="4" t="s">
        <v>27</v>
      </c>
      <c r="D4750" s="2">
        <f>53052716/(10^6)</f>
        <v>53.052716</v>
      </c>
      <c r="E4750" s="5">
        <v>0.391303569078445</v>
      </c>
      <c r="F4750" s="5">
        <v>0.101728469133377</v>
      </c>
      <c r="G4750" s="5">
        <v>0.114305533468723</v>
      </c>
      <c r="H4750" s="5">
        <v>1.75583171844482</v>
      </c>
      <c r="I4750" t="s">
        <v>57</v>
      </c>
    </row>
    <row r="4751" spans="1:9">
      <c r="A4751" s="4" t="s">
        <v>9553</v>
      </c>
      <c r="B4751" s="4" t="s">
        <v>9554</v>
      </c>
      <c r="C4751" s="4" t="s">
        <v>45</v>
      </c>
      <c r="D4751" s="2">
        <f>53035172/(10^6)</f>
        <v>53.035172</v>
      </c>
      <c r="E4751" s="5">
        <v>31.2631072998047</v>
      </c>
      <c r="F4751" s="5">
        <v>0.969931840896606</v>
      </c>
      <c r="G4751" s="5">
        <v>2.59757256507873</v>
      </c>
      <c r="H4751" s="5">
        <v>23.5491333007812</v>
      </c>
      <c r="I4751" t="s">
        <v>57</v>
      </c>
    </row>
    <row r="4752" spans="1:9">
      <c r="A4752" s="4" t="s">
        <v>9555</v>
      </c>
      <c r="B4752" s="4" t="s">
        <v>9556</v>
      </c>
      <c r="C4752" s="4" t="s">
        <v>43</v>
      </c>
      <c r="D4752" s="2">
        <f>53034492/(10^6)</f>
        <v>53.034492</v>
      </c>
      <c r="E4752" s="5">
        <v>9.53281784057617</v>
      </c>
      <c r="F4752" s="5">
        <v>1.0732250213623</v>
      </c>
      <c r="G4752" s="5">
        <v>1.77715802192688</v>
      </c>
      <c r="H4752" s="5" t="s">
        <v>86</v>
      </c>
      <c r="I4752" t="s">
        <v>57</v>
      </c>
    </row>
    <row r="4753" spans="1:9">
      <c r="A4753" s="4" t="s">
        <v>9557</v>
      </c>
      <c r="B4753" s="4" t="s">
        <v>9558</v>
      </c>
      <c r="C4753" s="4" t="s">
        <v>43</v>
      </c>
      <c r="D4753" s="2">
        <f>52936424/(10^6)</f>
        <v>52.936424</v>
      </c>
      <c r="E4753" s="5" t="s">
        <v>86</v>
      </c>
      <c r="F4753" s="5" t="s">
        <v>86</v>
      </c>
      <c r="G4753" s="5" t="s">
        <v>86</v>
      </c>
      <c r="H4753" s="5" t="s">
        <v>86</v>
      </c>
      <c r="I4753" t="s">
        <v>57</v>
      </c>
    </row>
    <row r="4754" spans="1:9">
      <c r="A4754" s="4" t="s">
        <v>9559</v>
      </c>
      <c r="B4754" s="4" t="s">
        <v>9560</v>
      </c>
      <c r="C4754" s="4" t="s">
        <v>51</v>
      </c>
      <c r="D4754" s="2">
        <f>52872420/(10^6)</f>
        <v>52.87242</v>
      </c>
      <c r="E4754" s="5" t="s">
        <v>86</v>
      </c>
      <c r="F4754" s="5">
        <v>0.988269686698914</v>
      </c>
      <c r="G4754" s="5">
        <v>17.3891048431396</v>
      </c>
      <c r="H4754" s="5" t="s">
        <v>86</v>
      </c>
      <c r="I4754" t="s">
        <v>57</v>
      </c>
    </row>
    <row r="4755" spans="1:9">
      <c r="A4755" s="4" t="s">
        <v>9561</v>
      </c>
      <c r="B4755" s="4" t="s">
        <v>9562</v>
      </c>
      <c r="C4755" s="4" t="s">
        <v>41</v>
      </c>
      <c r="D4755" s="2">
        <f>52851444/(10^6)</f>
        <v>52.851444</v>
      </c>
      <c r="E4755" s="5" t="s">
        <v>86</v>
      </c>
      <c r="F4755" s="5">
        <v>0.907301962375641</v>
      </c>
      <c r="G4755" s="5">
        <v>0.193467915058136</v>
      </c>
      <c r="H4755" s="5" t="s">
        <v>86</v>
      </c>
      <c r="I4755" t="s">
        <v>57</v>
      </c>
    </row>
    <row r="4756" spans="1:9">
      <c r="A4756" s="4" t="s">
        <v>9563</v>
      </c>
      <c r="B4756" s="4" t="s">
        <v>9564</v>
      </c>
      <c r="C4756" s="4" t="s">
        <v>43</v>
      </c>
      <c r="D4756" s="2">
        <f>52775396/(10^6)</f>
        <v>52.775396</v>
      </c>
      <c r="E4756" s="5">
        <v>8.64551067352295</v>
      </c>
      <c r="F4756" s="5">
        <v>0.446355432271957</v>
      </c>
      <c r="G4756" s="5">
        <v>0.903136372566223</v>
      </c>
      <c r="H4756" s="5" t="s">
        <v>86</v>
      </c>
      <c r="I4756" t="s">
        <v>57</v>
      </c>
    </row>
    <row r="4757" spans="1:9">
      <c r="A4757" s="4" t="s">
        <v>9565</v>
      </c>
      <c r="B4757" s="4" t="s">
        <v>9566</v>
      </c>
      <c r="C4757" s="4" t="s">
        <v>41</v>
      </c>
      <c r="D4757" s="2">
        <f>52749440/(10^6)</f>
        <v>52.74944</v>
      </c>
      <c r="E4757" s="5" t="s">
        <v>86</v>
      </c>
      <c r="F4757" s="5">
        <v>1.57457947731018</v>
      </c>
      <c r="G4757" s="5">
        <v>39.5898056030273</v>
      </c>
      <c r="H4757" s="5" t="s">
        <v>86</v>
      </c>
      <c r="I4757" t="s">
        <v>57</v>
      </c>
    </row>
    <row r="4758" spans="1:9">
      <c r="A4758" s="4" t="s">
        <v>9567</v>
      </c>
      <c r="B4758" s="4" t="s">
        <v>9568</v>
      </c>
      <c r="C4758" s="4" t="s">
        <v>43</v>
      </c>
      <c r="D4758" s="2">
        <f>52710984/(10^6)</f>
        <v>52.710984</v>
      </c>
      <c r="E4758" s="5" t="s">
        <v>86</v>
      </c>
      <c r="F4758" s="5" t="s">
        <v>86</v>
      </c>
      <c r="G4758" s="5" t="s">
        <v>86</v>
      </c>
      <c r="H4758" s="5" t="s">
        <v>86</v>
      </c>
      <c r="I4758" t="s">
        <v>57</v>
      </c>
    </row>
    <row r="4759" spans="1:9">
      <c r="A4759" s="4" t="s">
        <v>9569</v>
      </c>
      <c r="B4759" s="4" t="s">
        <v>9570</v>
      </c>
      <c r="C4759" s="4" t="s">
        <v>51</v>
      </c>
      <c r="D4759" s="2">
        <f>52554496/(10^6)</f>
        <v>52.554496</v>
      </c>
      <c r="E4759" s="5">
        <v>7.38242053985596</v>
      </c>
      <c r="F4759" s="5">
        <v>2.43673753738403</v>
      </c>
      <c r="G4759" s="5">
        <v>0.500081717967987</v>
      </c>
      <c r="H4759" s="5">
        <v>6.19337797164917</v>
      </c>
      <c r="I4759" t="s">
        <v>57</v>
      </c>
    </row>
    <row r="4760" spans="1:9">
      <c r="A4760" s="4" t="s">
        <v>9571</v>
      </c>
      <c r="B4760" s="4" t="s">
        <v>9572</v>
      </c>
      <c r="C4760" s="4" t="s">
        <v>43</v>
      </c>
      <c r="D4760" s="2">
        <f>52541424/(10^6)</f>
        <v>52.541424</v>
      </c>
      <c r="E4760" s="5">
        <v>12.3376617431641</v>
      </c>
      <c r="F4760" s="5">
        <v>1.95052969455719</v>
      </c>
      <c r="G4760" s="5">
        <v>2.3280565738678</v>
      </c>
      <c r="H4760" s="5" t="s">
        <v>86</v>
      </c>
      <c r="I4760" t="s">
        <v>57</v>
      </c>
    </row>
    <row r="4761" spans="1:9">
      <c r="A4761" s="4" t="s">
        <v>9573</v>
      </c>
      <c r="B4761" s="4" t="s">
        <v>9574</v>
      </c>
      <c r="C4761" s="4" t="s">
        <v>43</v>
      </c>
      <c r="D4761" s="2">
        <f>52482856/(10^6)</f>
        <v>52.482856</v>
      </c>
      <c r="E4761" s="5" t="s">
        <v>86</v>
      </c>
      <c r="F4761" s="5" t="s">
        <v>86</v>
      </c>
      <c r="G4761" s="5" t="s">
        <v>86</v>
      </c>
      <c r="H4761" s="5" t="s">
        <v>86</v>
      </c>
      <c r="I4761" t="s">
        <v>57</v>
      </c>
    </row>
    <row r="4762" spans="1:9">
      <c r="A4762" s="4" t="s">
        <v>9575</v>
      </c>
      <c r="B4762" s="4" t="s">
        <v>9576</v>
      </c>
      <c r="C4762" s="4" t="s">
        <v>51</v>
      </c>
      <c r="D4762" s="2">
        <f>52434732/(10^6)</f>
        <v>52.434732</v>
      </c>
      <c r="E4762" s="5" t="s">
        <v>86</v>
      </c>
      <c r="F4762" s="5" t="s">
        <v>86</v>
      </c>
      <c r="G4762" s="5">
        <v>1.68768191337585</v>
      </c>
      <c r="H4762" s="5" t="s">
        <v>86</v>
      </c>
      <c r="I4762" t="s">
        <v>57</v>
      </c>
    </row>
    <row r="4763" spans="1:9">
      <c r="A4763" s="4" t="s">
        <v>9577</v>
      </c>
      <c r="B4763" s="4" t="s">
        <v>9578</v>
      </c>
      <c r="C4763" s="4" t="s">
        <v>43</v>
      </c>
      <c r="D4763" s="2">
        <f>52386712/(10^6)</f>
        <v>52.386712</v>
      </c>
      <c r="E4763" s="5">
        <v>18.3467540740967</v>
      </c>
      <c r="F4763" s="5">
        <v>0.948484838008881</v>
      </c>
      <c r="G4763" s="5">
        <v>1.78623425960541</v>
      </c>
      <c r="H4763" s="5" t="s">
        <v>86</v>
      </c>
      <c r="I4763" t="s">
        <v>57</v>
      </c>
    </row>
    <row r="4764" spans="1:9">
      <c r="A4764" s="4" t="s">
        <v>9579</v>
      </c>
      <c r="B4764" s="4" t="s">
        <v>9580</v>
      </c>
      <c r="C4764" s="4" t="s">
        <v>41</v>
      </c>
      <c r="D4764" s="2">
        <f>52375976/(10^6)</f>
        <v>52.375976</v>
      </c>
      <c r="E4764" s="5" t="s">
        <v>86</v>
      </c>
      <c r="F4764" s="5">
        <v>1.03005301952362</v>
      </c>
      <c r="G4764" s="5">
        <v>1.11707282066345</v>
      </c>
      <c r="H4764" s="5">
        <v>58.4029388427734</v>
      </c>
      <c r="I4764" t="s">
        <v>57</v>
      </c>
    </row>
    <row r="4765" spans="1:9">
      <c r="A4765" s="4" t="s">
        <v>9581</v>
      </c>
      <c r="B4765" s="4" t="s">
        <v>9582</v>
      </c>
      <c r="C4765" s="4" t="s">
        <v>41</v>
      </c>
      <c r="D4765" s="2">
        <f>52153248/(10^6)</f>
        <v>52.153248</v>
      </c>
      <c r="E4765" s="5" t="s">
        <v>86</v>
      </c>
      <c r="F4765" s="5">
        <v>2.12841868400574</v>
      </c>
      <c r="G4765" s="5">
        <v>7.97370195388794</v>
      </c>
      <c r="H4765" s="5" t="s">
        <v>86</v>
      </c>
      <c r="I4765" t="s">
        <v>57</v>
      </c>
    </row>
    <row r="4766" spans="1:9">
      <c r="A4766" s="4" t="s">
        <v>9583</v>
      </c>
      <c r="B4766" s="4" t="s">
        <v>9584</v>
      </c>
      <c r="C4766" s="4" t="s">
        <v>49</v>
      </c>
      <c r="D4766" s="2">
        <f>52106052/(10^6)</f>
        <v>52.106052</v>
      </c>
      <c r="E4766" s="5" t="s">
        <v>86</v>
      </c>
      <c r="F4766" s="5">
        <v>29.09987449646</v>
      </c>
      <c r="G4766" s="5">
        <v>50.6502952575684</v>
      </c>
      <c r="H4766" s="5" t="s">
        <v>86</v>
      </c>
      <c r="I4766" t="s">
        <v>57</v>
      </c>
    </row>
    <row r="4767" spans="1:9">
      <c r="A4767" s="4" t="s">
        <v>9585</v>
      </c>
      <c r="B4767" s="4" t="s">
        <v>9586</v>
      </c>
      <c r="C4767" s="4" t="s">
        <v>31</v>
      </c>
      <c r="D4767" s="2">
        <f>52078524/(10^6)</f>
        <v>52.078524</v>
      </c>
      <c r="E4767" s="5" t="s">
        <v>86</v>
      </c>
      <c r="F4767" s="5" t="s">
        <v>86</v>
      </c>
      <c r="G4767" s="5">
        <v>0.019716223701835</v>
      </c>
      <c r="H4767" s="5">
        <v>9.14134883880615</v>
      </c>
      <c r="I4767" t="s">
        <v>57</v>
      </c>
    </row>
    <row r="4768" spans="1:9">
      <c r="A4768" s="4" t="s">
        <v>9587</v>
      </c>
      <c r="B4768" s="4" t="s">
        <v>9588</v>
      </c>
      <c r="C4768" s="4" t="s">
        <v>41</v>
      </c>
      <c r="D4768" s="2">
        <f>51957600/(10^6)</f>
        <v>51.9576</v>
      </c>
      <c r="E4768" s="5" t="s">
        <v>86</v>
      </c>
      <c r="F4768" s="5" t="s">
        <v>86</v>
      </c>
      <c r="G4768" s="5" t="s">
        <v>86</v>
      </c>
      <c r="H4768" s="5" t="s">
        <v>86</v>
      </c>
      <c r="I4768" t="s">
        <v>57</v>
      </c>
    </row>
    <row r="4769" spans="1:9">
      <c r="A4769" s="4" t="s">
        <v>9589</v>
      </c>
      <c r="B4769" s="4" t="s">
        <v>9590</v>
      </c>
      <c r="C4769" s="4" t="s">
        <v>47</v>
      </c>
      <c r="D4769" s="2">
        <f>51843348/(10^6)</f>
        <v>51.843348</v>
      </c>
      <c r="E4769" s="5" t="s">
        <v>86</v>
      </c>
      <c r="F4769" s="5" t="s">
        <v>86</v>
      </c>
      <c r="G4769" s="5" t="s">
        <v>86</v>
      </c>
      <c r="H4769" s="5" t="s">
        <v>86</v>
      </c>
      <c r="I4769" t="s">
        <v>57</v>
      </c>
    </row>
    <row r="4770" spans="1:9">
      <c r="A4770" s="4" t="s">
        <v>9591</v>
      </c>
      <c r="B4770" s="4" t="s">
        <v>9592</v>
      </c>
      <c r="C4770" s="4" t="s">
        <v>31</v>
      </c>
      <c r="D4770" s="2">
        <f>51795380/(10^6)</f>
        <v>51.79538</v>
      </c>
      <c r="E4770" s="5">
        <v>25.4166660308838</v>
      </c>
      <c r="F4770" s="5">
        <v>1.41155207157135</v>
      </c>
      <c r="G4770" s="5">
        <v>2.84427618980408</v>
      </c>
      <c r="H4770" s="5">
        <v>13.9961280822754</v>
      </c>
      <c r="I4770" t="s">
        <v>57</v>
      </c>
    </row>
    <row r="4771" spans="1:9">
      <c r="A4771" s="4" t="s">
        <v>9593</v>
      </c>
      <c r="B4771" s="4" t="s">
        <v>9594</v>
      </c>
      <c r="C4771" s="4" t="s">
        <v>41</v>
      </c>
      <c r="D4771" s="2">
        <f>51780040/(10^6)</f>
        <v>51.78004</v>
      </c>
      <c r="E4771" s="5" t="s">
        <v>86</v>
      </c>
      <c r="F4771" s="5">
        <v>5.89951324462891</v>
      </c>
      <c r="G4771" s="5">
        <v>19.5154399871826</v>
      </c>
      <c r="H4771" s="5" t="s">
        <v>86</v>
      </c>
      <c r="I4771" t="s">
        <v>57</v>
      </c>
    </row>
    <row r="4772" spans="1:9">
      <c r="A4772" s="4" t="s">
        <v>9595</v>
      </c>
      <c r="B4772" s="4" t="s">
        <v>9596</v>
      </c>
      <c r="C4772" s="4" t="s">
        <v>43</v>
      </c>
      <c r="D4772" s="2">
        <f>51667284/(10^6)</f>
        <v>51.667284</v>
      </c>
      <c r="E4772" s="5">
        <v>9.30232524871826</v>
      </c>
      <c r="F4772" s="5" t="s">
        <v>86</v>
      </c>
      <c r="G4772" s="5" t="s">
        <v>86</v>
      </c>
      <c r="H4772" s="5" t="s">
        <v>86</v>
      </c>
      <c r="I4772" t="s">
        <v>57</v>
      </c>
    </row>
    <row r="4773" spans="1:9">
      <c r="A4773" s="4" t="s">
        <v>9597</v>
      </c>
      <c r="B4773" s="4" t="s">
        <v>9598</v>
      </c>
      <c r="C4773" s="4" t="s">
        <v>33</v>
      </c>
      <c r="D4773" s="2">
        <f>51666988/(10^6)</f>
        <v>51.666988</v>
      </c>
      <c r="E4773" s="5">
        <v>5.41564416885376</v>
      </c>
      <c r="F4773" s="5" t="s">
        <v>86</v>
      </c>
      <c r="G4773" s="5">
        <v>0.114068597555161</v>
      </c>
      <c r="H4773" s="5">
        <v>5.60399055480957</v>
      </c>
      <c r="I4773" t="s">
        <v>57</v>
      </c>
    </row>
    <row r="4774" spans="1:9">
      <c r="A4774" s="4" t="s">
        <v>9599</v>
      </c>
      <c r="B4774" s="4" t="s">
        <v>9598</v>
      </c>
      <c r="C4774" s="4" t="s">
        <v>33</v>
      </c>
      <c r="D4774" s="2">
        <f>51666988/(10^6)</f>
        <v>51.666988</v>
      </c>
      <c r="E4774" s="5">
        <v>5.41564416885376</v>
      </c>
      <c r="F4774" s="5" t="s">
        <v>86</v>
      </c>
      <c r="G4774" s="5">
        <v>0.114068597555161</v>
      </c>
      <c r="H4774" s="5">
        <v>5.60399055480957</v>
      </c>
      <c r="I4774" t="s">
        <v>57</v>
      </c>
    </row>
    <row r="4775" spans="1:9">
      <c r="A4775" s="4" t="s">
        <v>9600</v>
      </c>
      <c r="B4775" s="4" t="s">
        <v>9601</v>
      </c>
      <c r="C4775" s="4" t="s">
        <v>37</v>
      </c>
      <c r="D4775" s="2">
        <f>51660948/(10^6)</f>
        <v>51.660948</v>
      </c>
      <c r="E4775" s="5" t="s">
        <v>86</v>
      </c>
      <c r="F4775" s="5">
        <v>10.33021068573</v>
      </c>
      <c r="G4775" s="5" t="s">
        <v>86</v>
      </c>
      <c r="H4775" s="5" t="s">
        <v>86</v>
      </c>
      <c r="I4775" t="s">
        <v>57</v>
      </c>
    </row>
    <row r="4776" spans="1:9">
      <c r="A4776" s="4" t="s">
        <v>9602</v>
      </c>
      <c r="B4776" s="4" t="s">
        <v>9603</v>
      </c>
      <c r="C4776" s="4" t="s">
        <v>43</v>
      </c>
      <c r="D4776" s="2">
        <f>51510700/(10^6)</f>
        <v>51.5107</v>
      </c>
      <c r="E4776" s="5">
        <v>19.7417335510254</v>
      </c>
      <c r="F4776" s="5">
        <v>0.663314402103424</v>
      </c>
      <c r="G4776" s="5">
        <v>1.62402534484863</v>
      </c>
      <c r="H4776" s="5" t="s">
        <v>86</v>
      </c>
      <c r="I4776" t="s">
        <v>57</v>
      </c>
    </row>
    <row r="4777" spans="1:9">
      <c r="A4777" s="4" t="s">
        <v>9604</v>
      </c>
      <c r="B4777" s="4" t="s">
        <v>9605</v>
      </c>
      <c r="C4777" s="4" t="s">
        <v>37</v>
      </c>
      <c r="D4777" s="2">
        <f>51435432/(10^6)</f>
        <v>51.435432</v>
      </c>
      <c r="E4777" s="5" t="s">
        <v>86</v>
      </c>
      <c r="F4777" s="5">
        <v>0.299658983945847</v>
      </c>
      <c r="G4777" s="5">
        <v>0.42809522151947</v>
      </c>
      <c r="H4777" s="5" t="s">
        <v>86</v>
      </c>
      <c r="I4777" t="s">
        <v>57</v>
      </c>
    </row>
    <row r="4778" spans="1:9">
      <c r="A4778" s="4" t="s">
        <v>9606</v>
      </c>
      <c r="B4778" s="4" t="s">
        <v>9607</v>
      </c>
      <c r="C4778" s="4" t="s">
        <v>51</v>
      </c>
      <c r="D4778" s="2">
        <f>51314064/(10^6)</f>
        <v>51.314064</v>
      </c>
      <c r="E4778" s="5" t="s">
        <v>86</v>
      </c>
      <c r="F4778" s="5">
        <v>1.22275817394257</v>
      </c>
      <c r="G4778" s="5">
        <v>0.868256807327271</v>
      </c>
      <c r="H4778" s="5" t="s">
        <v>86</v>
      </c>
      <c r="I4778" t="s">
        <v>57</v>
      </c>
    </row>
    <row r="4779" spans="1:9">
      <c r="A4779" s="4" t="s">
        <v>9608</v>
      </c>
      <c r="B4779" s="4" t="s">
        <v>9609</v>
      </c>
      <c r="C4779" s="4" t="s">
        <v>49</v>
      </c>
      <c r="D4779" s="2">
        <f>51190336/(10^6)</f>
        <v>51.190336</v>
      </c>
      <c r="E4779" s="5">
        <v>128.888885498047</v>
      </c>
      <c r="F4779" s="5">
        <v>12.6298398971558</v>
      </c>
      <c r="G4779" s="5">
        <v>2.20450949668884</v>
      </c>
      <c r="H4779" s="5">
        <v>49.9724197387695</v>
      </c>
      <c r="I4779" t="s">
        <v>57</v>
      </c>
    </row>
    <row r="4780" spans="1:9">
      <c r="A4780" s="4" t="s">
        <v>9610</v>
      </c>
      <c r="B4780" s="4" t="s">
        <v>9611</v>
      </c>
      <c r="C4780" s="4" t="s">
        <v>43</v>
      </c>
      <c r="D4780" s="2">
        <f>51187140/(10^6)</f>
        <v>51.18714</v>
      </c>
      <c r="E4780" s="5">
        <v>8.51963138580322</v>
      </c>
      <c r="F4780" s="5">
        <v>0.192452937364578</v>
      </c>
      <c r="G4780" s="5">
        <v>0.331053256988525</v>
      </c>
      <c r="H4780" s="5">
        <v>4.75655794143677</v>
      </c>
      <c r="I4780" t="s">
        <v>57</v>
      </c>
    </row>
    <row r="4781" spans="1:9">
      <c r="A4781" s="4" t="s">
        <v>9612</v>
      </c>
      <c r="B4781" s="4" t="s">
        <v>9613</v>
      </c>
      <c r="C4781" s="4" t="s">
        <v>27</v>
      </c>
      <c r="D4781" s="2">
        <f>50968488/(10^6)</f>
        <v>50.968488</v>
      </c>
      <c r="E4781" s="5" t="s">
        <v>86</v>
      </c>
      <c r="F4781" s="5" t="s">
        <v>86</v>
      </c>
      <c r="G4781" s="5">
        <v>0.003651200560853</v>
      </c>
      <c r="H4781" s="5" t="s">
        <v>86</v>
      </c>
      <c r="I4781" t="s">
        <v>57</v>
      </c>
    </row>
    <row r="4782" spans="1:9">
      <c r="A4782" s="4" t="s">
        <v>9614</v>
      </c>
      <c r="B4782" s="4" t="s">
        <v>9615</v>
      </c>
      <c r="C4782" s="4" t="s">
        <v>41</v>
      </c>
      <c r="D4782" s="2">
        <f>50790764/(10^6)</f>
        <v>50.790764</v>
      </c>
      <c r="E4782" s="5" t="s">
        <v>86</v>
      </c>
      <c r="F4782" s="5" t="s">
        <v>86</v>
      </c>
      <c r="G4782" s="5">
        <v>3.27925872802734</v>
      </c>
      <c r="H4782" s="5" t="s">
        <v>86</v>
      </c>
      <c r="I4782" t="s">
        <v>57</v>
      </c>
    </row>
    <row r="4783" spans="1:9">
      <c r="A4783" s="4" t="s">
        <v>9616</v>
      </c>
      <c r="B4783" s="4" t="s">
        <v>9617</v>
      </c>
      <c r="C4783" s="4" t="s">
        <v>43</v>
      </c>
      <c r="D4783" s="2">
        <f>50585688/(10^6)</f>
        <v>50.585688</v>
      </c>
      <c r="E4783" s="5">
        <v>6.42000007629395</v>
      </c>
      <c r="F4783" s="5">
        <v>0.617064237594604</v>
      </c>
      <c r="G4783" s="5">
        <v>1.02570343017578</v>
      </c>
      <c r="H4783" s="5" t="s">
        <v>86</v>
      </c>
      <c r="I4783" t="s">
        <v>57</v>
      </c>
    </row>
    <row r="4784" spans="1:9">
      <c r="A4784" s="4" t="s">
        <v>9618</v>
      </c>
      <c r="B4784" s="4" t="s">
        <v>9619</v>
      </c>
      <c r="C4784" s="4" t="s">
        <v>43</v>
      </c>
      <c r="D4784" s="2">
        <f>50580052/(10^6)</f>
        <v>50.580052</v>
      </c>
      <c r="E4784" s="5">
        <v>7.52015972137451</v>
      </c>
      <c r="F4784" s="5">
        <v>0.771031379699707</v>
      </c>
      <c r="G4784" s="5">
        <v>1.92997896671295</v>
      </c>
      <c r="H4784" s="5" t="s">
        <v>86</v>
      </c>
      <c r="I4784" t="s">
        <v>57</v>
      </c>
    </row>
    <row r="4785" spans="1:9">
      <c r="A4785" s="4" t="s">
        <v>9620</v>
      </c>
      <c r="B4785" s="4" t="s">
        <v>9621</v>
      </c>
      <c r="C4785" s="4" t="s">
        <v>43</v>
      </c>
      <c r="D4785" s="2">
        <f>50547360/(10^6)</f>
        <v>50.54736</v>
      </c>
      <c r="E4785" s="5" t="s">
        <v>86</v>
      </c>
      <c r="F4785" s="5">
        <v>0.478467434644699</v>
      </c>
      <c r="G4785" s="5">
        <v>0.793024718761444</v>
      </c>
      <c r="H4785" s="5">
        <v>30.0087852478027</v>
      </c>
      <c r="I4785" t="s">
        <v>57</v>
      </c>
    </row>
    <row r="4786" spans="1:9">
      <c r="A4786" s="4" t="s">
        <v>9622</v>
      </c>
      <c r="B4786" s="4" t="s">
        <v>9623</v>
      </c>
      <c r="C4786" s="4" t="s">
        <v>41</v>
      </c>
      <c r="D4786" s="2">
        <f>50535824/(10^6)</f>
        <v>50.535824</v>
      </c>
      <c r="E4786" s="5" t="s">
        <v>86</v>
      </c>
      <c r="F4786" s="5">
        <v>6.50044298171997</v>
      </c>
      <c r="G4786" s="5">
        <v>16.4350547790527</v>
      </c>
      <c r="H4786" s="5" t="s">
        <v>86</v>
      </c>
      <c r="I4786" t="s">
        <v>57</v>
      </c>
    </row>
    <row r="4787" spans="1:9">
      <c r="A4787" s="4" t="s">
        <v>9624</v>
      </c>
      <c r="B4787" s="4" t="s">
        <v>9625</v>
      </c>
      <c r="C4787" s="4" t="s">
        <v>31</v>
      </c>
      <c r="D4787" s="2">
        <f>50400000/(10^6)</f>
        <v>50.4</v>
      </c>
      <c r="E4787" s="5" t="s">
        <v>86</v>
      </c>
      <c r="F4787" s="5" t="s">
        <v>86</v>
      </c>
      <c r="G4787" s="5" t="s">
        <v>86</v>
      </c>
      <c r="H4787" s="5" t="s">
        <v>86</v>
      </c>
      <c r="I4787" t="s">
        <v>57</v>
      </c>
    </row>
    <row r="4788" spans="1:9">
      <c r="A4788" s="4" t="s">
        <v>9626</v>
      </c>
      <c r="B4788" s="4" t="s">
        <v>9627</v>
      </c>
      <c r="C4788" s="4" t="s">
        <v>43</v>
      </c>
      <c r="D4788" s="2">
        <f>50309080/(10^6)</f>
        <v>50.30908</v>
      </c>
      <c r="E4788" s="5">
        <v>7.83536338806152</v>
      </c>
      <c r="F4788" s="5">
        <v>0.557973027229309</v>
      </c>
      <c r="G4788" s="5">
        <v>2.32815766334534</v>
      </c>
      <c r="H4788" s="5">
        <v>4.78990459442139</v>
      </c>
      <c r="I4788" t="s">
        <v>57</v>
      </c>
    </row>
    <row r="4789" spans="1:9">
      <c r="A4789" s="4" t="s">
        <v>9628</v>
      </c>
      <c r="B4789" s="4" t="s">
        <v>9629</v>
      </c>
      <c r="C4789" s="4" t="s">
        <v>43</v>
      </c>
      <c r="D4789" s="2">
        <f>50078696/(10^6)</f>
        <v>50.078696</v>
      </c>
      <c r="E4789" s="5" t="s">
        <v>86</v>
      </c>
      <c r="F4789" s="5">
        <v>0.88388329744339</v>
      </c>
      <c r="G4789" s="5">
        <v>0.817283630371094</v>
      </c>
      <c r="H4789" s="5">
        <v>13.821307182312</v>
      </c>
      <c r="I4789" t="s">
        <v>57</v>
      </c>
    </row>
    <row r="4790" spans="1:9">
      <c r="A4790" s="4" t="s">
        <v>9630</v>
      </c>
      <c r="B4790" s="4" t="s">
        <v>9631</v>
      </c>
      <c r="C4790" s="4" t="s">
        <v>47</v>
      </c>
      <c r="D4790" s="2">
        <f>50026680/(10^6)</f>
        <v>50.02668</v>
      </c>
      <c r="E4790" s="5" t="s">
        <v>86</v>
      </c>
      <c r="F4790" s="5">
        <v>4.05494165420532</v>
      </c>
      <c r="G4790" s="5">
        <v>0.066160336136818</v>
      </c>
      <c r="H4790" s="5" t="s">
        <v>86</v>
      </c>
      <c r="I4790" t="s">
        <v>57</v>
      </c>
    </row>
    <row r="4791" spans="1:9">
      <c r="A4791" s="4" t="s">
        <v>9632</v>
      </c>
      <c r="B4791" s="4" t="s">
        <v>9633</v>
      </c>
      <c r="C4791" s="4" t="s">
        <v>41</v>
      </c>
      <c r="D4791" s="2">
        <f>49916904/(10^6)</f>
        <v>49.916904</v>
      </c>
      <c r="E4791" s="5" t="s">
        <v>86</v>
      </c>
      <c r="F4791" s="5">
        <v>0.159705325961113</v>
      </c>
      <c r="G4791" s="5">
        <v>0.256809830665588</v>
      </c>
      <c r="H4791" s="5" t="s">
        <v>86</v>
      </c>
      <c r="I4791" t="s">
        <v>57</v>
      </c>
    </row>
    <row r="4792" spans="1:9">
      <c r="A4792" s="4" t="s">
        <v>9634</v>
      </c>
      <c r="B4792" s="4" t="s">
        <v>9635</v>
      </c>
      <c r="C4792" s="4" t="s">
        <v>43</v>
      </c>
      <c r="D4792" s="2">
        <f>49903632/(10^6)</f>
        <v>49.903632</v>
      </c>
      <c r="E4792" s="5">
        <v>1.58904099464417</v>
      </c>
      <c r="F4792" s="5">
        <v>0.323761522769928</v>
      </c>
      <c r="G4792" s="5">
        <v>0.068023696541786</v>
      </c>
      <c r="H4792" s="5">
        <v>3.96944856643677</v>
      </c>
      <c r="I4792" t="s">
        <v>57</v>
      </c>
    </row>
    <row r="4793" spans="1:9">
      <c r="A4793" s="4" t="s">
        <v>9636</v>
      </c>
      <c r="B4793" s="4" t="s">
        <v>9637</v>
      </c>
      <c r="C4793" s="4" t="s">
        <v>43</v>
      </c>
      <c r="D4793" s="2">
        <f>49777380/(10^6)</f>
        <v>49.77738</v>
      </c>
      <c r="E4793" s="5">
        <v>15.5172414779663</v>
      </c>
      <c r="F4793" s="5">
        <v>12.3040542602539</v>
      </c>
      <c r="G4793" s="5">
        <v>3.09524726867676</v>
      </c>
      <c r="H4793" s="5">
        <v>8.12215042114258</v>
      </c>
      <c r="I4793" t="s">
        <v>57</v>
      </c>
    </row>
    <row r="4794" spans="1:9">
      <c r="A4794" s="4" t="s">
        <v>9638</v>
      </c>
      <c r="B4794" s="4" t="s">
        <v>9639</v>
      </c>
      <c r="C4794" s="4" t="s">
        <v>43</v>
      </c>
      <c r="D4794" s="2">
        <f>49777380/(10^6)</f>
        <v>49.77738</v>
      </c>
      <c r="E4794" s="5">
        <v>15.5172414779663</v>
      </c>
      <c r="F4794" s="5">
        <v>12.3040542602539</v>
      </c>
      <c r="G4794" s="5">
        <v>3.09524726867676</v>
      </c>
      <c r="H4794" s="5">
        <v>8.12215042114258</v>
      </c>
      <c r="I4794" t="s">
        <v>57</v>
      </c>
    </row>
    <row r="4795" spans="1:9">
      <c r="A4795" s="4" t="s">
        <v>9640</v>
      </c>
      <c r="B4795" s="4" t="s">
        <v>9641</v>
      </c>
      <c r="C4795" s="4" t="s">
        <v>27</v>
      </c>
      <c r="D4795" s="2">
        <f>49755812/(10^6)</f>
        <v>49.755812</v>
      </c>
      <c r="E4795" s="5">
        <v>12.9105272293091</v>
      </c>
      <c r="F4795" s="5">
        <v>0.591150999069214</v>
      </c>
      <c r="G4795" s="5">
        <v>0.41028293967247</v>
      </c>
      <c r="H4795" s="5">
        <v>2.40980410575867</v>
      </c>
      <c r="I4795" t="s">
        <v>57</v>
      </c>
    </row>
    <row r="4796" spans="1:9">
      <c r="A4796" s="4" t="s">
        <v>9642</v>
      </c>
      <c r="B4796" s="4" t="s">
        <v>9643</v>
      </c>
      <c r="C4796" s="4" t="s">
        <v>47</v>
      </c>
      <c r="D4796" s="2">
        <f>49741740/(10^6)</f>
        <v>49.74174</v>
      </c>
      <c r="E4796" s="5" t="s">
        <v>86</v>
      </c>
      <c r="F4796" s="5">
        <v>4.93158388137817</v>
      </c>
      <c r="G4796" s="5">
        <v>16.5390510559082</v>
      </c>
      <c r="H4796" s="5" t="s">
        <v>86</v>
      </c>
      <c r="I4796" t="s">
        <v>57</v>
      </c>
    </row>
    <row r="4797" spans="1:9">
      <c r="A4797" s="4" t="s">
        <v>9644</v>
      </c>
      <c r="B4797" s="4" t="s">
        <v>9645</v>
      </c>
      <c r="C4797" s="4" t="s">
        <v>43</v>
      </c>
      <c r="D4797" s="2">
        <f>49730288/(10^6)</f>
        <v>49.730288</v>
      </c>
      <c r="E4797" s="5">
        <v>46.0511779785156</v>
      </c>
      <c r="F4797" s="5">
        <v>1.84410309791565</v>
      </c>
      <c r="G4797" s="5">
        <v>2.06342005729675</v>
      </c>
      <c r="H4797" s="5" t="s">
        <v>86</v>
      </c>
      <c r="I4797" t="s">
        <v>57</v>
      </c>
    </row>
    <row r="4798" spans="1:9">
      <c r="A4798" s="4" t="s">
        <v>9646</v>
      </c>
      <c r="B4798" s="4" t="s">
        <v>9647</v>
      </c>
      <c r="C4798" s="4" t="s">
        <v>43</v>
      </c>
      <c r="D4798" s="2">
        <f>49530724/(10^6)</f>
        <v>49.530724</v>
      </c>
      <c r="E4798" s="5">
        <v>29.470588684082</v>
      </c>
      <c r="F4798" s="5">
        <v>0.520701885223389</v>
      </c>
      <c r="G4798" s="5">
        <v>1.81464445590973</v>
      </c>
      <c r="H4798" s="5" t="s">
        <v>86</v>
      </c>
      <c r="I4798" t="s">
        <v>57</v>
      </c>
    </row>
    <row r="4799" spans="1:9">
      <c r="A4799" s="4" t="s">
        <v>9648</v>
      </c>
      <c r="B4799" s="4" t="s">
        <v>9649</v>
      </c>
      <c r="C4799" s="4" t="s">
        <v>35</v>
      </c>
      <c r="D4799" s="2">
        <f>49529860/(10^6)</f>
        <v>49.52986</v>
      </c>
      <c r="E4799" s="5" t="s">
        <v>86</v>
      </c>
      <c r="F4799" s="5">
        <v>24.4372997283936</v>
      </c>
      <c r="G4799" s="5">
        <v>10.2916879653931</v>
      </c>
      <c r="H4799" s="5" t="s">
        <v>86</v>
      </c>
      <c r="I4799" t="s">
        <v>57</v>
      </c>
    </row>
    <row r="4800" spans="1:9">
      <c r="A4800" s="4" t="s">
        <v>9650</v>
      </c>
      <c r="B4800" s="4" t="s">
        <v>9651</v>
      </c>
      <c r="C4800" s="4" t="s">
        <v>31</v>
      </c>
      <c r="D4800" s="2">
        <f>49184432/(10^6)</f>
        <v>49.184432</v>
      </c>
      <c r="E4800" s="5">
        <v>2.49206352233887</v>
      </c>
      <c r="F4800" s="5">
        <v>0.375776827335358</v>
      </c>
      <c r="G4800" s="5">
        <v>0.053290005773306</v>
      </c>
      <c r="H4800" s="5">
        <v>2.99738907814026</v>
      </c>
      <c r="I4800" t="s">
        <v>57</v>
      </c>
    </row>
    <row r="4801" spans="1:9">
      <c r="A4801" s="4" t="s">
        <v>9652</v>
      </c>
      <c r="B4801" s="4" t="s">
        <v>9653</v>
      </c>
      <c r="C4801" s="4" t="s">
        <v>27</v>
      </c>
      <c r="D4801" s="2">
        <f>49178424/(10^6)</f>
        <v>49.178424</v>
      </c>
      <c r="E4801" s="5" t="s">
        <v>86</v>
      </c>
      <c r="F4801" s="5" t="s">
        <v>86</v>
      </c>
      <c r="G4801" s="5">
        <v>0.23736347258091</v>
      </c>
      <c r="H4801" s="5" t="s">
        <v>86</v>
      </c>
      <c r="I4801" t="s">
        <v>57</v>
      </c>
    </row>
    <row r="4802" spans="1:9">
      <c r="A4802" s="4" t="s">
        <v>9654</v>
      </c>
      <c r="B4802" s="4" t="s">
        <v>9655</v>
      </c>
      <c r="C4802" s="4" t="s">
        <v>41</v>
      </c>
      <c r="D4802" s="2">
        <f>49046484/(10^6)</f>
        <v>49.046484</v>
      </c>
      <c r="E4802" s="5">
        <v>19.6430988311768</v>
      </c>
      <c r="F4802" s="5" t="s">
        <v>86</v>
      </c>
      <c r="G4802" s="5">
        <v>1.59245026111603</v>
      </c>
      <c r="H4802" s="5">
        <v>9.25281620025635</v>
      </c>
      <c r="I4802" t="s">
        <v>57</v>
      </c>
    </row>
    <row r="4803" spans="1:9">
      <c r="A4803" s="4" t="s">
        <v>9656</v>
      </c>
      <c r="B4803" s="4" t="s">
        <v>9657</v>
      </c>
      <c r="C4803" s="4" t="s">
        <v>31</v>
      </c>
      <c r="D4803" s="2">
        <f>48946496/(10^6)</f>
        <v>48.946496</v>
      </c>
      <c r="E4803" s="5" t="s">
        <v>86</v>
      </c>
      <c r="F4803" s="5" t="s">
        <v>86</v>
      </c>
      <c r="G4803" s="5" t="s">
        <v>86</v>
      </c>
      <c r="H4803" s="5" t="s">
        <v>86</v>
      </c>
      <c r="I4803" t="s">
        <v>57</v>
      </c>
    </row>
    <row r="4804" spans="1:9">
      <c r="A4804" s="4" t="s">
        <v>9658</v>
      </c>
      <c r="B4804" s="4" t="s">
        <v>9659</v>
      </c>
      <c r="C4804" s="4" t="s">
        <v>43</v>
      </c>
      <c r="D4804" s="2">
        <f>48922296/(10^6)</f>
        <v>48.922296</v>
      </c>
      <c r="E4804" s="5">
        <v>5.98929691314697</v>
      </c>
      <c r="F4804" s="5">
        <v>0.777482330799103</v>
      </c>
      <c r="G4804" s="5">
        <v>2.57187986373901</v>
      </c>
      <c r="H4804" s="5" t="s">
        <v>86</v>
      </c>
      <c r="I4804" t="s">
        <v>57</v>
      </c>
    </row>
    <row r="4805" spans="1:9">
      <c r="A4805" s="4" t="s">
        <v>9660</v>
      </c>
      <c r="B4805" s="4" t="s">
        <v>9661</v>
      </c>
      <c r="C4805" s="4" t="s">
        <v>41</v>
      </c>
      <c r="D4805" s="2">
        <f>48817088/(10^6)</f>
        <v>48.817088</v>
      </c>
      <c r="E4805" s="5" t="s">
        <v>86</v>
      </c>
      <c r="F4805" s="5">
        <v>2.93911099433899</v>
      </c>
      <c r="G4805" s="5">
        <v>0.564449608325958</v>
      </c>
      <c r="H4805" s="5" t="s">
        <v>86</v>
      </c>
      <c r="I4805" t="s">
        <v>57</v>
      </c>
    </row>
    <row r="4806" spans="1:9">
      <c r="A4806" s="4" t="s">
        <v>9662</v>
      </c>
      <c r="B4806" s="4" t="s">
        <v>9663</v>
      </c>
      <c r="C4806" s="4" t="s">
        <v>41</v>
      </c>
      <c r="D4806" s="2">
        <f>48737068/(10^6)</f>
        <v>48.737068</v>
      </c>
      <c r="E4806" s="5" t="s">
        <v>86</v>
      </c>
      <c r="F4806" s="5">
        <v>4.15115451812744</v>
      </c>
      <c r="G4806" s="5" t="s">
        <v>86</v>
      </c>
      <c r="H4806" s="5" t="s">
        <v>86</v>
      </c>
      <c r="I4806" t="s">
        <v>57</v>
      </c>
    </row>
    <row r="4807" spans="1:9">
      <c r="A4807" s="4" t="s">
        <v>9664</v>
      </c>
      <c r="B4807" s="4" t="s">
        <v>9665</v>
      </c>
      <c r="C4807" s="4" t="s">
        <v>31</v>
      </c>
      <c r="D4807" s="2">
        <f>48583908/(10^6)</f>
        <v>48.583908</v>
      </c>
      <c r="E4807" s="5" t="s">
        <v>86</v>
      </c>
      <c r="F4807" s="5">
        <v>0.925732553005219</v>
      </c>
      <c r="G4807" s="5">
        <v>0.087120093405247</v>
      </c>
      <c r="H4807" s="5">
        <v>84.6190643310547</v>
      </c>
      <c r="I4807" t="s">
        <v>57</v>
      </c>
    </row>
    <row r="4808" spans="1:9">
      <c r="A4808" s="4" t="s">
        <v>9666</v>
      </c>
      <c r="B4808" s="4" t="s">
        <v>9667</v>
      </c>
      <c r="C4808" s="4" t="s">
        <v>47</v>
      </c>
      <c r="D4808" s="2">
        <f>48376156/(10^6)</f>
        <v>48.376156</v>
      </c>
      <c r="E4808" s="5">
        <v>1.94147109985352</v>
      </c>
      <c r="F4808" s="5">
        <v>1.40876770019531</v>
      </c>
      <c r="G4808" s="5">
        <v>0.399003118276596</v>
      </c>
      <c r="H4808" s="5">
        <v>12.2771587371826</v>
      </c>
      <c r="I4808" t="s">
        <v>57</v>
      </c>
    </row>
    <row r="4809" spans="1:9">
      <c r="A4809" s="4" t="s">
        <v>9668</v>
      </c>
      <c r="B4809" s="4" t="s">
        <v>9669</v>
      </c>
      <c r="C4809" s="4" t="s">
        <v>43</v>
      </c>
      <c r="D4809" s="2">
        <f>48343532/(10^6)</f>
        <v>48.343532</v>
      </c>
      <c r="E4809" s="5">
        <v>8.11428546905518</v>
      </c>
      <c r="F4809" s="5">
        <v>0.505156695842743</v>
      </c>
      <c r="G4809" s="5">
        <v>0.763856053352356</v>
      </c>
      <c r="H4809" s="5" t="s">
        <v>86</v>
      </c>
      <c r="I4809" t="s">
        <v>57</v>
      </c>
    </row>
    <row r="4810" spans="1:9">
      <c r="A4810" s="4" t="s">
        <v>9670</v>
      </c>
      <c r="B4810" s="4" t="s">
        <v>9671</v>
      </c>
      <c r="C4810" s="4" t="s">
        <v>47</v>
      </c>
      <c r="D4810" s="2">
        <f>48292332/(10^6)</f>
        <v>48.292332</v>
      </c>
      <c r="E4810" s="5">
        <v>7.56258630752563</v>
      </c>
      <c r="F4810" s="5">
        <v>1.16190671920776</v>
      </c>
      <c r="G4810" s="5">
        <v>0.643556773662567</v>
      </c>
      <c r="H4810" s="5">
        <v>4.61347389221191</v>
      </c>
      <c r="I4810" t="s">
        <v>57</v>
      </c>
    </row>
    <row r="4811" spans="1:9">
      <c r="A4811" s="4" t="s">
        <v>9672</v>
      </c>
      <c r="B4811" s="4" t="s">
        <v>9673</v>
      </c>
      <c r="C4811" s="4" t="s">
        <v>43</v>
      </c>
      <c r="D4811" s="2">
        <f>48097996/(10^6)</f>
        <v>48.097996</v>
      </c>
      <c r="E4811" s="5">
        <v>7.51066017150879</v>
      </c>
      <c r="F4811" s="5">
        <v>0.714157342910767</v>
      </c>
      <c r="G4811" s="5">
        <v>1.47921288013458</v>
      </c>
      <c r="H4811" s="5" t="s">
        <v>86</v>
      </c>
      <c r="I4811" t="s">
        <v>57</v>
      </c>
    </row>
    <row r="4812" spans="1:9">
      <c r="A4812" s="4" t="s">
        <v>9674</v>
      </c>
      <c r="B4812" s="4" t="s">
        <v>9675</v>
      </c>
      <c r="C4812" s="4" t="s">
        <v>47</v>
      </c>
      <c r="D4812" s="2">
        <f>48065664/(10^6)</f>
        <v>48.065664</v>
      </c>
      <c r="E4812" s="5">
        <v>13.8070983886719</v>
      </c>
      <c r="F4812" s="5">
        <v>0.749762713909149</v>
      </c>
      <c r="G4812" s="5">
        <v>1.03135395050049</v>
      </c>
      <c r="H4812" s="5">
        <v>3.28670477867127</v>
      </c>
      <c r="I4812" t="s">
        <v>57</v>
      </c>
    </row>
    <row r="4813" spans="1:9">
      <c r="A4813" s="4" t="s">
        <v>9676</v>
      </c>
      <c r="B4813" s="4" t="s">
        <v>9677</v>
      </c>
      <c r="C4813" s="4" t="s">
        <v>35</v>
      </c>
      <c r="D4813" s="2">
        <f>47977392/(10^6)</f>
        <v>47.977392</v>
      </c>
      <c r="E4813" s="5" t="s">
        <v>86</v>
      </c>
      <c r="F4813" s="5" t="s">
        <v>86</v>
      </c>
      <c r="G4813" s="5" t="s">
        <v>86</v>
      </c>
      <c r="H4813" s="5" t="s">
        <v>86</v>
      </c>
      <c r="I4813" t="s">
        <v>57</v>
      </c>
    </row>
    <row r="4814" spans="1:9">
      <c r="A4814" s="4" t="s">
        <v>9678</v>
      </c>
      <c r="B4814" s="4" t="s">
        <v>9679</v>
      </c>
      <c r="C4814" s="4" t="s">
        <v>31</v>
      </c>
      <c r="D4814" s="2">
        <f>47872400/(10^6)</f>
        <v>47.8724</v>
      </c>
      <c r="E4814" s="5" t="s">
        <v>86</v>
      </c>
      <c r="F4814" s="5" t="s">
        <v>86</v>
      </c>
      <c r="G4814" s="5">
        <v>0.030998224392533</v>
      </c>
      <c r="H4814" s="5">
        <v>2.25019574165344</v>
      </c>
      <c r="I4814" t="s">
        <v>57</v>
      </c>
    </row>
    <row r="4815" spans="1:9">
      <c r="A4815" s="4" t="s">
        <v>9680</v>
      </c>
      <c r="B4815" s="4" t="s">
        <v>9681</v>
      </c>
      <c r="C4815" s="4" t="s">
        <v>51</v>
      </c>
      <c r="D4815" s="2">
        <f>47867384/(10^6)</f>
        <v>47.867384</v>
      </c>
      <c r="E4815" s="5" t="s">
        <v>86</v>
      </c>
      <c r="F4815" s="5">
        <v>0.490755826234818</v>
      </c>
      <c r="G4815" s="5">
        <v>0.084772914648056</v>
      </c>
      <c r="H4815" s="5" t="s">
        <v>86</v>
      </c>
      <c r="I4815" t="s">
        <v>57</v>
      </c>
    </row>
    <row r="4816" spans="1:9">
      <c r="A4816" s="4" t="s">
        <v>9682</v>
      </c>
      <c r="B4816" s="4" t="s">
        <v>9683</v>
      </c>
      <c r="C4816" s="4" t="s">
        <v>47</v>
      </c>
      <c r="D4816" s="2">
        <f>47721896/(10^6)</f>
        <v>47.721896</v>
      </c>
      <c r="E4816" s="5">
        <v>13.9081020355225</v>
      </c>
      <c r="F4816" s="5" t="s">
        <v>86</v>
      </c>
      <c r="G4816" s="5">
        <v>0.790045261383057</v>
      </c>
      <c r="H4816" s="5">
        <v>11.2654209136963</v>
      </c>
      <c r="I4816" t="s">
        <v>57</v>
      </c>
    </row>
    <row r="4817" spans="1:9">
      <c r="A4817" s="4" t="s">
        <v>9684</v>
      </c>
      <c r="B4817" s="4" t="s">
        <v>9685</v>
      </c>
      <c r="C4817" s="4" t="s">
        <v>31</v>
      </c>
      <c r="D4817" s="2">
        <f>47572988/(10^6)</f>
        <v>47.572988</v>
      </c>
      <c r="E4817" s="5" t="s">
        <v>86</v>
      </c>
      <c r="F4817" s="5" t="s">
        <v>86</v>
      </c>
      <c r="G4817" s="5" t="s">
        <v>86</v>
      </c>
      <c r="H4817" s="5" t="s">
        <v>86</v>
      </c>
      <c r="I4817" t="s">
        <v>57</v>
      </c>
    </row>
    <row r="4818" spans="1:9">
      <c r="A4818" s="4" t="s">
        <v>9686</v>
      </c>
      <c r="B4818" s="4" t="s">
        <v>9687</v>
      </c>
      <c r="C4818" s="4" t="s">
        <v>51</v>
      </c>
      <c r="D4818" s="2">
        <f>47496440/(10^6)</f>
        <v>47.49644</v>
      </c>
      <c r="E4818" s="5" t="s">
        <v>86</v>
      </c>
      <c r="F4818" s="5">
        <v>1.01223433017731</v>
      </c>
      <c r="G4818" s="5">
        <v>0.161401078104973</v>
      </c>
      <c r="H4818" s="5">
        <v>5.59093475341797</v>
      </c>
      <c r="I4818" t="s">
        <v>57</v>
      </c>
    </row>
    <row r="4819" spans="1:9">
      <c r="A4819" s="4" t="s">
        <v>9688</v>
      </c>
      <c r="B4819" s="4" t="s">
        <v>9689</v>
      </c>
      <c r="C4819" s="4" t="s">
        <v>51</v>
      </c>
      <c r="D4819" s="2">
        <f>47460252/(10^6)</f>
        <v>47.460252</v>
      </c>
      <c r="E4819" s="5" t="s">
        <v>86</v>
      </c>
      <c r="F4819" s="5" t="s">
        <v>86</v>
      </c>
      <c r="G4819" s="5">
        <v>1.60840976238251</v>
      </c>
      <c r="H4819" s="5" t="s">
        <v>86</v>
      </c>
      <c r="I4819" t="s">
        <v>57</v>
      </c>
    </row>
    <row r="4820" spans="1:9">
      <c r="A4820" s="4" t="s">
        <v>9690</v>
      </c>
      <c r="B4820" s="4" t="s">
        <v>9691</v>
      </c>
      <c r="C4820" s="4" t="s">
        <v>39</v>
      </c>
      <c r="D4820" s="2">
        <f>47415724/(10^6)</f>
        <v>47.415724</v>
      </c>
      <c r="E4820" s="5">
        <v>20.8138618469238</v>
      </c>
      <c r="F4820" s="5">
        <v>1.37311255931854</v>
      </c>
      <c r="G4820" s="5">
        <v>1.37654221057892</v>
      </c>
      <c r="H4820" s="5">
        <v>10.9849300384521</v>
      </c>
      <c r="I4820" t="s">
        <v>57</v>
      </c>
    </row>
    <row r="4821" spans="1:9">
      <c r="A4821" s="4" t="s">
        <v>9692</v>
      </c>
      <c r="B4821" s="4" t="s">
        <v>9693</v>
      </c>
      <c r="C4821" s="4" t="s">
        <v>27</v>
      </c>
      <c r="D4821" s="2">
        <f>47404504/(10^6)</f>
        <v>47.404504</v>
      </c>
      <c r="E4821" s="5" t="s">
        <v>86</v>
      </c>
      <c r="F4821" s="5">
        <v>0.309888333082199</v>
      </c>
      <c r="G4821" s="5">
        <v>0.155644953250885</v>
      </c>
      <c r="H4821" s="5" t="s">
        <v>86</v>
      </c>
      <c r="I4821" t="s">
        <v>57</v>
      </c>
    </row>
    <row r="4822" spans="1:9">
      <c r="A4822" s="4" t="s">
        <v>9694</v>
      </c>
      <c r="B4822" s="4" t="s">
        <v>9695</v>
      </c>
      <c r="C4822" s="4" t="s">
        <v>31</v>
      </c>
      <c r="D4822" s="2">
        <f>47344456/(10^6)</f>
        <v>47.344456</v>
      </c>
      <c r="E4822" s="5">
        <v>15.5014009475708</v>
      </c>
      <c r="F4822" s="5">
        <v>0.592471659183502</v>
      </c>
      <c r="G4822" s="5">
        <v>1.05275213718414</v>
      </c>
      <c r="H4822" s="5">
        <v>10.3327960968018</v>
      </c>
      <c r="I4822" t="s">
        <v>57</v>
      </c>
    </row>
    <row r="4823" spans="1:9">
      <c r="A4823" s="4" t="s">
        <v>9696</v>
      </c>
      <c r="B4823" s="4" t="s">
        <v>9697</v>
      </c>
      <c r="C4823" s="4" t="s">
        <v>43</v>
      </c>
      <c r="D4823" s="2">
        <f>47291264/(10^6)</f>
        <v>47.291264</v>
      </c>
      <c r="E4823" s="5">
        <v>6.99588489532471</v>
      </c>
      <c r="F4823" s="5">
        <v>0.914038002490997</v>
      </c>
      <c r="G4823" s="5">
        <v>2.01154971122742</v>
      </c>
      <c r="H4823" s="5" t="s">
        <v>86</v>
      </c>
      <c r="I4823" t="s">
        <v>57</v>
      </c>
    </row>
    <row r="4824" spans="1:9">
      <c r="A4824" s="4" t="s">
        <v>9698</v>
      </c>
      <c r="B4824" s="4" t="s">
        <v>9699</v>
      </c>
      <c r="C4824" s="4" t="s">
        <v>47</v>
      </c>
      <c r="D4824" s="2">
        <f>47262244/(10^6)</f>
        <v>47.262244</v>
      </c>
      <c r="E4824" s="5">
        <v>7.28232336044312</v>
      </c>
      <c r="F4824" s="5">
        <v>1.11108100414276</v>
      </c>
      <c r="G4824" s="5">
        <v>0.284641206264496</v>
      </c>
      <c r="H4824" s="5">
        <v>9.85005283355713</v>
      </c>
      <c r="I4824" t="s">
        <v>57</v>
      </c>
    </row>
    <row r="4825" spans="1:9">
      <c r="A4825" s="4" t="s">
        <v>9700</v>
      </c>
      <c r="B4825" s="4" t="s">
        <v>9701</v>
      </c>
      <c r="C4825" s="4" t="s">
        <v>43</v>
      </c>
      <c r="D4825" s="2">
        <f>47214844/(10^6)</f>
        <v>47.214844</v>
      </c>
      <c r="E4825" s="5">
        <v>13.0045289993286</v>
      </c>
      <c r="F4825" s="5">
        <v>0.58313661813736</v>
      </c>
      <c r="G4825" s="5">
        <v>0.949873268604279</v>
      </c>
      <c r="H4825" s="5" t="s">
        <v>86</v>
      </c>
      <c r="I4825" t="s">
        <v>57</v>
      </c>
    </row>
    <row r="4826" spans="1:9">
      <c r="A4826" s="4" t="s">
        <v>9702</v>
      </c>
      <c r="B4826" s="4" t="s">
        <v>9703</v>
      </c>
      <c r="C4826" s="4" t="s">
        <v>49</v>
      </c>
      <c r="D4826" s="2">
        <f>47079068/(10^6)</f>
        <v>47.079068</v>
      </c>
      <c r="E4826" s="5" t="s">
        <v>86</v>
      </c>
      <c r="F4826" s="5" t="s">
        <v>86</v>
      </c>
      <c r="G4826" s="5" t="s">
        <v>86</v>
      </c>
      <c r="H4826" s="5" t="s">
        <v>86</v>
      </c>
      <c r="I4826" t="s">
        <v>57</v>
      </c>
    </row>
    <row r="4827" spans="1:9">
      <c r="A4827" s="4" t="s">
        <v>9704</v>
      </c>
      <c r="B4827" s="4" t="s">
        <v>9705</v>
      </c>
      <c r="C4827" s="4" t="s">
        <v>47</v>
      </c>
      <c r="D4827" s="2">
        <f>47070088/(10^6)</f>
        <v>47.070088</v>
      </c>
      <c r="E4827" s="5">
        <v>11.3808708190918</v>
      </c>
      <c r="F4827" s="5">
        <v>0.61373895406723</v>
      </c>
      <c r="G4827" s="5">
        <v>0.161569103598595</v>
      </c>
      <c r="H4827" s="5">
        <v>6.19813346862793</v>
      </c>
      <c r="I4827" t="s">
        <v>57</v>
      </c>
    </row>
    <row r="4828" spans="1:9">
      <c r="A4828" s="4" t="s">
        <v>9706</v>
      </c>
      <c r="B4828" s="4" t="s">
        <v>9707</v>
      </c>
      <c r="C4828" s="4" t="s">
        <v>43</v>
      </c>
      <c r="D4828" s="2">
        <f>46954196/(10^6)</f>
        <v>46.954196</v>
      </c>
      <c r="E4828" s="5" t="s">
        <v>86</v>
      </c>
      <c r="F4828" s="5" t="s">
        <v>86</v>
      </c>
      <c r="G4828" s="5" t="s">
        <v>86</v>
      </c>
      <c r="H4828" s="5" t="s">
        <v>86</v>
      </c>
      <c r="I4828" t="s">
        <v>57</v>
      </c>
    </row>
    <row r="4829" spans="1:9">
      <c r="A4829" s="4" t="s">
        <v>9708</v>
      </c>
      <c r="B4829" s="4" t="s">
        <v>9709</v>
      </c>
      <c r="C4829" s="4" t="s">
        <v>41</v>
      </c>
      <c r="D4829" s="2">
        <f>46927568/(10^6)</f>
        <v>46.927568</v>
      </c>
      <c r="E4829" s="5" t="s">
        <v>86</v>
      </c>
      <c r="F4829" s="5">
        <v>0.670539557933807</v>
      </c>
      <c r="G4829" s="5">
        <v>3.59282207489014</v>
      </c>
      <c r="H4829" s="5" t="s">
        <v>86</v>
      </c>
      <c r="I4829" t="s">
        <v>57</v>
      </c>
    </row>
    <row r="4830" spans="1:9">
      <c r="A4830" s="4" t="s">
        <v>9710</v>
      </c>
      <c r="B4830" s="4" t="s">
        <v>9711</v>
      </c>
      <c r="C4830" s="4" t="s">
        <v>43</v>
      </c>
      <c r="D4830" s="2">
        <f>46830012/(10^6)</f>
        <v>46.830012</v>
      </c>
      <c r="E4830" s="5" t="s">
        <v>86</v>
      </c>
      <c r="F4830" s="5" t="s">
        <v>86</v>
      </c>
      <c r="G4830" s="5" t="s">
        <v>86</v>
      </c>
      <c r="H4830" s="5" t="s">
        <v>86</v>
      </c>
      <c r="I4830" t="s">
        <v>57</v>
      </c>
    </row>
    <row r="4831" spans="1:9">
      <c r="A4831" s="4" t="s">
        <v>9712</v>
      </c>
      <c r="B4831" s="4" t="s">
        <v>9713</v>
      </c>
      <c r="C4831" s="4" t="s">
        <v>41</v>
      </c>
      <c r="D4831" s="2">
        <f>46785060/(10^6)</f>
        <v>46.78506</v>
      </c>
      <c r="E4831" s="5" t="s">
        <v>86</v>
      </c>
      <c r="F4831" s="5">
        <v>2.96595501899719</v>
      </c>
      <c r="G4831" s="5">
        <v>22.5588130950928</v>
      </c>
      <c r="H4831" s="5" t="s">
        <v>86</v>
      </c>
      <c r="I4831" t="s">
        <v>57</v>
      </c>
    </row>
    <row r="4832" spans="1:9">
      <c r="A4832" s="4" t="s">
        <v>9714</v>
      </c>
      <c r="B4832" s="4" t="s">
        <v>9715</v>
      </c>
      <c r="C4832" s="4" t="s">
        <v>51</v>
      </c>
      <c r="D4832" s="2">
        <f>46760304/(10^6)</f>
        <v>46.760304</v>
      </c>
      <c r="E4832" s="5">
        <v>12.1428575515747</v>
      </c>
      <c r="F4832" s="5">
        <v>61.0643157958984</v>
      </c>
      <c r="G4832" s="5">
        <v>3.36423492431641</v>
      </c>
      <c r="H4832" s="5">
        <v>9.34464454650879</v>
      </c>
      <c r="I4832" t="s">
        <v>57</v>
      </c>
    </row>
    <row r="4833" spans="1:9">
      <c r="A4833" s="4" t="s">
        <v>9716</v>
      </c>
      <c r="B4833" s="4" t="s">
        <v>9717</v>
      </c>
      <c r="C4833" s="4" t="s">
        <v>49</v>
      </c>
      <c r="D4833" s="2">
        <f>46747604/(10^6)</f>
        <v>46.747604</v>
      </c>
      <c r="E4833" s="5" t="s">
        <v>86</v>
      </c>
      <c r="F4833" s="5">
        <v>70.1980209350586</v>
      </c>
      <c r="G4833" s="5" t="s">
        <v>86</v>
      </c>
      <c r="H4833" s="5" t="s">
        <v>86</v>
      </c>
      <c r="I4833" t="s">
        <v>57</v>
      </c>
    </row>
    <row r="4834" spans="1:9">
      <c r="A4834" s="4" t="s">
        <v>9718</v>
      </c>
      <c r="B4834" s="4" t="s">
        <v>9719</v>
      </c>
      <c r="C4834" s="4" t="s">
        <v>51</v>
      </c>
      <c r="D4834" s="2">
        <f>46630084/(10^6)</f>
        <v>46.630084</v>
      </c>
      <c r="E4834" s="5" t="s">
        <v>86</v>
      </c>
      <c r="F4834" s="5">
        <v>0.383221536874771</v>
      </c>
      <c r="G4834" s="5">
        <v>0.287598997354507</v>
      </c>
      <c r="H4834" s="5" t="s">
        <v>86</v>
      </c>
      <c r="I4834" t="s">
        <v>57</v>
      </c>
    </row>
    <row r="4835" spans="1:9">
      <c r="A4835" s="4" t="s">
        <v>9720</v>
      </c>
      <c r="B4835" s="4" t="s">
        <v>9721</v>
      </c>
      <c r="C4835" s="4" t="s">
        <v>43</v>
      </c>
      <c r="D4835" s="2">
        <f>46516920/(10^6)</f>
        <v>46.51692</v>
      </c>
      <c r="E4835" s="5">
        <v>27.1276588439941</v>
      </c>
      <c r="F4835" s="5">
        <v>2.36329460144043</v>
      </c>
      <c r="G4835" s="5">
        <v>5.52279424667358</v>
      </c>
      <c r="H4835" s="5" t="s">
        <v>86</v>
      </c>
      <c r="I4835" t="s">
        <v>57</v>
      </c>
    </row>
    <row r="4836" spans="1:9">
      <c r="A4836" s="4" t="s">
        <v>9722</v>
      </c>
      <c r="B4836" s="4" t="s">
        <v>9723</v>
      </c>
      <c r="C4836" s="4" t="s">
        <v>47</v>
      </c>
      <c r="D4836" s="2">
        <f>46397128/(10^6)</f>
        <v>46.397128</v>
      </c>
      <c r="E4836" s="5">
        <v>19.1095657348633</v>
      </c>
      <c r="F4836" s="5">
        <v>1.99327564239502</v>
      </c>
      <c r="G4836" s="5">
        <v>1.93816578388214</v>
      </c>
      <c r="H4836" s="5" t="s">
        <v>86</v>
      </c>
      <c r="I4836" t="s">
        <v>57</v>
      </c>
    </row>
    <row r="4837" spans="1:9">
      <c r="A4837" s="4" t="s">
        <v>9724</v>
      </c>
      <c r="B4837" s="4" t="s">
        <v>9725</v>
      </c>
      <c r="C4837" s="4" t="s">
        <v>43</v>
      </c>
      <c r="D4837" s="2">
        <f>46240940/(10^6)</f>
        <v>46.24094</v>
      </c>
      <c r="E4837" s="5">
        <v>13.7931032180786</v>
      </c>
      <c r="F4837" s="5">
        <v>1.09438240528107</v>
      </c>
      <c r="G4837" s="5">
        <v>2.59836769104004</v>
      </c>
      <c r="H4837" s="5" t="s">
        <v>86</v>
      </c>
      <c r="I4837" t="s">
        <v>57</v>
      </c>
    </row>
    <row r="4838" spans="1:9">
      <c r="A4838" s="4" t="s">
        <v>9726</v>
      </c>
      <c r="B4838" s="4" t="s">
        <v>9727</v>
      </c>
      <c r="C4838" s="4" t="s">
        <v>39</v>
      </c>
      <c r="D4838" s="2">
        <f>46203716/(10^6)</f>
        <v>46.203716</v>
      </c>
      <c r="E4838" s="5" t="s">
        <v>86</v>
      </c>
      <c r="F4838" s="5" t="s">
        <v>86</v>
      </c>
      <c r="G4838" s="5" t="s">
        <v>86</v>
      </c>
      <c r="H4838" s="5" t="s">
        <v>86</v>
      </c>
      <c r="I4838" t="s">
        <v>57</v>
      </c>
    </row>
    <row r="4839" spans="1:9">
      <c r="A4839" s="4" t="s">
        <v>9728</v>
      </c>
      <c r="B4839" s="4" t="s">
        <v>9729</v>
      </c>
      <c r="C4839" s="4" t="s">
        <v>41</v>
      </c>
      <c r="D4839" s="2">
        <f>46160708/(10^6)</f>
        <v>46.160708</v>
      </c>
      <c r="E4839" s="5" t="s">
        <v>86</v>
      </c>
      <c r="F4839" s="5">
        <v>1.09097707271576</v>
      </c>
      <c r="G4839" s="5" t="s">
        <v>86</v>
      </c>
      <c r="H4839" s="5" t="s">
        <v>86</v>
      </c>
      <c r="I4839" t="s">
        <v>57</v>
      </c>
    </row>
    <row r="4840" spans="1:9">
      <c r="A4840" s="4" t="s">
        <v>9730</v>
      </c>
      <c r="B4840" s="4" t="s">
        <v>9731</v>
      </c>
      <c r="C4840" s="4" t="s">
        <v>43</v>
      </c>
      <c r="D4840" s="2">
        <f>46160448/(10^6)</f>
        <v>46.160448</v>
      </c>
      <c r="E4840" s="5">
        <v>11.5022220611572</v>
      </c>
      <c r="F4840" s="5">
        <v>0.955718398094177</v>
      </c>
      <c r="G4840" s="5">
        <v>1.90904223918915</v>
      </c>
      <c r="H4840" s="5" t="s">
        <v>86</v>
      </c>
      <c r="I4840" t="s">
        <v>57</v>
      </c>
    </row>
    <row r="4841" spans="1:9">
      <c r="A4841" s="4" t="s">
        <v>9732</v>
      </c>
      <c r="B4841" s="4" t="s">
        <v>9733</v>
      </c>
      <c r="C4841" s="4" t="s">
        <v>41</v>
      </c>
      <c r="D4841" s="2">
        <f>46097664/(10^6)</f>
        <v>46.097664</v>
      </c>
      <c r="E4841" s="5" t="s">
        <v>86</v>
      </c>
      <c r="F4841" s="5">
        <v>1.32346642017365</v>
      </c>
      <c r="G4841" s="5">
        <v>53.8287887573242</v>
      </c>
      <c r="H4841" s="5" t="s">
        <v>86</v>
      </c>
      <c r="I4841" t="s">
        <v>57</v>
      </c>
    </row>
    <row r="4842" spans="1:9">
      <c r="A4842" s="4" t="s">
        <v>9734</v>
      </c>
      <c r="B4842" s="4" t="s">
        <v>9735</v>
      </c>
      <c r="C4842" s="4" t="s">
        <v>41</v>
      </c>
      <c r="D4842" s="2">
        <f>46086400/(10^6)</f>
        <v>46.0864</v>
      </c>
      <c r="E4842" s="5" t="s">
        <v>86</v>
      </c>
      <c r="F4842" s="5">
        <v>5.75177764892578</v>
      </c>
      <c r="G4842" s="5" t="s">
        <v>86</v>
      </c>
      <c r="H4842" s="5" t="s">
        <v>86</v>
      </c>
      <c r="I4842" t="s">
        <v>57</v>
      </c>
    </row>
    <row r="4843" spans="1:9">
      <c r="A4843" s="4" t="s">
        <v>9736</v>
      </c>
      <c r="B4843" s="4" t="s">
        <v>9737</v>
      </c>
      <c r="C4843" s="4" t="s">
        <v>43</v>
      </c>
      <c r="D4843" s="2">
        <f>46062364/(10^6)</f>
        <v>46.062364</v>
      </c>
      <c r="E4843" s="5" t="s">
        <v>86</v>
      </c>
      <c r="F4843" s="5" t="s">
        <v>86</v>
      </c>
      <c r="G4843" s="5" t="s">
        <v>86</v>
      </c>
      <c r="H4843" s="5" t="s">
        <v>86</v>
      </c>
      <c r="I4843" t="s">
        <v>57</v>
      </c>
    </row>
    <row r="4844" spans="1:9">
      <c r="A4844" s="4" t="s">
        <v>9738</v>
      </c>
      <c r="B4844" s="4" t="s">
        <v>9739</v>
      </c>
      <c r="C4844" s="4" t="s">
        <v>31</v>
      </c>
      <c r="D4844" s="2">
        <f>46028388/(10^6)</f>
        <v>46.028388</v>
      </c>
      <c r="E4844" s="5">
        <v>35.3957595825195</v>
      </c>
      <c r="F4844" s="5">
        <v>3.84094405174255</v>
      </c>
      <c r="G4844" s="5">
        <v>2.19320225715637</v>
      </c>
      <c r="H4844" s="5">
        <v>15.0504198074341</v>
      </c>
      <c r="I4844" t="s">
        <v>57</v>
      </c>
    </row>
    <row r="4845" spans="1:9">
      <c r="A4845" s="4" t="s">
        <v>9740</v>
      </c>
      <c r="B4845" s="4" t="s">
        <v>9741</v>
      </c>
      <c r="C4845" s="4" t="s">
        <v>47</v>
      </c>
      <c r="D4845" s="2">
        <f>46022060/(10^6)</f>
        <v>46.02206</v>
      </c>
      <c r="E4845" s="5">
        <v>16.745885848999</v>
      </c>
      <c r="F4845" s="5">
        <v>0.197819262742996</v>
      </c>
      <c r="G4845" s="5">
        <v>0.068667314946651</v>
      </c>
      <c r="H4845" s="5">
        <v>92.1274948120117</v>
      </c>
      <c r="I4845" t="s">
        <v>57</v>
      </c>
    </row>
    <row r="4846" spans="1:9">
      <c r="A4846" s="4" t="s">
        <v>9742</v>
      </c>
      <c r="B4846" s="4" t="s">
        <v>9743</v>
      </c>
      <c r="C4846" s="4" t="s">
        <v>43</v>
      </c>
      <c r="D4846" s="2">
        <f>45973536/(10^6)</f>
        <v>45.973536</v>
      </c>
      <c r="E4846" s="5" t="s">
        <v>86</v>
      </c>
      <c r="F4846" s="5" t="s">
        <v>86</v>
      </c>
      <c r="G4846" s="5" t="s">
        <v>86</v>
      </c>
      <c r="H4846" s="5" t="s">
        <v>86</v>
      </c>
      <c r="I4846" t="s">
        <v>57</v>
      </c>
    </row>
    <row r="4847" spans="1:9">
      <c r="A4847" s="4" t="s">
        <v>9744</v>
      </c>
      <c r="B4847" s="4" t="s">
        <v>9745</v>
      </c>
      <c r="C4847" s="4" t="s">
        <v>41</v>
      </c>
      <c r="D4847" s="2">
        <f>45888664/(10^6)</f>
        <v>45.888664</v>
      </c>
      <c r="E4847" s="5" t="s">
        <v>86</v>
      </c>
      <c r="F4847" s="5">
        <v>1.87222409248352</v>
      </c>
      <c r="G4847" s="5" t="s">
        <v>86</v>
      </c>
      <c r="H4847" s="5" t="s">
        <v>86</v>
      </c>
      <c r="I4847" t="s">
        <v>57</v>
      </c>
    </row>
    <row r="4848" spans="1:9">
      <c r="A4848" s="4" t="s">
        <v>9746</v>
      </c>
      <c r="B4848" s="4" t="s">
        <v>9747</v>
      </c>
      <c r="C4848" s="4" t="s">
        <v>43</v>
      </c>
      <c r="D4848" s="2">
        <f>45800352/(10^6)</f>
        <v>45.800352</v>
      </c>
      <c r="E4848" s="5">
        <v>13.0803565979004</v>
      </c>
      <c r="F4848" s="5">
        <v>0.836836278438568</v>
      </c>
      <c r="G4848" s="5">
        <v>2.20025134086609</v>
      </c>
      <c r="H4848" s="5" t="s">
        <v>86</v>
      </c>
      <c r="I4848" t="s">
        <v>57</v>
      </c>
    </row>
    <row r="4849" spans="1:9">
      <c r="A4849" s="4" t="s">
        <v>9748</v>
      </c>
      <c r="B4849" s="4" t="s">
        <v>9749</v>
      </c>
      <c r="C4849" s="4" t="s">
        <v>27</v>
      </c>
      <c r="D4849" s="2">
        <f>45648552/(10^6)</f>
        <v>45.648552</v>
      </c>
      <c r="E4849" s="5" t="s">
        <v>86</v>
      </c>
      <c r="F4849" s="5">
        <v>0.065362103283405</v>
      </c>
      <c r="G4849" s="5">
        <v>0.020555825904012</v>
      </c>
      <c r="H4849" s="5">
        <v>2.02983021736145</v>
      </c>
      <c r="I4849" t="s">
        <v>57</v>
      </c>
    </row>
    <row r="4850" spans="1:9">
      <c r="A4850" s="4" t="s">
        <v>9750</v>
      </c>
      <c r="B4850" s="4" t="s">
        <v>9751</v>
      </c>
      <c r="C4850" s="4" t="s">
        <v>43</v>
      </c>
      <c r="D4850" s="2">
        <f>45615944/(10^6)</f>
        <v>45.615944</v>
      </c>
      <c r="E4850" s="5">
        <v>53.4724502563477</v>
      </c>
      <c r="F4850" s="5">
        <v>0.826964020729065</v>
      </c>
      <c r="G4850" s="5">
        <v>5.16462516784668</v>
      </c>
      <c r="H4850" s="5" t="s">
        <v>86</v>
      </c>
      <c r="I4850" t="s">
        <v>57</v>
      </c>
    </row>
    <row r="4851" spans="1:9">
      <c r="A4851" s="4" t="s">
        <v>9752</v>
      </c>
      <c r="B4851" s="4" t="s">
        <v>9753</v>
      </c>
      <c r="C4851" s="4" t="s">
        <v>41</v>
      </c>
      <c r="D4851" s="2">
        <f>45606588/(10^6)</f>
        <v>45.606588</v>
      </c>
      <c r="E4851" s="5" t="s">
        <v>86</v>
      </c>
      <c r="F4851" s="5">
        <v>0.443535804748535</v>
      </c>
      <c r="G4851" s="5">
        <v>0.562318325042725</v>
      </c>
      <c r="H4851" s="5" t="s">
        <v>86</v>
      </c>
      <c r="I4851" t="s">
        <v>57</v>
      </c>
    </row>
    <row r="4852" spans="1:9">
      <c r="A4852" s="4" t="s">
        <v>9754</v>
      </c>
      <c r="B4852" s="4" t="s">
        <v>9755</v>
      </c>
      <c r="C4852" s="4" t="s">
        <v>27</v>
      </c>
      <c r="D4852" s="2">
        <f>45500248/(10^6)</f>
        <v>45.500248</v>
      </c>
      <c r="E4852" s="5" t="s">
        <v>86</v>
      </c>
      <c r="F4852" s="5">
        <v>0.042425516992807</v>
      </c>
      <c r="G4852" s="5">
        <v>0.097682066261768</v>
      </c>
      <c r="H4852" s="5">
        <v>2.55964708328247</v>
      </c>
      <c r="I4852" t="s">
        <v>57</v>
      </c>
    </row>
    <row r="4853" spans="1:9">
      <c r="A4853" s="4" t="s">
        <v>9756</v>
      </c>
      <c r="B4853" s="4" t="s">
        <v>9757</v>
      </c>
      <c r="C4853" s="4" t="s">
        <v>47</v>
      </c>
      <c r="D4853" s="2">
        <f>45489808/(10^6)</f>
        <v>45.489808</v>
      </c>
      <c r="E4853" s="5" t="s">
        <v>86</v>
      </c>
      <c r="F4853" s="5">
        <v>0.459788024425507</v>
      </c>
      <c r="G4853" s="5">
        <v>0.105471976101398</v>
      </c>
      <c r="H4853" s="5" t="s">
        <v>86</v>
      </c>
      <c r="I4853" t="s">
        <v>57</v>
      </c>
    </row>
    <row r="4854" spans="1:9">
      <c r="A4854" s="4" t="s">
        <v>9758</v>
      </c>
      <c r="B4854" s="4" t="s">
        <v>9759</v>
      </c>
      <c r="C4854" s="4" t="s">
        <v>41</v>
      </c>
      <c r="D4854" s="2">
        <f>45341312/(10^6)</f>
        <v>45.341312</v>
      </c>
      <c r="E4854" s="5" t="s">
        <v>86</v>
      </c>
      <c r="F4854" s="5">
        <v>4.24509859085083</v>
      </c>
      <c r="G4854" s="5" t="s">
        <v>86</v>
      </c>
      <c r="H4854" s="5" t="s">
        <v>86</v>
      </c>
      <c r="I4854" t="s">
        <v>57</v>
      </c>
    </row>
    <row r="4855" spans="1:9">
      <c r="A4855" s="4" t="s">
        <v>9760</v>
      </c>
      <c r="B4855" s="4" t="s">
        <v>9761</v>
      </c>
      <c r="C4855" s="4" t="s">
        <v>41</v>
      </c>
      <c r="D4855" s="2">
        <f>45262972/(10^6)</f>
        <v>45.262972</v>
      </c>
      <c r="E4855" s="5" t="s">
        <v>86</v>
      </c>
      <c r="F4855" s="5">
        <v>0.830046534538269</v>
      </c>
      <c r="G4855" s="5">
        <v>5.16843366622925</v>
      </c>
      <c r="H4855" s="5" t="s">
        <v>86</v>
      </c>
      <c r="I4855" t="s">
        <v>57</v>
      </c>
    </row>
    <row r="4856" spans="1:9">
      <c r="A4856" s="4" t="s">
        <v>9762</v>
      </c>
      <c r="B4856" s="4" t="s">
        <v>9763</v>
      </c>
      <c r="C4856" s="4" t="s">
        <v>49</v>
      </c>
      <c r="D4856" s="2">
        <f>45225456/(10^6)</f>
        <v>45.225456</v>
      </c>
      <c r="E4856" s="5">
        <v>343.516143798828</v>
      </c>
      <c r="F4856" s="5">
        <v>1.07612729072571</v>
      </c>
      <c r="G4856" s="5" t="s">
        <v>86</v>
      </c>
      <c r="H4856" s="5" t="s">
        <v>86</v>
      </c>
      <c r="I4856" t="s">
        <v>57</v>
      </c>
    </row>
    <row r="4857" spans="1:9">
      <c r="A4857" s="4" t="s">
        <v>9764</v>
      </c>
      <c r="B4857" s="4" t="s">
        <v>9765</v>
      </c>
      <c r="C4857" s="4" t="s">
        <v>43</v>
      </c>
      <c r="D4857" s="2">
        <f>45195584/(10^6)</f>
        <v>45.195584</v>
      </c>
      <c r="E4857" s="5" t="s">
        <v>86</v>
      </c>
      <c r="F4857" s="5">
        <v>1.35441374778748</v>
      </c>
      <c r="G4857" s="5" t="s">
        <v>86</v>
      </c>
      <c r="H4857" s="5" t="s">
        <v>86</v>
      </c>
      <c r="I4857" t="s">
        <v>57</v>
      </c>
    </row>
    <row r="4858" spans="1:9">
      <c r="A4858" s="4" t="s">
        <v>9766</v>
      </c>
      <c r="B4858" s="4" t="s">
        <v>9767</v>
      </c>
      <c r="C4858" s="4" t="s">
        <v>41</v>
      </c>
      <c r="D4858" s="2">
        <f>45163996/(10^6)</f>
        <v>45.163996</v>
      </c>
      <c r="E4858" s="5" t="s">
        <v>86</v>
      </c>
      <c r="F4858" s="5" t="s">
        <v>86</v>
      </c>
      <c r="G4858" s="5" t="s">
        <v>86</v>
      </c>
      <c r="H4858" s="5" t="s">
        <v>86</v>
      </c>
      <c r="I4858" t="s">
        <v>57</v>
      </c>
    </row>
    <row r="4859" spans="1:9">
      <c r="A4859" s="4" t="s">
        <v>9768</v>
      </c>
      <c r="B4859" s="4" t="s">
        <v>9769</v>
      </c>
      <c r="C4859" s="4" t="s">
        <v>47</v>
      </c>
      <c r="D4859" s="2">
        <f>45142856/(10^6)</f>
        <v>45.142856</v>
      </c>
      <c r="E4859" s="5" t="s">
        <v>86</v>
      </c>
      <c r="F4859" s="5">
        <v>10.0136394500732</v>
      </c>
      <c r="G4859" s="5">
        <v>4.8386607170105</v>
      </c>
      <c r="H4859" s="5" t="s">
        <v>86</v>
      </c>
      <c r="I4859" t="s">
        <v>57</v>
      </c>
    </row>
    <row r="4860" spans="1:9">
      <c r="A4860" s="4" t="s">
        <v>9770</v>
      </c>
      <c r="B4860" s="4" t="s">
        <v>9771</v>
      </c>
      <c r="C4860" s="4" t="s">
        <v>31</v>
      </c>
      <c r="D4860" s="2">
        <f>45112940/(10^6)</f>
        <v>45.11294</v>
      </c>
      <c r="E4860" s="5">
        <v>4.84787130355835</v>
      </c>
      <c r="F4860" s="5">
        <v>0.527923882007599</v>
      </c>
      <c r="G4860" s="5">
        <v>0.214216634631157</v>
      </c>
      <c r="H4860" s="5">
        <v>3.88392233848572</v>
      </c>
      <c r="I4860" t="s">
        <v>57</v>
      </c>
    </row>
    <row r="4861" spans="1:9">
      <c r="A4861" s="4" t="s">
        <v>9772</v>
      </c>
      <c r="B4861" s="4" t="s">
        <v>9773</v>
      </c>
      <c r="C4861" s="4" t="s">
        <v>31</v>
      </c>
      <c r="D4861" s="2">
        <f>45112940/(10^6)</f>
        <v>45.11294</v>
      </c>
      <c r="E4861" s="5">
        <v>4.84787130355835</v>
      </c>
      <c r="F4861" s="5">
        <v>0.527923882007599</v>
      </c>
      <c r="G4861" s="5">
        <v>0.214216634631157</v>
      </c>
      <c r="H4861" s="5">
        <v>3.88392233848572</v>
      </c>
      <c r="I4861" t="s">
        <v>57</v>
      </c>
    </row>
    <row r="4862" spans="1:9">
      <c r="A4862" s="4" t="s">
        <v>9774</v>
      </c>
      <c r="B4862" s="4" t="s">
        <v>9775</v>
      </c>
      <c r="C4862" s="4" t="s">
        <v>47</v>
      </c>
      <c r="D4862" s="2">
        <f>45022968/(10^6)</f>
        <v>45.022968</v>
      </c>
      <c r="E4862" s="5" t="s">
        <v>86</v>
      </c>
      <c r="F4862" s="5">
        <v>1.02199554443359</v>
      </c>
      <c r="G4862" s="5">
        <v>1.06380367279053</v>
      </c>
      <c r="H4862" s="5" t="s">
        <v>86</v>
      </c>
      <c r="I4862" t="s">
        <v>57</v>
      </c>
    </row>
    <row r="4863" spans="1:9">
      <c r="A4863" s="4" t="s">
        <v>9776</v>
      </c>
      <c r="B4863" s="4" t="s">
        <v>9777</v>
      </c>
      <c r="C4863" s="4" t="s">
        <v>41</v>
      </c>
      <c r="D4863" s="2">
        <f>44917388/(10^6)</f>
        <v>44.917388</v>
      </c>
      <c r="E4863" s="5" t="s">
        <v>86</v>
      </c>
      <c r="F4863" s="5" t="s">
        <v>86</v>
      </c>
      <c r="G4863" s="5">
        <v>1.53939735889435</v>
      </c>
      <c r="H4863" s="5" t="s">
        <v>86</v>
      </c>
      <c r="I4863" t="s">
        <v>57</v>
      </c>
    </row>
    <row r="4864" spans="1:9">
      <c r="A4864" s="4" t="s">
        <v>9778</v>
      </c>
      <c r="B4864" s="4" t="s">
        <v>9779</v>
      </c>
      <c r="C4864" s="4" t="s">
        <v>47</v>
      </c>
      <c r="D4864" s="2">
        <f>44768704/(10^6)</f>
        <v>44.768704</v>
      </c>
      <c r="E4864" s="5">
        <v>16.4634552001953</v>
      </c>
      <c r="F4864" s="5">
        <v>0.582711517810822</v>
      </c>
      <c r="G4864" s="5">
        <v>0.522148311138153</v>
      </c>
      <c r="H4864" s="5" t="s">
        <v>86</v>
      </c>
      <c r="I4864" t="s">
        <v>57</v>
      </c>
    </row>
    <row r="4865" spans="1:9">
      <c r="A4865" s="4" t="s">
        <v>9780</v>
      </c>
      <c r="B4865" s="4" t="s">
        <v>9781</v>
      </c>
      <c r="C4865" s="4" t="s">
        <v>47</v>
      </c>
      <c r="D4865" s="2">
        <f>44768704/(10^6)</f>
        <v>44.768704</v>
      </c>
      <c r="E4865" s="5">
        <v>16.4634552001953</v>
      </c>
      <c r="F4865" s="5">
        <v>0.582711517810822</v>
      </c>
      <c r="G4865" s="5">
        <v>0.522148311138153</v>
      </c>
      <c r="H4865" s="5" t="s">
        <v>86</v>
      </c>
      <c r="I4865" t="s">
        <v>57</v>
      </c>
    </row>
    <row r="4866" spans="1:9">
      <c r="A4866" s="4" t="s">
        <v>9782</v>
      </c>
      <c r="B4866" s="4" t="s">
        <v>9783</v>
      </c>
      <c r="C4866" s="4" t="s">
        <v>43</v>
      </c>
      <c r="D4866" s="2">
        <f>44680688/(10^6)</f>
        <v>44.680688</v>
      </c>
      <c r="E4866" s="5">
        <v>46.411319732666</v>
      </c>
      <c r="F4866" s="5">
        <v>0.678944945335388</v>
      </c>
      <c r="G4866" s="5">
        <v>3.34645795822144</v>
      </c>
      <c r="H4866" s="5" t="s">
        <v>86</v>
      </c>
      <c r="I4866" t="s">
        <v>57</v>
      </c>
    </row>
    <row r="4867" spans="1:9">
      <c r="A4867" s="4" t="s">
        <v>9784</v>
      </c>
      <c r="B4867" s="4" t="s">
        <v>9785</v>
      </c>
      <c r="C4867" s="4" t="s">
        <v>47</v>
      </c>
      <c r="D4867" s="2">
        <f>44661420/(10^6)</f>
        <v>44.66142</v>
      </c>
      <c r="E4867" s="5" t="s">
        <v>86</v>
      </c>
      <c r="F4867" s="5">
        <v>0.341560155153275</v>
      </c>
      <c r="G4867" s="5">
        <v>0.130937859416008</v>
      </c>
      <c r="H4867" s="5">
        <v>3.97519207000732</v>
      </c>
      <c r="I4867" t="s">
        <v>57</v>
      </c>
    </row>
    <row r="4868" spans="1:9">
      <c r="A4868" s="4" t="s">
        <v>9786</v>
      </c>
      <c r="B4868" s="4" t="s">
        <v>9787</v>
      </c>
      <c r="C4868" s="4" t="s">
        <v>27</v>
      </c>
      <c r="D4868" s="2">
        <f>44658980/(10^6)</f>
        <v>44.65898</v>
      </c>
      <c r="E4868" s="5" t="s">
        <v>86</v>
      </c>
      <c r="F4868" s="5">
        <v>1.29668152332306</v>
      </c>
      <c r="G4868" s="5">
        <v>0.042982656508684</v>
      </c>
      <c r="H4868" s="5">
        <v>10.8366346359253</v>
      </c>
      <c r="I4868" t="s">
        <v>57</v>
      </c>
    </row>
    <row r="4869" spans="1:9">
      <c r="A4869" s="4" t="s">
        <v>9788</v>
      </c>
      <c r="B4869" s="4" t="s">
        <v>9789</v>
      </c>
      <c r="C4869" s="4" t="s">
        <v>49</v>
      </c>
      <c r="D4869" s="2">
        <f>44560596/(10^6)</f>
        <v>44.560596</v>
      </c>
      <c r="E4869" s="5" t="s">
        <v>86</v>
      </c>
      <c r="F4869" s="5" t="s">
        <v>86</v>
      </c>
      <c r="G4869" s="5" t="s">
        <v>86</v>
      </c>
      <c r="H4869" s="5" t="s">
        <v>86</v>
      </c>
      <c r="I4869" t="s">
        <v>57</v>
      </c>
    </row>
    <row r="4870" spans="1:9">
      <c r="A4870" s="4" t="s">
        <v>9790</v>
      </c>
      <c r="B4870" s="4" t="s">
        <v>9791</v>
      </c>
      <c r="C4870" s="4" t="s">
        <v>31</v>
      </c>
      <c r="D4870" s="2">
        <f>44368552/(10^6)</f>
        <v>44.368552</v>
      </c>
      <c r="E4870" s="5">
        <v>32.7002449035645</v>
      </c>
      <c r="F4870" s="5">
        <v>8.87193393707275</v>
      </c>
      <c r="G4870" s="5">
        <v>1.51679849624634</v>
      </c>
      <c r="H4870" s="5">
        <v>22.9810352325439</v>
      </c>
      <c r="I4870" t="s">
        <v>57</v>
      </c>
    </row>
    <row r="4871" spans="1:9">
      <c r="A4871" s="4" t="s">
        <v>9792</v>
      </c>
      <c r="B4871" s="4" t="s">
        <v>9793</v>
      </c>
      <c r="C4871" s="4" t="s">
        <v>51</v>
      </c>
      <c r="D4871" s="2">
        <f>44272240/(10^6)</f>
        <v>44.27224</v>
      </c>
      <c r="E4871" s="5">
        <v>15.067268371582</v>
      </c>
      <c r="F4871" s="5">
        <v>1.3105663061142</v>
      </c>
      <c r="G4871" s="5">
        <v>1.48711848258972</v>
      </c>
      <c r="H4871" s="5">
        <v>7.53971290588379</v>
      </c>
      <c r="I4871" t="s">
        <v>57</v>
      </c>
    </row>
    <row r="4872" spans="1:9">
      <c r="A4872" s="4" t="s">
        <v>9794</v>
      </c>
      <c r="B4872" s="4" t="s">
        <v>9795</v>
      </c>
      <c r="C4872" s="4" t="s">
        <v>33</v>
      </c>
      <c r="D4872" s="2">
        <f>43951248/(10^6)</f>
        <v>43.951248</v>
      </c>
      <c r="E4872" s="5" t="s">
        <v>86</v>
      </c>
      <c r="F4872" s="5" t="s">
        <v>86</v>
      </c>
      <c r="G4872" s="5" t="s">
        <v>86</v>
      </c>
      <c r="H4872" s="5" t="s">
        <v>86</v>
      </c>
      <c r="I4872" t="s">
        <v>57</v>
      </c>
    </row>
    <row r="4873" spans="1:9">
      <c r="A4873" s="4" t="s">
        <v>9796</v>
      </c>
      <c r="B4873" s="4" t="s">
        <v>9797</v>
      </c>
      <c r="C4873" s="4" t="s">
        <v>47</v>
      </c>
      <c r="D4873" s="2">
        <f>43823104/(10^6)</f>
        <v>43.823104</v>
      </c>
      <c r="E4873" s="5">
        <v>15.7019805908203</v>
      </c>
      <c r="F4873" s="5">
        <v>0.880667626857758</v>
      </c>
      <c r="G4873" s="5">
        <v>0.726568818092346</v>
      </c>
      <c r="H4873" s="5">
        <v>6.85476922988892</v>
      </c>
      <c r="I4873" t="s">
        <v>57</v>
      </c>
    </row>
    <row r="4874" spans="1:9">
      <c r="A4874" s="4" t="s">
        <v>9798</v>
      </c>
      <c r="B4874" s="4" t="s">
        <v>9799</v>
      </c>
      <c r="C4874" s="4" t="s">
        <v>41</v>
      </c>
      <c r="D4874" s="2">
        <f>43780732/(10^6)</f>
        <v>43.780732</v>
      </c>
      <c r="E4874" s="5" t="s">
        <v>86</v>
      </c>
      <c r="F4874" s="5">
        <v>0.958689212799072</v>
      </c>
      <c r="G4874" s="5">
        <v>5.51360654830933</v>
      </c>
      <c r="H4874" s="5" t="s">
        <v>86</v>
      </c>
      <c r="I4874" t="s">
        <v>57</v>
      </c>
    </row>
    <row r="4875" spans="1:9">
      <c r="A4875" s="4" t="s">
        <v>9800</v>
      </c>
      <c r="B4875" s="4" t="s">
        <v>9801</v>
      </c>
      <c r="C4875" s="4" t="s">
        <v>43</v>
      </c>
      <c r="D4875" s="2">
        <f>43725880/(10^6)</f>
        <v>43.72588</v>
      </c>
      <c r="E4875" s="5">
        <v>7.92349720001221</v>
      </c>
      <c r="F4875" s="5">
        <v>0.736768841743469</v>
      </c>
      <c r="G4875" s="5">
        <v>1.4709085226059</v>
      </c>
      <c r="H4875" s="5" t="s">
        <v>86</v>
      </c>
      <c r="I4875" t="s">
        <v>57</v>
      </c>
    </row>
    <row r="4876" spans="1:9">
      <c r="A4876" s="4" t="s">
        <v>9802</v>
      </c>
      <c r="B4876" s="4" t="s">
        <v>9803</v>
      </c>
      <c r="C4876" s="4" t="s">
        <v>49</v>
      </c>
      <c r="D4876" s="2">
        <f>43671544/(10^6)</f>
        <v>43.671544</v>
      </c>
      <c r="E4876" s="5" t="s">
        <v>86</v>
      </c>
      <c r="F4876" s="5" t="s">
        <v>86</v>
      </c>
      <c r="G4876" s="5" t="s">
        <v>86</v>
      </c>
      <c r="H4876" s="5" t="s">
        <v>86</v>
      </c>
      <c r="I4876" t="s">
        <v>57</v>
      </c>
    </row>
    <row r="4877" spans="1:9">
      <c r="A4877" s="4" t="s">
        <v>9804</v>
      </c>
      <c r="B4877" s="4" t="s">
        <v>9805</v>
      </c>
      <c r="C4877" s="4" t="s">
        <v>43</v>
      </c>
      <c r="D4877" s="2">
        <f>43612768/(10^6)</f>
        <v>43.612768</v>
      </c>
      <c r="E4877" s="5">
        <v>9.70873737335205</v>
      </c>
      <c r="F4877" s="5">
        <v>1.01575875282288</v>
      </c>
      <c r="G4877" s="5">
        <v>1.38173449039459</v>
      </c>
      <c r="H4877" s="5" t="s">
        <v>86</v>
      </c>
      <c r="I4877" t="s">
        <v>57</v>
      </c>
    </row>
    <row r="4878" spans="1:9">
      <c r="A4878" s="4" t="s">
        <v>9806</v>
      </c>
      <c r="B4878" s="4" t="s">
        <v>9807</v>
      </c>
      <c r="C4878" s="4" t="s">
        <v>41</v>
      </c>
      <c r="D4878" s="2">
        <f>43555252/(10^6)</f>
        <v>43.555252</v>
      </c>
      <c r="E4878" s="5" t="s">
        <v>86</v>
      </c>
      <c r="F4878" s="5">
        <v>9.72222232818604</v>
      </c>
      <c r="G4878" s="5" t="s">
        <v>86</v>
      </c>
      <c r="H4878" s="5" t="s">
        <v>86</v>
      </c>
      <c r="I4878" t="s">
        <v>57</v>
      </c>
    </row>
    <row r="4879" spans="1:9">
      <c r="A4879" s="4" t="s">
        <v>9808</v>
      </c>
      <c r="B4879" s="4" t="s">
        <v>9809</v>
      </c>
      <c r="C4879" s="4" t="s">
        <v>35</v>
      </c>
      <c r="D4879" s="2">
        <f>43437464/(10^6)</f>
        <v>43.437464</v>
      </c>
      <c r="E4879" s="5" t="s">
        <v>86</v>
      </c>
      <c r="F4879" s="5" t="s">
        <v>86</v>
      </c>
      <c r="G4879" s="5" t="s">
        <v>86</v>
      </c>
      <c r="H4879" s="5" t="s">
        <v>86</v>
      </c>
      <c r="I4879" t="s">
        <v>57</v>
      </c>
    </row>
    <row r="4880" spans="1:9">
      <c r="A4880" s="4" t="s">
        <v>9810</v>
      </c>
      <c r="B4880" s="4" t="s">
        <v>9811</v>
      </c>
      <c r="C4880" s="4" t="s">
        <v>27</v>
      </c>
      <c r="D4880" s="2">
        <f>43366444/(10^6)</f>
        <v>43.366444</v>
      </c>
      <c r="E4880" s="5">
        <v>1.38761365413666</v>
      </c>
      <c r="F4880" s="5">
        <v>0.082837857306004</v>
      </c>
      <c r="G4880" s="5">
        <v>0.217263117432594</v>
      </c>
      <c r="H4880" s="5">
        <v>3.43180966377258</v>
      </c>
      <c r="I4880" t="s">
        <v>57</v>
      </c>
    </row>
    <row r="4881" spans="1:9">
      <c r="A4881" s="4" t="s">
        <v>9812</v>
      </c>
      <c r="B4881" s="4" t="s">
        <v>9813</v>
      </c>
      <c r="C4881" s="4" t="s">
        <v>51</v>
      </c>
      <c r="D4881" s="2">
        <f>43340180/(10^6)</f>
        <v>43.34018</v>
      </c>
      <c r="E4881" s="5">
        <v>21.0153846740723</v>
      </c>
      <c r="F4881" s="5">
        <v>0.635025203227997</v>
      </c>
      <c r="G4881" s="5">
        <v>0.185522526502609</v>
      </c>
      <c r="H4881" s="5">
        <v>3.98207259178162</v>
      </c>
      <c r="I4881" t="s">
        <v>57</v>
      </c>
    </row>
    <row r="4882" spans="1:9">
      <c r="A4882" s="4" t="s">
        <v>9814</v>
      </c>
      <c r="B4882" s="4" t="s">
        <v>9815</v>
      </c>
      <c r="C4882" s="4" t="s">
        <v>43</v>
      </c>
      <c r="D4882" s="2">
        <f>43200708/(10^6)</f>
        <v>43.200708</v>
      </c>
      <c r="E4882" s="5" t="s">
        <v>86</v>
      </c>
      <c r="F4882" s="5">
        <v>2.00715732574463</v>
      </c>
      <c r="G4882" s="5" t="s">
        <v>86</v>
      </c>
      <c r="H4882" s="5" t="s">
        <v>86</v>
      </c>
      <c r="I4882" t="s">
        <v>57</v>
      </c>
    </row>
    <row r="4883" spans="1:9">
      <c r="A4883" s="4" t="s">
        <v>9816</v>
      </c>
      <c r="B4883" s="4" t="s">
        <v>9817</v>
      </c>
      <c r="C4883" s="4" t="s">
        <v>41</v>
      </c>
      <c r="D4883" s="2">
        <f>43168992/(10^6)</f>
        <v>43.168992</v>
      </c>
      <c r="E4883" s="5" t="s">
        <v>86</v>
      </c>
      <c r="F4883" s="5">
        <v>20.1752738952637</v>
      </c>
      <c r="G4883" s="5">
        <v>0.869329333305359</v>
      </c>
      <c r="H4883" s="5" t="s">
        <v>86</v>
      </c>
      <c r="I4883" t="s">
        <v>57</v>
      </c>
    </row>
    <row r="4884" spans="1:9">
      <c r="A4884" s="4" t="s">
        <v>9818</v>
      </c>
      <c r="B4884" s="4" t="s">
        <v>9819</v>
      </c>
      <c r="C4884" s="4" t="s">
        <v>41</v>
      </c>
      <c r="D4884" s="2">
        <f>43156328/(10^6)</f>
        <v>43.156328</v>
      </c>
      <c r="E4884" s="5" t="s">
        <v>86</v>
      </c>
      <c r="F4884" s="5" t="s">
        <v>86</v>
      </c>
      <c r="G4884" s="5">
        <v>27.7138977050781</v>
      </c>
      <c r="H4884" s="5" t="s">
        <v>86</v>
      </c>
      <c r="I4884" t="s">
        <v>57</v>
      </c>
    </row>
    <row r="4885" spans="1:9">
      <c r="A4885" s="4" t="s">
        <v>9820</v>
      </c>
      <c r="B4885" s="4" t="s">
        <v>9821</v>
      </c>
      <c r="C4885" s="4" t="s">
        <v>31</v>
      </c>
      <c r="D4885" s="2">
        <f>43125392/(10^6)</f>
        <v>43.125392</v>
      </c>
      <c r="E4885" s="5" t="s">
        <v>86</v>
      </c>
      <c r="F4885" s="5">
        <v>0.804203033447266</v>
      </c>
      <c r="G4885" s="5">
        <v>0.284461915493011</v>
      </c>
      <c r="H4885" s="5" t="s">
        <v>86</v>
      </c>
      <c r="I4885" t="s">
        <v>57</v>
      </c>
    </row>
    <row r="4886" spans="1:9">
      <c r="A4886" s="4" t="s">
        <v>9822</v>
      </c>
      <c r="B4886" s="4" t="s">
        <v>9823</v>
      </c>
      <c r="C4886" s="4" t="s">
        <v>49</v>
      </c>
      <c r="D4886" s="2">
        <f>43100076/(10^6)</f>
        <v>43.100076</v>
      </c>
      <c r="E4886" s="5">
        <v>9.63739013671875</v>
      </c>
      <c r="F4886" s="5">
        <v>0.951884925365448</v>
      </c>
      <c r="G4886" s="5">
        <v>2.11872267723083</v>
      </c>
      <c r="H4886" s="5" t="s">
        <v>86</v>
      </c>
      <c r="I4886" t="s">
        <v>57</v>
      </c>
    </row>
    <row r="4887" spans="1:9">
      <c r="A4887" s="4" t="s">
        <v>9824</v>
      </c>
      <c r="B4887" s="4" t="s">
        <v>9825</v>
      </c>
      <c r="C4887" s="4" t="s">
        <v>43</v>
      </c>
      <c r="D4887" s="2">
        <f>43065000/(10^6)</f>
        <v>43.065</v>
      </c>
      <c r="E4887" s="5" t="s">
        <v>86</v>
      </c>
      <c r="F4887" s="5" t="s">
        <v>86</v>
      </c>
      <c r="G4887" s="5" t="s">
        <v>86</v>
      </c>
      <c r="H4887" s="5" t="s">
        <v>86</v>
      </c>
      <c r="I4887" t="s">
        <v>57</v>
      </c>
    </row>
    <row r="4888" spans="1:9">
      <c r="A4888" s="4" t="s">
        <v>9826</v>
      </c>
      <c r="B4888" s="4" t="s">
        <v>9827</v>
      </c>
      <c r="C4888" s="4" t="s">
        <v>51</v>
      </c>
      <c r="D4888" s="2">
        <f>42982228/(10^6)</f>
        <v>42.982228</v>
      </c>
      <c r="E4888" s="5">
        <v>16.9117298126221</v>
      </c>
      <c r="F4888" s="5">
        <v>1.42849802970886</v>
      </c>
      <c r="G4888" s="5">
        <v>1.12739479541779</v>
      </c>
      <c r="H4888" s="5" t="s">
        <v>86</v>
      </c>
      <c r="I4888" t="s">
        <v>57</v>
      </c>
    </row>
    <row r="4889" spans="1:9">
      <c r="A4889" s="4" t="s">
        <v>9828</v>
      </c>
      <c r="B4889" s="4" t="s">
        <v>9829</v>
      </c>
      <c r="C4889" s="4" t="s">
        <v>49</v>
      </c>
      <c r="D4889" s="2">
        <f>42958728/(10^6)</f>
        <v>42.958728</v>
      </c>
      <c r="E4889" s="5">
        <v>18.1818180084229</v>
      </c>
      <c r="F4889" s="5" t="s">
        <v>86</v>
      </c>
      <c r="G4889" s="5" t="s">
        <v>86</v>
      </c>
      <c r="H4889" s="5" t="s">
        <v>86</v>
      </c>
      <c r="I4889" t="s">
        <v>57</v>
      </c>
    </row>
    <row r="4890" spans="1:9">
      <c r="A4890" s="4" t="s">
        <v>9830</v>
      </c>
      <c r="B4890" s="4" t="s">
        <v>9831</v>
      </c>
      <c r="C4890" s="4" t="s">
        <v>41</v>
      </c>
      <c r="D4890" s="2">
        <f>42871932/(10^6)</f>
        <v>42.871932</v>
      </c>
      <c r="E4890" s="5" t="s">
        <v>86</v>
      </c>
      <c r="F4890" s="5">
        <v>2.99547600746155</v>
      </c>
      <c r="G4890" s="5">
        <v>15.2163228988647</v>
      </c>
      <c r="H4890" s="5" t="s">
        <v>86</v>
      </c>
      <c r="I4890" t="s">
        <v>57</v>
      </c>
    </row>
    <row r="4891" spans="1:9">
      <c r="A4891" s="4" t="s">
        <v>9832</v>
      </c>
      <c r="B4891" s="4" t="s">
        <v>9833</v>
      </c>
      <c r="C4891" s="4" t="s">
        <v>51</v>
      </c>
      <c r="D4891" s="2">
        <f>42856660/(10^6)</f>
        <v>42.85666</v>
      </c>
      <c r="E4891" s="5">
        <v>11.9713106155396</v>
      </c>
      <c r="F4891" s="5">
        <v>0.903949499130249</v>
      </c>
      <c r="G4891" s="5">
        <v>0.653298676013947</v>
      </c>
      <c r="H4891" s="5" t="s">
        <v>86</v>
      </c>
      <c r="I4891" t="s">
        <v>57</v>
      </c>
    </row>
    <row r="4892" spans="1:9">
      <c r="A4892" s="4" t="s">
        <v>9834</v>
      </c>
      <c r="B4892" s="4" t="s">
        <v>9835</v>
      </c>
      <c r="C4892" s="4" t="s">
        <v>49</v>
      </c>
      <c r="D4892" s="2">
        <f>42757288/(10^6)</f>
        <v>42.757288</v>
      </c>
      <c r="E4892" s="5" t="s">
        <v>86</v>
      </c>
      <c r="F4892" s="5" t="s">
        <v>86</v>
      </c>
      <c r="G4892" s="5" t="s">
        <v>86</v>
      </c>
      <c r="H4892" s="5" t="s">
        <v>86</v>
      </c>
      <c r="I4892" t="s">
        <v>57</v>
      </c>
    </row>
    <row r="4893" spans="1:9">
      <c r="A4893" s="4" t="s">
        <v>9836</v>
      </c>
      <c r="B4893" s="4" t="s">
        <v>9837</v>
      </c>
      <c r="C4893" s="4" t="s">
        <v>35</v>
      </c>
      <c r="D4893" s="2">
        <f>42694780/(10^6)</f>
        <v>42.69478</v>
      </c>
      <c r="E4893" s="5">
        <v>18.5395832061768</v>
      </c>
      <c r="F4893" s="5">
        <v>0.57559198141098</v>
      </c>
      <c r="G4893" s="5">
        <v>0.341724663972855</v>
      </c>
      <c r="H4893" s="5">
        <v>6.45301961898804</v>
      </c>
      <c r="I4893" t="s">
        <v>57</v>
      </c>
    </row>
    <row r="4894" spans="1:9">
      <c r="A4894" s="4" t="s">
        <v>9838</v>
      </c>
      <c r="B4894" s="4" t="s">
        <v>9839</v>
      </c>
      <c r="C4894" s="4" t="s">
        <v>43</v>
      </c>
      <c r="D4894" s="2">
        <f>42645680/(10^6)</f>
        <v>42.64568</v>
      </c>
      <c r="E4894" s="5" t="s">
        <v>86</v>
      </c>
      <c r="F4894" s="5" t="s">
        <v>86</v>
      </c>
      <c r="G4894" s="5" t="s">
        <v>86</v>
      </c>
      <c r="H4894" s="5" t="s">
        <v>86</v>
      </c>
      <c r="I4894" t="s">
        <v>57</v>
      </c>
    </row>
    <row r="4895" spans="1:9">
      <c r="A4895" s="4" t="s">
        <v>9840</v>
      </c>
      <c r="B4895" s="4" t="s">
        <v>9841</v>
      </c>
      <c r="C4895" s="4" t="s">
        <v>47</v>
      </c>
      <c r="D4895" s="2">
        <f>42562000/(10^6)</f>
        <v>42.562</v>
      </c>
      <c r="E4895" s="5" t="s">
        <v>86</v>
      </c>
      <c r="F4895" s="5">
        <v>0.571536540985107</v>
      </c>
      <c r="G4895" s="5">
        <v>0.116084896028042</v>
      </c>
      <c r="H4895" s="5">
        <v>7.96385526657104</v>
      </c>
      <c r="I4895" t="s">
        <v>57</v>
      </c>
    </row>
    <row r="4896" spans="1:9">
      <c r="A4896" s="4" t="s">
        <v>9842</v>
      </c>
      <c r="B4896" s="4" t="s">
        <v>9843</v>
      </c>
      <c r="C4896" s="4" t="s">
        <v>43</v>
      </c>
      <c r="D4896" s="2">
        <f>42480668/(10^6)</f>
        <v>42.480668</v>
      </c>
      <c r="E4896" s="5">
        <v>38.229133605957</v>
      </c>
      <c r="F4896" s="5">
        <v>0.838092684745789</v>
      </c>
      <c r="G4896" s="5">
        <v>4.57027769088745</v>
      </c>
      <c r="H4896" s="5" t="s">
        <v>86</v>
      </c>
      <c r="I4896" t="s">
        <v>57</v>
      </c>
    </row>
    <row r="4897" spans="1:9">
      <c r="A4897" s="4" t="s">
        <v>9844</v>
      </c>
      <c r="B4897" s="4" t="s">
        <v>9845</v>
      </c>
      <c r="C4897" s="4" t="s">
        <v>41</v>
      </c>
      <c r="D4897" s="2">
        <f>42162640/(10^6)</f>
        <v>42.16264</v>
      </c>
      <c r="E4897" s="5" t="s">
        <v>86</v>
      </c>
      <c r="F4897" s="5">
        <v>2.84702634811401</v>
      </c>
      <c r="G4897" s="5" t="s">
        <v>86</v>
      </c>
      <c r="H4897" s="5" t="s">
        <v>86</v>
      </c>
      <c r="I4897" t="s">
        <v>57</v>
      </c>
    </row>
    <row r="4898" spans="1:9">
      <c r="A4898" s="4" t="s">
        <v>9846</v>
      </c>
      <c r="B4898" s="4" t="s">
        <v>9847</v>
      </c>
      <c r="C4898" s="4" t="s">
        <v>41</v>
      </c>
      <c r="D4898" s="2">
        <f>42150688/(10^6)</f>
        <v>42.150688</v>
      </c>
      <c r="E4898" s="5">
        <v>429.856597900391</v>
      </c>
      <c r="F4898" s="5">
        <v>2.28815078735352</v>
      </c>
      <c r="G4898" s="5">
        <v>1.12593448162079</v>
      </c>
      <c r="H4898" s="5">
        <v>21.2077903747559</v>
      </c>
      <c r="I4898" t="s">
        <v>57</v>
      </c>
    </row>
    <row r="4899" spans="1:9">
      <c r="A4899" s="4" t="s">
        <v>9848</v>
      </c>
      <c r="B4899" s="4" t="s">
        <v>9849</v>
      </c>
      <c r="C4899" s="4" t="s">
        <v>47</v>
      </c>
      <c r="D4899" s="2">
        <f>42099000/(10^6)</f>
        <v>42.099</v>
      </c>
      <c r="E4899" s="5" t="s">
        <v>86</v>
      </c>
      <c r="F4899" s="5">
        <v>0.289667576551437</v>
      </c>
      <c r="G4899" s="5">
        <v>0.364388942718506</v>
      </c>
      <c r="H4899" s="5">
        <v>22.2359828948975</v>
      </c>
      <c r="I4899" t="s">
        <v>57</v>
      </c>
    </row>
    <row r="4900" spans="1:9">
      <c r="A4900" s="4" t="s">
        <v>9850</v>
      </c>
      <c r="B4900" s="4" t="s">
        <v>9851</v>
      </c>
      <c r="C4900" s="4" t="s">
        <v>51</v>
      </c>
      <c r="D4900" s="2">
        <f>42049668/(10^6)</f>
        <v>42.049668</v>
      </c>
      <c r="E4900" s="5" t="s">
        <v>86</v>
      </c>
      <c r="F4900" s="5">
        <v>5.97384643554688</v>
      </c>
      <c r="G4900" s="5">
        <v>5.02512884140015</v>
      </c>
      <c r="H4900" s="5" t="s">
        <v>86</v>
      </c>
      <c r="I4900" t="s">
        <v>57</v>
      </c>
    </row>
    <row r="4901" spans="1:9">
      <c r="A4901" s="4" t="s">
        <v>9852</v>
      </c>
      <c r="B4901" s="4" t="s">
        <v>9853</v>
      </c>
      <c r="C4901" s="4" t="s">
        <v>31</v>
      </c>
      <c r="D4901" s="2">
        <f>42018076/(10^6)</f>
        <v>42.018076</v>
      </c>
      <c r="E4901" s="5">
        <v>17.5510921478271</v>
      </c>
      <c r="F4901" s="5">
        <v>1.34946310520172</v>
      </c>
      <c r="G4901" s="5">
        <v>1.22551238536835</v>
      </c>
      <c r="H4901" s="5">
        <v>9.15544700622559</v>
      </c>
      <c r="I4901" t="s">
        <v>57</v>
      </c>
    </row>
    <row r="4902" spans="1:9">
      <c r="A4902" s="4" t="s">
        <v>9854</v>
      </c>
      <c r="B4902" s="4" t="s">
        <v>9855</v>
      </c>
      <c r="C4902" s="4" t="s">
        <v>43</v>
      </c>
      <c r="D4902" s="2">
        <f>41865928/(10^6)</f>
        <v>41.865928</v>
      </c>
      <c r="E4902" s="5">
        <v>16.9594535827637</v>
      </c>
      <c r="F4902" s="5">
        <v>1.09588062763214</v>
      </c>
      <c r="G4902" s="5">
        <v>1.31475722789764</v>
      </c>
      <c r="H4902" s="5" t="s">
        <v>86</v>
      </c>
      <c r="I4902" t="s">
        <v>57</v>
      </c>
    </row>
    <row r="4903" spans="1:9">
      <c r="A4903" s="4" t="s">
        <v>9856</v>
      </c>
      <c r="B4903" s="4" t="s">
        <v>9857</v>
      </c>
      <c r="C4903" s="4" t="s">
        <v>43</v>
      </c>
      <c r="D4903" s="2">
        <f>41863652/(10^6)</f>
        <v>41.863652</v>
      </c>
      <c r="E4903" s="5">
        <v>18.1382865905762</v>
      </c>
      <c r="F4903" s="5">
        <v>0.772306442260742</v>
      </c>
      <c r="G4903" s="5">
        <v>1.06833171844482</v>
      </c>
      <c r="H4903" s="5" t="s">
        <v>86</v>
      </c>
      <c r="I4903" t="s">
        <v>57</v>
      </c>
    </row>
    <row r="4904" spans="1:9">
      <c r="A4904" s="4" t="s">
        <v>9858</v>
      </c>
      <c r="B4904" s="4" t="s">
        <v>9859</v>
      </c>
      <c r="C4904" s="4" t="s">
        <v>43</v>
      </c>
      <c r="D4904" s="2">
        <f>41676000/(10^6)</f>
        <v>41.676</v>
      </c>
      <c r="E4904" s="5" t="s">
        <v>86</v>
      </c>
      <c r="F4904" s="5" t="s">
        <v>86</v>
      </c>
      <c r="G4904" s="5" t="s">
        <v>86</v>
      </c>
      <c r="H4904" s="5" t="s">
        <v>86</v>
      </c>
      <c r="I4904" t="s">
        <v>57</v>
      </c>
    </row>
    <row r="4905" spans="1:9">
      <c r="A4905" s="4" t="s">
        <v>9860</v>
      </c>
      <c r="B4905" s="4" t="s">
        <v>9861</v>
      </c>
      <c r="C4905" s="4" t="s">
        <v>49</v>
      </c>
      <c r="D4905" s="2">
        <f>41661472/(10^6)</f>
        <v>41.661472</v>
      </c>
      <c r="E4905" s="5" t="s">
        <v>86</v>
      </c>
      <c r="F4905" s="5" t="s">
        <v>86</v>
      </c>
      <c r="G4905" s="5" t="s">
        <v>86</v>
      </c>
      <c r="H4905" s="5" t="s">
        <v>86</v>
      </c>
      <c r="I4905" t="s">
        <v>57</v>
      </c>
    </row>
    <row r="4906" spans="1:9">
      <c r="A4906" s="4" t="s">
        <v>9862</v>
      </c>
      <c r="B4906" s="4" t="s">
        <v>9863</v>
      </c>
      <c r="C4906" s="4" t="s">
        <v>43</v>
      </c>
      <c r="D4906" s="2">
        <f>41618428/(10^6)</f>
        <v>41.618428</v>
      </c>
      <c r="E4906" s="5">
        <v>10.8870964050293</v>
      </c>
      <c r="F4906" s="5">
        <v>0.773140907287598</v>
      </c>
      <c r="G4906" s="5">
        <v>2.12704873085022</v>
      </c>
      <c r="H4906" s="5" t="s">
        <v>86</v>
      </c>
      <c r="I4906" t="s">
        <v>57</v>
      </c>
    </row>
    <row r="4907" spans="1:9">
      <c r="A4907" s="4" t="s">
        <v>9864</v>
      </c>
      <c r="B4907" s="4" t="s">
        <v>9865</v>
      </c>
      <c r="C4907" s="4" t="s">
        <v>43</v>
      </c>
      <c r="D4907" s="2">
        <f>41487564/(10^6)</f>
        <v>41.487564</v>
      </c>
      <c r="E4907" s="5" t="s">
        <v>86</v>
      </c>
      <c r="F4907" s="5" t="s">
        <v>86</v>
      </c>
      <c r="G4907" s="5" t="s">
        <v>86</v>
      </c>
      <c r="H4907" s="5" t="s">
        <v>86</v>
      </c>
      <c r="I4907" t="s">
        <v>57</v>
      </c>
    </row>
    <row r="4908" spans="1:9">
      <c r="A4908" s="4" t="s">
        <v>9866</v>
      </c>
      <c r="B4908" s="4" t="s">
        <v>9867</v>
      </c>
      <c r="C4908" s="4" t="s">
        <v>41</v>
      </c>
      <c r="D4908" s="2">
        <f>41484436/(10^6)</f>
        <v>41.484436</v>
      </c>
      <c r="E4908" s="5" t="s">
        <v>86</v>
      </c>
      <c r="F4908" s="5" t="s">
        <v>86</v>
      </c>
      <c r="G4908" s="5">
        <v>1077.63623046875</v>
      </c>
      <c r="H4908" s="5" t="s">
        <v>86</v>
      </c>
      <c r="I4908" t="s">
        <v>57</v>
      </c>
    </row>
    <row r="4909" spans="1:9">
      <c r="A4909" s="4" t="s">
        <v>9868</v>
      </c>
      <c r="B4909" s="4" t="s">
        <v>9869</v>
      </c>
      <c r="C4909" s="4" t="s">
        <v>43</v>
      </c>
      <c r="D4909" s="2">
        <f>41418632/(10^6)</f>
        <v>41.418632</v>
      </c>
      <c r="E4909" s="5">
        <v>11.8599996566772</v>
      </c>
      <c r="F4909" s="5">
        <v>0.852515578269958</v>
      </c>
      <c r="G4909" s="5">
        <v>1.47865951061249</v>
      </c>
      <c r="H4909" s="5" t="s">
        <v>86</v>
      </c>
      <c r="I4909" t="s">
        <v>57</v>
      </c>
    </row>
    <row r="4910" spans="1:9">
      <c r="A4910" s="4" t="s">
        <v>9870</v>
      </c>
      <c r="B4910" s="4" t="s">
        <v>9871</v>
      </c>
      <c r="C4910" s="4" t="s">
        <v>49</v>
      </c>
      <c r="D4910" s="2">
        <f>41288000/(10^6)</f>
        <v>41.288</v>
      </c>
      <c r="E4910" s="5" t="s">
        <v>86</v>
      </c>
      <c r="F4910" s="5">
        <v>3.5315089225769</v>
      </c>
      <c r="G4910" s="5">
        <v>1.472935795784</v>
      </c>
      <c r="H4910" s="5" t="s">
        <v>86</v>
      </c>
      <c r="I4910" t="s">
        <v>57</v>
      </c>
    </row>
    <row r="4911" spans="1:9">
      <c r="A4911" s="4" t="s">
        <v>9872</v>
      </c>
      <c r="B4911" s="4" t="s">
        <v>9873</v>
      </c>
      <c r="C4911" s="4" t="s">
        <v>35</v>
      </c>
      <c r="D4911" s="2">
        <f>41276716/(10^6)</f>
        <v>41.276716</v>
      </c>
      <c r="E4911" s="5" t="s">
        <v>86</v>
      </c>
      <c r="F4911" s="5">
        <v>1.31796979904175</v>
      </c>
      <c r="G4911" s="5">
        <v>1.39893758296967</v>
      </c>
      <c r="H4911" s="5" t="s">
        <v>86</v>
      </c>
      <c r="I4911" t="s">
        <v>57</v>
      </c>
    </row>
    <row r="4912" spans="1:9">
      <c r="A4912" s="4" t="s">
        <v>9874</v>
      </c>
      <c r="B4912" s="4" t="s">
        <v>9875</v>
      </c>
      <c r="C4912" s="4" t="s">
        <v>43</v>
      </c>
      <c r="D4912" s="2">
        <f>41259628/(10^6)</f>
        <v>41.259628</v>
      </c>
      <c r="E4912" s="5">
        <v>7.75880241394043</v>
      </c>
      <c r="F4912" s="5">
        <v>0.27098348736763</v>
      </c>
      <c r="G4912" s="5">
        <v>1.30695748329163</v>
      </c>
      <c r="H4912" s="5" t="s">
        <v>86</v>
      </c>
      <c r="I4912" t="s">
        <v>57</v>
      </c>
    </row>
    <row r="4913" spans="1:9">
      <c r="A4913" s="4" t="s">
        <v>9876</v>
      </c>
      <c r="B4913" s="4" t="s">
        <v>9877</v>
      </c>
      <c r="C4913" s="4" t="s">
        <v>35</v>
      </c>
      <c r="D4913" s="2">
        <f>41076220/(10^6)</f>
        <v>41.07622</v>
      </c>
      <c r="E4913" s="5">
        <v>14.6493253707886</v>
      </c>
      <c r="F4913" s="5">
        <v>1.36536252498627</v>
      </c>
      <c r="G4913" s="5">
        <v>0.985124826431274</v>
      </c>
      <c r="H4913" s="5">
        <v>8.78135871887207</v>
      </c>
      <c r="I4913" t="s">
        <v>57</v>
      </c>
    </row>
    <row r="4914" spans="1:9">
      <c r="A4914" s="4" t="s">
        <v>9878</v>
      </c>
      <c r="B4914" s="4" t="s">
        <v>9879</v>
      </c>
      <c r="C4914" s="4" t="s">
        <v>41</v>
      </c>
      <c r="D4914" s="2">
        <f>41030100/(10^6)</f>
        <v>41.0301</v>
      </c>
      <c r="E4914" s="5" t="s">
        <v>86</v>
      </c>
      <c r="F4914" s="5" t="s">
        <v>86</v>
      </c>
      <c r="G4914" s="5">
        <v>1.99453139305115</v>
      </c>
      <c r="H4914" s="5" t="s">
        <v>86</v>
      </c>
      <c r="I4914" t="s">
        <v>57</v>
      </c>
    </row>
    <row r="4915" spans="1:9">
      <c r="A4915" s="4" t="s">
        <v>9880</v>
      </c>
      <c r="B4915" s="4" t="s">
        <v>9881</v>
      </c>
      <c r="C4915" s="4" t="s">
        <v>41</v>
      </c>
      <c r="D4915" s="2">
        <f>41019512/(10^6)</f>
        <v>41.019512</v>
      </c>
      <c r="E4915" s="5" t="s">
        <v>86</v>
      </c>
      <c r="F4915" s="5">
        <v>0.752030611038208</v>
      </c>
      <c r="G4915" s="5" t="s">
        <v>86</v>
      </c>
      <c r="H4915" s="5" t="s">
        <v>86</v>
      </c>
      <c r="I4915" t="s">
        <v>57</v>
      </c>
    </row>
    <row r="4916" spans="1:9">
      <c r="A4916" s="4" t="s">
        <v>9882</v>
      </c>
      <c r="B4916" s="4" t="s">
        <v>9883</v>
      </c>
      <c r="C4916" s="4" t="s">
        <v>47</v>
      </c>
      <c r="D4916" s="2">
        <f>40979728/(10^6)</f>
        <v>40.979728</v>
      </c>
      <c r="E4916" s="5">
        <v>9.72641086578369</v>
      </c>
      <c r="F4916" s="5" t="s">
        <v>86</v>
      </c>
      <c r="G4916" s="5">
        <v>0.674841165542603</v>
      </c>
      <c r="H4916" s="5">
        <v>9.50256824493408</v>
      </c>
      <c r="I4916" t="s">
        <v>57</v>
      </c>
    </row>
    <row r="4917" spans="1:9">
      <c r="A4917" s="4" t="s">
        <v>9884</v>
      </c>
      <c r="B4917" s="4" t="s">
        <v>9885</v>
      </c>
      <c r="C4917" s="4" t="s">
        <v>27</v>
      </c>
      <c r="D4917" s="2">
        <f>40918588/(10^6)</f>
        <v>40.918588</v>
      </c>
      <c r="E4917" s="5">
        <v>24.7734203338623</v>
      </c>
      <c r="F4917" s="5">
        <v>0.873787879943848</v>
      </c>
      <c r="G4917" s="5">
        <v>1.04566419124603</v>
      </c>
      <c r="H4917" s="5">
        <v>6.44494771957397</v>
      </c>
      <c r="I4917" t="s">
        <v>57</v>
      </c>
    </row>
    <row r="4918" spans="1:9">
      <c r="A4918" s="4" t="s">
        <v>9886</v>
      </c>
      <c r="B4918" s="4" t="s">
        <v>9887</v>
      </c>
      <c r="C4918" s="4" t="s">
        <v>51</v>
      </c>
      <c r="D4918" s="2">
        <f>40906684/(10^6)</f>
        <v>40.906684</v>
      </c>
      <c r="E4918" s="5" t="s">
        <v>86</v>
      </c>
      <c r="F4918" s="5">
        <v>2.61568832397461</v>
      </c>
      <c r="G4918" s="5">
        <v>1.13184070587158</v>
      </c>
      <c r="H4918" s="5">
        <v>142.924438476562</v>
      </c>
      <c r="I4918" t="s">
        <v>57</v>
      </c>
    </row>
    <row r="4919" spans="1:9">
      <c r="A4919" s="4" t="s">
        <v>9888</v>
      </c>
      <c r="B4919" s="4" t="s">
        <v>9889</v>
      </c>
      <c r="C4919" s="4" t="s">
        <v>41</v>
      </c>
      <c r="D4919" s="2">
        <f>40882464/(10^6)</f>
        <v>40.882464</v>
      </c>
      <c r="E4919" s="5" t="s">
        <v>86</v>
      </c>
      <c r="F4919" s="5" t="s">
        <v>86</v>
      </c>
      <c r="G4919" s="5">
        <v>28.3179702758789</v>
      </c>
      <c r="H4919" s="5" t="s">
        <v>86</v>
      </c>
      <c r="I4919" t="s">
        <v>57</v>
      </c>
    </row>
    <row r="4920" spans="1:9">
      <c r="A4920" s="4" t="s">
        <v>9890</v>
      </c>
      <c r="B4920" s="4" t="s">
        <v>9891</v>
      </c>
      <c r="C4920" s="4" t="s">
        <v>33</v>
      </c>
      <c r="D4920" s="2">
        <f>40881244/(10^6)</f>
        <v>40.881244</v>
      </c>
      <c r="E4920" s="5">
        <v>9.03129768371582</v>
      </c>
      <c r="F4920" s="5">
        <v>3.7724404335022</v>
      </c>
      <c r="G4920" s="5">
        <v>0.378583341836929</v>
      </c>
      <c r="H4920" s="5">
        <v>2.30053663253784</v>
      </c>
      <c r="I4920" t="s">
        <v>57</v>
      </c>
    </row>
    <row r="4921" spans="1:9">
      <c r="A4921" s="4" t="s">
        <v>9892</v>
      </c>
      <c r="B4921" s="4" t="s">
        <v>9893</v>
      </c>
      <c r="C4921" s="4" t="s">
        <v>31</v>
      </c>
      <c r="D4921" s="2">
        <f>40860760/(10^6)</f>
        <v>40.86076</v>
      </c>
      <c r="E4921" s="5" t="s">
        <v>86</v>
      </c>
      <c r="F4921" s="5" t="s">
        <v>86</v>
      </c>
      <c r="G4921" s="5">
        <v>3.95851492881775</v>
      </c>
      <c r="H4921" s="5" t="s">
        <v>86</v>
      </c>
      <c r="I4921" t="s">
        <v>57</v>
      </c>
    </row>
    <row r="4922" spans="1:9">
      <c r="A4922" s="4" t="s">
        <v>9894</v>
      </c>
      <c r="B4922" s="4" t="s">
        <v>9895</v>
      </c>
      <c r="C4922" s="4" t="s">
        <v>49</v>
      </c>
      <c r="D4922" s="2">
        <f>40779284/(10^6)</f>
        <v>40.779284</v>
      </c>
      <c r="E4922" s="5" t="s">
        <v>86</v>
      </c>
      <c r="F4922" s="5" t="s">
        <v>86</v>
      </c>
      <c r="G4922" s="5" t="s">
        <v>86</v>
      </c>
      <c r="H4922" s="5" t="s">
        <v>86</v>
      </c>
      <c r="I4922" t="s">
        <v>57</v>
      </c>
    </row>
    <row r="4923" spans="1:9">
      <c r="A4923" s="4" t="s">
        <v>9896</v>
      </c>
      <c r="B4923" s="4" t="s">
        <v>9897</v>
      </c>
      <c r="C4923" s="4" t="s">
        <v>49</v>
      </c>
      <c r="D4923" s="2">
        <f>40458180/(10^6)</f>
        <v>40.45818</v>
      </c>
      <c r="E4923" s="5" t="s">
        <v>86</v>
      </c>
      <c r="F4923" s="5" t="s">
        <v>86</v>
      </c>
      <c r="G4923" s="5" t="s">
        <v>86</v>
      </c>
      <c r="H4923" s="5" t="s">
        <v>86</v>
      </c>
      <c r="I4923" t="s">
        <v>57</v>
      </c>
    </row>
    <row r="4924" spans="1:9">
      <c r="A4924" s="4" t="s">
        <v>9898</v>
      </c>
      <c r="B4924" s="4" t="s">
        <v>9899</v>
      </c>
      <c r="C4924" s="4" t="s">
        <v>31</v>
      </c>
      <c r="D4924" s="2">
        <f>40277672/(10^6)</f>
        <v>40.277672</v>
      </c>
      <c r="E4924" s="5" t="s">
        <v>86</v>
      </c>
      <c r="F4924" s="5">
        <v>0.44577631354332</v>
      </c>
      <c r="G4924" s="5" t="s">
        <v>86</v>
      </c>
      <c r="H4924" s="5" t="s">
        <v>86</v>
      </c>
      <c r="I4924" t="s">
        <v>57</v>
      </c>
    </row>
    <row r="4925" spans="1:9">
      <c r="A4925" s="4" t="s">
        <v>9900</v>
      </c>
      <c r="B4925" s="4" t="s">
        <v>9901</v>
      </c>
      <c r="C4925" s="4" t="s">
        <v>43</v>
      </c>
      <c r="D4925" s="2">
        <f>40242024/(10^6)</f>
        <v>40.242024</v>
      </c>
      <c r="E4925" s="5" t="s">
        <v>86</v>
      </c>
      <c r="F4925" s="5" t="s">
        <v>86</v>
      </c>
      <c r="G4925" s="5" t="s">
        <v>86</v>
      </c>
      <c r="H4925" s="5" t="s">
        <v>86</v>
      </c>
      <c r="I4925" t="s">
        <v>57</v>
      </c>
    </row>
    <row r="4926" spans="1:9">
      <c r="A4926" s="4" t="s">
        <v>9902</v>
      </c>
      <c r="B4926" s="4" t="s">
        <v>9903</v>
      </c>
      <c r="C4926" s="4" t="s">
        <v>43</v>
      </c>
      <c r="D4926" s="2">
        <f>39922812/(10^6)</f>
        <v>39.922812</v>
      </c>
      <c r="E4926" s="5">
        <v>7.1875</v>
      </c>
      <c r="F4926" s="5">
        <v>0.652427554130554</v>
      </c>
      <c r="G4926" s="5">
        <v>1.08789217472076</v>
      </c>
      <c r="H4926" s="5" t="s">
        <v>86</v>
      </c>
      <c r="I4926" t="s">
        <v>57</v>
      </c>
    </row>
    <row r="4927" spans="1:9">
      <c r="A4927" s="4" t="s">
        <v>9904</v>
      </c>
      <c r="B4927" s="4" t="s">
        <v>9905</v>
      </c>
      <c r="C4927" s="4" t="s">
        <v>41</v>
      </c>
      <c r="D4927" s="2">
        <f>39893380/(10^6)</f>
        <v>39.89338</v>
      </c>
      <c r="E4927" s="5" t="s">
        <v>86</v>
      </c>
      <c r="F4927" s="5" t="s">
        <v>86</v>
      </c>
      <c r="G4927" s="5" t="s">
        <v>86</v>
      </c>
      <c r="H4927" s="5" t="s">
        <v>86</v>
      </c>
      <c r="I4927" t="s">
        <v>57</v>
      </c>
    </row>
    <row r="4928" spans="1:9">
      <c r="A4928" s="4" t="s">
        <v>9906</v>
      </c>
      <c r="B4928" s="4" t="s">
        <v>9907</v>
      </c>
      <c r="C4928" s="4" t="s">
        <v>41</v>
      </c>
      <c r="D4928" s="2">
        <f>39887636/(10^6)</f>
        <v>39.887636</v>
      </c>
      <c r="E4928" s="5" t="s">
        <v>86</v>
      </c>
      <c r="F4928" s="5">
        <v>1.04596793651581</v>
      </c>
      <c r="G4928" s="5">
        <v>3.57001185417175</v>
      </c>
      <c r="H4928" s="5" t="s">
        <v>86</v>
      </c>
      <c r="I4928" t="s">
        <v>57</v>
      </c>
    </row>
    <row r="4929" spans="1:9">
      <c r="A4929" s="4" t="s">
        <v>9908</v>
      </c>
      <c r="B4929" s="4" t="s">
        <v>9909</v>
      </c>
      <c r="C4929" s="4" t="s">
        <v>41</v>
      </c>
      <c r="D4929" s="2">
        <f>39794500/(10^6)</f>
        <v>39.7945</v>
      </c>
      <c r="E4929" s="5" t="s">
        <v>86</v>
      </c>
      <c r="F4929" s="5" t="s">
        <v>86</v>
      </c>
      <c r="G4929" s="5">
        <v>0.615314543247223</v>
      </c>
      <c r="H4929" s="5" t="s">
        <v>86</v>
      </c>
      <c r="I4929" t="s">
        <v>57</v>
      </c>
    </row>
    <row r="4930" spans="1:9">
      <c r="A4930" s="4" t="s">
        <v>9910</v>
      </c>
      <c r="B4930" s="4" t="s">
        <v>9911</v>
      </c>
      <c r="C4930" s="4" t="s">
        <v>41</v>
      </c>
      <c r="D4930" s="2">
        <f>39730796/(10^6)</f>
        <v>39.730796</v>
      </c>
      <c r="E4930" s="5" t="s">
        <v>86</v>
      </c>
      <c r="F4930" s="5">
        <v>4.42947244644165</v>
      </c>
      <c r="G4930" s="5" t="s">
        <v>86</v>
      </c>
      <c r="H4930" s="5" t="s">
        <v>86</v>
      </c>
      <c r="I4930" t="s">
        <v>57</v>
      </c>
    </row>
    <row r="4931" spans="1:9">
      <c r="A4931" s="4" t="s">
        <v>9912</v>
      </c>
      <c r="B4931" s="4" t="s">
        <v>9913</v>
      </c>
      <c r="C4931" s="4" t="s">
        <v>41</v>
      </c>
      <c r="D4931" s="2">
        <f>39545152/(10^6)</f>
        <v>39.545152</v>
      </c>
      <c r="E4931" s="5" t="s">
        <v>86</v>
      </c>
      <c r="F4931" s="5" t="s">
        <v>86</v>
      </c>
      <c r="G4931" s="5" t="s">
        <v>86</v>
      </c>
      <c r="H4931" s="5" t="s">
        <v>86</v>
      </c>
      <c r="I4931" t="s">
        <v>57</v>
      </c>
    </row>
    <row r="4932" spans="1:9">
      <c r="A4932" s="4" t="s">
        <v>9914</v>
      </c>
      <c r="B4932" s="4" t="s">
        <v>9915</v>
      </c>
      <c r="C4932" s="4" t="s">
        <v>49</v>
      </c>
      <c r="D4932" s="2">
        <f>39533440/(10^6)</f>
        <v>39.53344</v>
      </c>
      <c r="E4932" s="5" t="s">
        <v>86</v>
      </c>
      <c r="F4932" s="5" t="s">
        <v>86</v>
      </c>
      <c r="G4932" s="5" t="s">
        <v>86</v>
      </c>
      <c r="H4932" s="5" t="s">
        <v>86</v>
      </c>
      <c r="I4932" t="s">
        <v>57</v>
      </c>
    </row>
    <row r="4933" spans="1:9">
      <c r="A4933" s="4" t="s">
        <v>9916</v>
      </c>
      <c r="B4933" s="4" t="s">
        <v>9917</v>
      </c>
      <c r="C4933" s="4" t="s">
        <v>47</v>
      </c>
      <c r="D4933" s="2">
        <f>39137392/(10^6)</f>
        <v>39.137392</v>
      </c>
      <c r="E4933" s="5" t="s">
        <v>86</v>
      </c>
      <c r="F4933" s="5">
        <v>3.45310115814209</v>
      </c>
      <c r="G4933" s="5">
        <v>1.07137548923492</v>
      </c>
      <c r="H4933" s="5">
        <v>92.6022109985352</v>
      </c>
      <c r="I4933" t="s">
        <v>57</v>
      </c>
    </row>
    <row r="4934" spans="1:9">
      <c r="A4934" s="4" t="s">
        <v>9918</v>
      </c>
      <c r="B4934" s="4" t="s">
        <v>9919</v>
      </c>
      <c r="C4934" s="4" t="s">
        <v>43</v>
      </c>
      <c r="D4934" s="2">
        <f>39133772/(10^6)</f>
        <v>39.133772</v>
      </c>
      <c r="E4934" s="5">
        <v>14.6923084259033</v>
      </c>
      <c r="F4934" s="5">
        <v>1.56364643573761</v>
      </c>
      <c r="G4934" s="5">
        <v>2.61527895927429</v>
      </c>
      <c r="H4934" s="5" t="s">
        <v>86</v>
      </c>
      <c r="I4934" t="s">
        <v>57</v>
      </c>
    </row>
    <row r="4935" spans="1:9">
      <c r="A4935" s="4" t="s">
        <v>9920</v>
      </c>
      <c r="B4935" s="4" t="s">
        <v>9921</v>
      </c>
      <c r="C4935" s="4" t="s">
        <v>49</v>
      </c>
      <c r="D4935" s="2">
        <f>39033032/(10^6)</f>
        <v>39.033032</v>
      </c>
      <c r="E4935" s="5">
        <v>17.5438594818115</v>
      </c>
      <c r="F4935" s="5">
        <v>1.6251665353775</v>
      </c>
      <c r="G4935" s="5">
        <v>2.21019148826599</v>
      </c>
      <c r="H4935" s="5" t="s">
        <v>86</v>
      </c>
      <c r="I4935" t="s">
        <v>57</v>
      </c>
    </row>
    <row r="4936" spans="1:9">
      <c r="A4936" s="4" t="s">
        <v>9922</v>
      </c>
      <c r="B4936" s="4" t="s">
        <v>9923</v>
      </c>
      <c r="C4936" s="4" t="s">
        <v>41</v>
      </c>
      <c r="D4936" s="2">
        <f>38910304/(10^6)</f>
        <v>38.910304</v>
      </c>
      <c r="E4936" s="5">
        <v>4.5</v>
      </c>
      <c r="F4936" s="5">
        <v>1.11667466163635</v>
      </c>
      <c r="G4936" s="5">
        <v>0.911688089370728</v>
      </c>
      <c r="H4936" s="5" t="s">
        <v>86</v>
      </c>
      <c r="I4936" t="s">
        <v>57</v>
      </c>
    </row>
    <row r="4937" spans="1:9">
      <c r="A4937" s="4" t="s">
        <v>9924</v>
      </c>
      <c r="B4937" s="4" t="s">
        <v>9925</v>
      </c>
      <c r="C4937" s="4" t="s">
        <v>33</v>
      </c>
      <c r="D4937" s="2">
        <f>38839384/(10^6)</f>
        <v>38.839384</v>
      </c>
      <c r="E4937" s="5">
        <v>0.641066908836365</v>
      </c>
      <c r="F4937" s="5" t="s">
        <v>86</v>
      </c>
      <c r="G4937" s="5">
        <v>0.004622529260814</v>
      </c>
      <c r="H4937" s="5" t="s">
        <v>86</v>
      </c>
      <c r="I4937" t="s">
        <v>57</v>
      </c>
    </row>
    <row r="4938" spans="1:9">
      <c r="A4938" s="4" t="s">
        <v>9926</v>
      </c>
      <c r="B4938" s="4" t="s">
        <v>9927</v>
      </c>
      <c r="C4938" s="4" t="s">
        <v>41</v>
      </c>
      <c r="D4938" s="2">
        <f>38741584/(10^6)</f>
        <v>38.741584</v>
      </c>
      <c r="E4938" s="5" t="s">
        <v>86</v>
      </c>
      <c r="F4938" s="5">
        <v>1.3835574388504</v>
      </c>
      <c r="G4938" s="5">
        <v>1.40809369087219</v>
      </c>
      <c r="H4938" s="5" t="s">
        <v>86</v>
      </c>
      <c r="I4938" t="s">
        <v>57</v>
      </c>
    </row>
    <row r="4939" spans="1:9">
      <c r="A4939" s="4" t="s">
        <v>9928</v>
      </c>
      <c r="B4939" s="4" t="s">
        <v>9929</v>
      </c>
      <c r="C4939" s="4" t="s">
        <v>51</v>
      </c>
      <c r="D4939" s="2">
        <f>38739508/(10^6)</f>
        <v>38.739508</v>
      </c>
      <c r="E4939" s="5">
        <v>13.1352567672729</v>
      </c>
      <c r="F4939" s="5">
        <v>1.21112549304962</v>
      </c>
      <c r="G4939" s="5">
        <v>0.654785752296448</v>
      </c>
      <c r="H4939" s="5">
        <v>5.54144239425659</v>
      </c>
      <c r="I4939" t="s">
        <v>57</v>
      </c>
    </row>
    <row r="4940" spans="1:9">
      <c r="A4940" s="4" t="s">
        <v>9930</v>
      </c>
      <c r="B4940" s="4" t="s">
        <v>9931</v>
      </c>
      <c r="C4940" s="4" t="s">
        <v>43</v>
      </c>
      <c r="D4940" s="2">
        <f>38648400/(10^6)</f>
        <v>38.6484</v>
      </c>
      <c r="E4940" s="5">
        <v>1108.80834960938</v>
      </c>
      <c r="F4940" s="5">
        <v>3.69740343093872</v>
      </c>
      <c r="G4940" s="5">
        <v>154.359283447266</v>
      </c>
      <c r="H4940" s="5" t="s">
        <v>86</v>
      </c>
      <c r="I4940" t="s">
        <v>57</v>
      </c>
    </row>
    <row r="4941" spans="1:9">
      <c r="A4941" s="4" t="s">
        <v>9932</v>
      </c>
      <c r="B4941" s="4" t="s">
        <v>9933</v>
      </c>
      <c r="C4941" s="4" t="s">
        <v>43</v>
      </c>
      <c r="D4941" s="2">
        <f>38457588/(10^6)</f>
        <v>38.457588</v>
      </c>
      <c r="E4941" s="5" t="s">
        <v>86</v>
      </c>
      <c r="F4941" s="5">
        <v>0.787291049957275</v>
      </c>
      <c r="G4941" s="5">
        <v>1.91702878475189</v>
      </c>
      <c r="H4941" s="5" t="s">
        <v>86</v>
      </c>
      <c r="I4941" t="s">
        <v>57</v>
      </c>
    </row>
    <row r="4942" spans="1:9">
      <c r="A4942" s="4" t="s">
        <v>9934</v>
      </c>
      <c r="B4942" s="4" t="s">
        <v>9935</v>
      </c>
      <c r="C4942" s="4" t="s">
        <v>35</v>
      </c>
      <c r="D4942" s="2">
        <f>38361400/(10^6)</f>
        <v>38.3614</v>
      </c>
      <c r="E4942" s="5" t="s">
        <v>86</v>
      </c>
      <c r="F4942" s="5">
        <v>2.82241368293762</v>
      </c>
      <c r="G4942" s="5">
        <v>8.83149433135986</v>
      </c>
      <c r="H4942" s="5" t="s">
        <v>86</v>
      </c>
      <c r="I4942" t="s">
        <v>57</v>
      </c>
    </row>
    <row r="4943" spans="1:9">
      <c r="A4943" s="4" t="s">
        <v>9936</v>
      </c>
      <c r="B4943" s="4" t="s">
        <v>9937</v>
      </c>
      <c r="C4943" s="4" t="s">
        <v>31</v>
      </c>
      <c r="D4943" s="2">
        <f>38306000/(10^6)</f>
        <v>38.306</v>
      </c>
      <c r="E4943" s="5" t="s">
        <v>86</v>
      </c>
      <c r="F4943" s="5">
        <v>0.142769932746887</v>
      </c>
      <c r="G4943" s="5">
        <v>0.068092107772827</v>
      </c>
      <c r="H4943" s="5" t="s">
        <v>86</v>
      </c>
      <c r="I4943" t="s">
        <v>57</v>
      </c>
    </row>
    <row r="4944" spans="1:9">
      <c r="A4944" s="4" t="s">
        <v>9938</v>
      </c>
      <c r="B4944" s="4" t="s">
        <v>9939</v>
      </c>
      <c r="C4944" s="4" t="s">
        <v>43</v>
      </c>
      <c r="D4944" s="2">
        <f>38161948/(10^6)</f>
        <v>38.161948</v>
      </c>
      <c r="E4944" s="5" t="s">
        <v>86</v>
      </c>
      <c r="F4944" s="5">
        <v>0.999500930309296</v>
      </c>
      <c r="G4944" s="5">
        <v>1.9379415512085</v>
      </c>
      <c r="H4944" s="5" t="s">
        <v>86</v>
      </c>
      <c r="I4944" t="s">
        <v>57</v>
      </c>
    </row>
    <row r="4945" spans="1:9">
      <c r="A4945" s="4" t="s">
        <v>9940</v>
      </c>
      <c r="B4945" s="4" t="s">
        <v>9941</v>
      </c>
      <c r="C4945" s="4" t="s">
        <v>37</v>
      </c>
      <c r="D4945" s="2">
        <f>38072368/(10^6)</f>
        <v>38.072368</v>
      </c>
      <c r="E4945" s="5" t="s">
        <v>86</v>
      </c>
      <c r="F4945" s="5" t="s">
        <v>86</v>
      </c>
      <c r="G4945" s="5" t="s">
        <v>86</v>
      </c>
      <c r="H4945" s="5" t="s">
        <v>86</v>
      </c>
      <c r="I4945" t="s">
        <v>57</v>
      </c>
    </row>
    <row r="4946" spans="1:9">
      <c r="A4946" s="4" t="s">
        <v>9942</v>
      </c>
      <c r="B4946" s="4" t="s">
        <v>9943</v>
      </c>
      <c r="C4946" s="4" t="s">
        <v>43</v>
      </c>
      <c r="D4946" s="2">
        <f>38056096/(10^6)</f>
        <v>38.056096</v>
      </c>
      <c r="E4946" s="5" t="s">
        <v>86</v>
      </c>
      <c r="F4946" s="5">
        <v>0.665735304355621</v>
      </c>
      <c r="G4946" s="5" t="s">
        <v>86</v>
      </c>
      <c r="H4946" s="5" t="s">
        <v>86</v>
      </c>
      <c r="I4946" t="s">
        <v>57</v>
      </c>
    </row>
    <row r="4947" spans="1:9">
      <c r="A4947" s="4" t="s">
        <v>9944</v>
      </c>
      <c r="B4947" s="4" t="s">
        <v>9945</v>
      </c>
      <c r="C4947" s="4" t="s">
        <v>51</v>
      </c>
      <c r="D4947" s="2">
        <f>37995220/(10^6)</f>
        <v>37.99522</v>
      </c>
      <c r="E4947" s="5" t="s">
        <v>86</v>
      </c>
      <c r="F4947" s="5" t="s">
        <v>86</v>
      </c>
      <c r="G4947" s="5">
        <v>145.048812866211</v>
      </c>
      <c r="H4947" s="5" t="s">
        <v>86</v>
      </c>
      <c r="I4947" t="s">
        <v>57</v>
      </c>
    </row>
    <row r="4948" spans="1:9">
      <c r="A4948" s="4" t="s">
        <v>9946</v>
      </c>
      <c r="B4948" s="4" t="s">
        <v>9947</v>
      </c>
      <c r="C4948" s="4" t="s">
        <v>47</v>
      </c>
      <c r="D4948" s="2">
        <f>37947656/(10^6)</f>
        <v>37.947656</v>
      </c>
      <c r="E4948" s="5">
        <v>0.606796145439148</v>
      </c>
      <c r="F4948" s="5" t="s">
        <v>86</v>
      </c>
      <c r="G4948" s="5">
        <v>0.90620756149292</v>
      </c>
      <c r="H4948" s="5" t="s">
        <v>86</v>
      </c>
      <c r="I4948" t="s">
        <v>57</v>
      </c>
    </row>
    <row r="4949" spans="1:9">
      <c r="A4949" s="4" t="s">
        <v>9948</v>
      </c>
      <c r="B4949" s="4" t="s">
        <v>9949</v>
      </c>
      <c r="C4949" s="4" t="s">
        <v>41</v>
      </c>
      <c r="D4949" s="2">
        <f>37903580/(10^6)</f>
        <v>37.90358</v>
      </c>
      <c r="E4949" s="5" t="s">
        <v>86</v>
      </c>
      <c r="F4949" s="5">
        <v>0.463934451341629</v>
      </c>
      <c r="G4949" s="5" t="s">
        <v>86</v>
      </c>
      <c r="H4949" s="5" t="s">
        <v>86</v>
      </c>
      <c r="I4949" t="s">
        <v>57</v>
      </c>
    </row>
    <row r="4950" spans="1:9">
      <c r="A4950" s="4" t="s">
        <v>9950</v>
      </c>
      <c r="B4950" s="4" t="s">
        <v>9951</v>
      </c>
      <c r="C4950" s="4" t="s">
        <v>33</v>
      </c>
      <c r="D4950" s="2">
        <f>37899704/(10^6)</f>
        <v>37.899704</v>
      </c>
      <c r="E4950" s="5" t="s">
        <v>86</v>
      </c>
      <c r="F4950" s="5" t="s">
        <v>86</v>
      </c>
      <c r="G4950" s="5" t="s">
        <v>86</v>
      </c>
      <c r="H4950" s="5" t="s">
        <v>86</v>
      </c>
      <c r="I4950" t="s">
        <v>57</v>
      </c>
    </row>
    <row r="4951" spans="1:9">
      <c r="A4951" s="4" t="s">
        <v>9952</v>
      </c>
      <c r="B4951" s="4" t="s">
        <v>9953</v>
      </c>
      <c r="C4951" s="4" t="s">
        <v>43</v>
      </c>
      <c r="D4951" s="2">
        <f>37842640/(10^6)</f>
        <v>37.84264</v>
      </c>
      <c r="E4951" s="5">
        <v>9.07431602478027</v>
      </c>
      <c r="F4951" s="5">
        <v>0.447578489780426</v>
      </c>
      <c r="G4951" s="5">
        <v>0.805380523204803</v>
      </c>
      <c r="H4951" s="5" t="s">
        <v>86</v>
      </c>
      <c r="I4951" t="s">
        <v>57</v>
      </c>
    </row>
    <row r="4952" spans="1:9">
      <c r="A4952" s="4" t="s">
        <v>9954</v>
      </c>
      <c r="B4952" s="4" t="s">
        <v>9955</v>
      </c>
      <c r="C4952" s="4" t="s">
        <v>41</v>
      </c>
      <c r="D4952" s="2">
        <f>37779044/(10^6)</f>
        <v>37.779044</v>
      </c>
      <c r="E4952" s="5" t="s">
        <v>86</v>
      </c>
      <c r="F4952" s="5">
        <v>1.23998260498047</v>
      </c>
      <c r="G4952" s="5">
        <v>12.7746887207031</v>
      </c>
      <c r="H4952" s="5" t="s">
        <v>86</v>
      </c>
      <c r="I4952" t="s">
        <v>57</v>
      </c>
    </row>
    <row r="4953" spans="1:9">
      <c r="A4953" s="4" t="s">
        <v>9956</v>
      </c>
      <c r="B4953" s="4" t="s">
        <v>9957</v>
      </c>
      <c r="C4953" s="4" t="s">
        <v>41</v>
      </c>
      <c r="D4953" s="2">
        <f>37639152/(10^6)</f>
        <v>37.639152</v>
      </c>
      <c r="E4953" s="5" t="s">
        <v>86</v>
      </c>
      <c r="F4953" s="5">
        <v>12.0720357894897</v>
      </c>
      <c r="G4953" s="5">
        <v>5.92270517349243</v>
      </c>
      <c r="H4953" s="5" t="s">
        <v>86</v>
      </c>
      <c r="I4953" t="s">
        <v>57</v>
      </c>
    </row>
    <row r="4954" spans="1:9">
      <c r="A4954" s="4" t="s">
        <v>9958</v>
      </c>
      <c r="B4954" s="4" t="s">
        <v>9959</v>
      </c>
      <c r="C4954" s="4" t="s">
        <v>35</v>
      </c>
      <c r="D4954" s="2">
        <f>37580152/(10^6)</f>
        <v>37.580152</v>
      </c>
      <c r="E4954" s="5" t="s">
        <v>86</v>
      </c>
      <c r="F4954" s="5">
        <v>0.500641465187073</v>
      </c>
      <c r="G4954" s="5">
        <v>0.461579084396362</v>
      </c>
      <c r="H4954" s="5" t="s">
        <v>86</v>
      </c>
      <c r="I4954" t="s">
        <v>57</v>
      </c>
    </row>
    <row r="4955" spans="1:9">
      <c r="A4955" s="4" t="s">
        <v>9960</v>
      </c>
      <c r="B4955" s="4" t="s">
        <v>9961</v>
      </c>
      <c r="C4955" s="4" t="s">
        <v>43</v>
      </c>
      <c r="D4955" s="2">
        <f>37535436/(10^6)</f>
        <v>37.535436</v>
      </c>
      <c r="E4955" s="5">
        <v>7.98758840560913</v>
      </c>
      <c r="F4955" s="5">
        <v>0.890506505966187</v>
      </c>
      <c r="G4955" s="5">
        <v>1.88133060932159</v>
      </c>
      <c r="H4955" s="5" t="s">
        <v>86</v>
      </c>
      <c r="I4955" t="s">
        <v>57</v>
      </c>
    </row>
    <row r="4956" spans="1:9">
      <c r="A4956" s="4" t="s">
        <v>9962</v>
      </c>
      <c r="B4956" s="4" t="s">
        <v>9963</v>
      </c>
      <c r="C4956" s="4" t="s">
        <v>49</v>
      </c>
      <c r="D4956" s="2">
        <f>37516800/(10^6)</f>
        <v>37.5168</v>
      </c>
      <c r="E4956" s="5" t="s">
        <v>86</v>
      </c>
      <c r="F4956" s="5">
        <v>1.62515902519226</v>
      </c>
      <c r="G4956" s="5">
        <v>1.24112665653229</v>
      </c>
      <c r="H4956" s="5" t="s">
        <v>86</v>
      </c>
      <c r="I4956" t="s">
        <v>57</v>
      </c>
    </row>
    <row r="4957" spans="1:9">
      <c r="A4957" s="4" t="s">
        <v>9964</v>
      </c>
      <c r="B4957" s="4" t="s">
        <v>9965</v>
      </c>
      <c r="C4957" s="4" t="s">
        <v>47</v>
      </c>
      <c r="D4957" s="2">
        <f>37499336/(10^6)</f>
        <v>37.499336</v>
      </c>
      <c r="E4957" s="5" t="s">
        <v>86</v>
      </c>
      <c r="F4957" s="5">
        <v>0.775131165981293</v>
      </c>
      <c r="G4957" s="5">
        <v>0.236397415399551</v>
      </c>
      <c r="H4957" s="5" t="s">
        <v>86</v>
      </c>
      <c r="I4957" t="s">
        <v>57</v>
      </c>
    </row>
    <row r="4958" spans="1:9">
      <c r="A4958" s="4" t="s">
        <v>9966</v>
      </c>
      <c r="B4958" s="4" t="s">
        <v>9967</v>
      </c>
      <c r="C4958" s="4" t="s">
        <v>27</v>
      </c>
      <c r="D4958" s="2">
        <f>37435584/(10^6)</f>
        <v>37.435584</v>
      </c>
      <c r="E4958" s="5" t="s">
        <v>86</v>
      </c>
      <c r="F4958" s="5">
        <v>0.055979192256927</v>
      </c>
      <c r="G4958" s="5">
        <v>0.059731230139732</v>
      </c>
      <c r="H4958" s="5">
        <v>13.4326419830322</v>
      </c>
      <c r="I4958" t="s">
        <v>57</v>
      </c>
    </row>
    <row r="4959" spans="1:9">
      <c r="A4959" s="4" t="s">
        <v>9968</v>
      </c>
      <c r="B4959" s="4" t="s">
        <v>9969</v>
      </c>
      <c r="C4959" s="4" t="s">
        <v>47</v>
      </c>
      <c r="D4959" s="2">
        <f>37435340/(10^6)</f>
        <v>37.43534</v>
      </c>
      <c r="E4959" s="5" t="s">
        <v>86</v>
      </c>
      <c r="F4959" s="5">
        <v>1.54433822631836</v>
      </c>
      <c r="G4959" s="5">
        <v>5.06619691848755</v>
      </c>
      <c r="H4959" s="5" t="s">
        <v>86</v>
      </c>
      <c r="I4959" t="s">
        <v>57</v>
      </c>
    </row>
    <row r="4960" spans="1:9">
      <c r="A4960" s="4" t="s">
        <v>9970</v>
      </c>
      <c r="B4960" s="4" t="s">
        <v>9971</v>
      </c>
      <c r="C4960" s="4" t="s">
        <v>27</v>
      </c>
      <c r="D4960" s="2">
        <f>37426316/(10^6)</f>
        <v>37.426316</v>
      </c>
      <c r="E4960" s="5" t="s">
        <v>86</v>
      </c>
      <c r="F4960" s="5">
        <v>0.025495901703835</v>
      </c>
      <c r="G4960" s="5">
        <v>0.162475720047951</v>
      </c>
      <c r="H4960" s="5">
        <v>39.0762557983398</v>
      </c>
      <c r="I4960" t="s">
        <v>57</v>
      </c>
    </row>
    <row r="4961" spans="1:9">
      <c r="A4961" s="4" t="s">
        <v>9972</v>
      </c>
      <c r="B4961" s="4" t="s">
        <v>9973</v>
      </c>
      <c r="C4961" s="4" t="s">
        <v>41</v>
      </c>
      <c r="D4961" s="2">
        <f>37336340/(10^6)</f>
        <v>37.33634</v>
      </c>
      <c r="E4961" s="5" t="s">
        <v>86</v>
      </c>
      <c r="F4961" s="5">
        <v>6.05625057220459</v>
      </c>
      <c r="G4961" s="5">
        <v>4.4426736831665</v>
      </c>
      <c r="H4961" s="5" t="s">
        <v>86</v>
      </c>
      <c r="I4961" t="s">
        <v>57</v>
      </c>
    </row>
    <row r="4962" spans="1:9">
      <c r="A4962" s="4" t="s">
        <v>9974</v>
      </c>
      <c r="B4962" s="4" t="s">
        <v>9975</v>
      </c>
      <c r="C4962" s="4" t="s">
        <v>51</v>
      </c>
      <c r="D4962" s="2">
        <f>37210852/(10^6)</f>
        <v>37.210852</v>
      </c>
      <c r="E4962" s="5" t="s">
        <v>86</v>
      </c>
      <c r="F4962" s="5">
        <v>1.74726319313049</v>
      </c>
      <c r="G4962" s="5" t="s">
        <v>86</v>
      </c>
      <c r="H4962" s="5" t="s">
        <v>86</v>
      </c>
      <c r="I4962" t="s">
        <v>57</v>
      </c>
    </row>
    <row r="4963" spans="1:9">
      <c r="A4963" s="4" t="s">
        <v>9976</v>
      </c>
      <c r="B4963" s="4" t="s">
        <v>9977</v>
      </c>
      <c r="C4963" s="4" t="s">
        <v>31</v>
      </c>
      <c r="D4963" s="2">
        <f>37153336/(10^6)</f>
        <v>37.153336</v>
      </c>
      <c r="E4963" s="5">
        <v>147.263442993164</v>
      </c>
      <c r="F4963" s="5">
        <v>3.9483540058136</v>
      </c>
      <c r="G4963" s="5">
        <v>2.34736132621765</v>
      </c>
      <c r="H4963" s="5">
        <v>30.7293472290039</v>
      </c>
      <c r="I4963" t="s">
        <v>57</v>
      </c>
    </row>
    <row r="4964" spans="1:9">
      <c r="A4964" s="4" t="s">
        <v>9978</v>
      </c>
      <c r="B4964" s="4" t="s">
        <v>9979</v>
      </c>
      <c r="C4964" s="4" t="s">
        <v>43</v>
      </c>
      <c r="D4964" s="2">
        <f>36853616/(10^6)</f>
        <v>36.853616</v>
      </c>
      <c r="E4964" s="5">
        <v>11.0776691436768</v>
      </c>
      <c r="F4964" s="5">
        <v>1.17103815078735</v>
      </c>
      <c r="G4964" s="5">
        <v>2.54705405235291</v>
      </c>
      <c r="H4964" s="5" t="s">
        <v>86</v>
      </c>
      <c r="I4964" t="s">
        <v>57</v>
      </c>
    </row>
    <row r="4965" spans="1:9">
      <c r="A4965" s="4" t="s">
        <v>9980</v>
      </c>
      <c r="B4965" s="4" t="s">
        <v>9981</v>
      </c>
      <c r="C4965" s="4" t="s">
        <v>51</v>
      </c>
      <c r="D4965" s="2">
        <f>36734760/(10^6)</f>
        <v>36.73476</v>
      </c>
      <c r="E4965" s="5" t="s">
        <v>86</v>
      </c>
      <c r="F4965" s="5">
        <v>0.839441299438477</v>
      </c>
      <c r="G4965" s="5">
        <v>0.299931347370148</v>
      </c>
      <c r="H4965" s="5">
        <v>4.78528881072998</v>
      </c>
      <c r="I4965" t="s">
        <v>57</v>
      </c>
    </row>
    <row r="4966" spans="1:9">
      <c r="A4966" s="4" t="s">
        <v>9982</v>
      </c>
      <c r="B4966" s="4" t="s">
        <v>9983</v>
      </c>
      <c r="C4966" s="4" t="s">
        <v>43</v>
      </c>
      <c r="D4966" s="2">
        <f>36697324/(10^6)</f>
        <v>36.697324</v>
      </c>
      <c r="E4966" s="5" t="s">
        <v>86</v>
      </c>
      <c r="F4966" s="5" t="s">
        <v>86</v>
      </c>
      <c r="G4966" s="5" t="s">
        <v>86</v>
      </c>
      <c r="H4966" s="5" t="s">
        <v>86</v>
      </c>
      <c r="I4966" t="s">
        <v>57</v>
      </c>
    </row>
    <row r="4967" spans="1:9">
      <c r="A4967" s="4" t="s">
        <v>9984</v>
      </c>
      <c r="B4967" s="4" t="s">
        <v>9985</v>
      </c>
      <c r="C4967" s="4" t="s">
        <v>47</v>
      </c>
      <c r="D4967" s="2">
        <f>36665980/(10^6)</f>
        <v>36.66598</v>
      </c>
      <c r="E4967" s="5">
        <v>8.32014179229736</v>
      </c>
      <c r="F4967" s="5">
        <v>0.591823279857635</v>
      </c>
      <c r="G4967" s="5">
        <v>0.026814857497811</v>
      </c>
      <c r="H4967" s="5">
        <v>9.55191135406494</v>
      </c>
      <c r="I4967" t="s">
        <v>57</v>
      </c>
    </row>
    <row r="4968" spans="1:9">
      <c r="A4968" s="4" t="s">
        <v>9986</v>
      </c>
      <c r="B4968" s="4" t="s">
        <v>9987</v>
      </c>
      <c r="C4968" s="4" t="s">
        <v>41</v>
      </c>
      <c r="D4968" s="2">
        <f>36628056/(10^6)</f>
        <v>36.628056</v>
      </c>
      <c r="E4968" s="5" t="s">
        <v>86</v>
      </c>
      <c r="F4968" s="5">
        <v>5.03006029129028</v>
      </c>
      <c r="G4968" s="5">
        <v>9.82469844818115</v>
      </c>
      <c r="H4968" s="5" t="s">
        <v>86</v>
      </c>
      <c r="I4968" t="s">
        <v>57</v>
      </c>
    </row>
    <row r="4969" spans="1:9">
      <c r="A4969" s="4" t="s">
        <v>9988</v>
      </c>
      <c r="B4969" s="4" t="s">
        <v>9989</v>
      </c>
      <c r="C4969" s="4" t="s">
        <v>43</v>
      </c>
      <c r="D4969" s="2">
        <f>36590112/(10^6)</f>
        <v>36.590112</v>
      </c>
      <c r="E4969" s="5" t="s">
        <v>86</v>
      </c>
      <c r="F4969" s="5">
        <v>0.566084027290344</v>
      </c>
      <c r="G4969" s="5">
        <v>0.584920287132263</v>
      </c>
      <c r="H4969" s="5" t="s">
        <v>86</v>
      </c>
      <c r="I4969" t="s">
        <v>57</v>
      </c>
    </row>
    <row r="4970" spans="1:9">
      <c r="A4970" s="4" t="s">
        <v>9990</v>
      </c>
      <c r="B4970" s="4" t="s">
        <v>9991</v>
      </c>
      <c r="C4970" s="4" t="s">
        <v>37</v>
      </c>
      <c r="D4970" s="2">
        <f>36576712/(10^6)</f>
        <v>36.576712</v>
      </c>
      <c r="E4970" s="5" t="s">
        <v>86</v>
      </c>
      <c r="F4970" s="5" t="s">
        <v>86</v>
      </c>
      <c r="G4970" s="5" t="s">
        <v>86</v>
      </c>
      <c r="H4970" s="5" t="s">
        <v>86</v>
      </c>
      <c r="I4970" t="s">
        <v>57</v>
      </c>
    </row>
    <row r="4971" spans="1:9">
      <c r="A4971" s="4" t="s">
        <v>9992</v>
      </c>
      <c r="B4971" s="4" t="s">
        <v>9993</v>
      </c>
      <c r="C4971" s="4" t="s">
        <v>41</v>
      </c>
      <c r="D4971" s="2">
        <f>36551800/(10^6)</f>
        <v>36.5518</v>
      </c>
      <c r="E4971" s="5" t="s">
        <v>86</v>
      </c>
      <c r="F4971" s="5">
        <v>0.867039918899536</v>
      </c>
      <c r="G4971" s="5">
        <v>5.15999746322632</v>
      </c>
      <c r="H4971" s="5" t="s">
        <v>86</v>
      </c>
      <c r="I4971" t="s">
        <v>57</v>
      </c>
    </row>
    <row r="4972" spans="1:9">
      <c r="A4972" s="4" t="s">
        <v>9994</v>
      </c>
      <c r="B4972" s="4" t="s">
        <v>9995</v>
      </c>
      <c r="C4972" s="4" t="s">
        <v>47</v>
      </c>
      <c r="D4972" s="2">
        <f>36381860/(10^6)</f>
        <v>36.38186</v>
      </c>
      <c r="E4972" s="5">
        <v>1.32500541210175</v>
      </c>
      <c r="F4972" s="5" t="s">
        <v>86</v>
      </c>
      <c r="G4972" s="5">
        <v>0.017403950914741</v>
      </c>
      <c r="H4972" s="5">
        <v>4.97276449203491</v>
      </c>
      <c r="I4972" t="s">
        <v>57</v>
      </c>
    </row>
    <row r="4973" spans="1:9">
      <c r="A4973" s="4" t="s">
        <v>9996</v>
      </c>
      <c r="B4973" s="4" t="s">
        <v>9997</v>
      </c>
      <c r="C4973" s="4" t="s">
        <v>49</v>
      </c>
      <c r="D4973" s="2">
        <f>36343352/(10^6)</f>
        <v>36.343352</v>
      </c>
      <c r="E4973" s="5" t="s">
        <v>86</v>
      </c>
      <c r="F4973" s="5" t="s">
        <v>86</v>
      </c>
      <c r="G4973" s="5" t="s">
        <v>86</v>
      </c>
      <c r="H4973" s="5" t="s">
        <v>86</v>
      </c>
      <c r="I4973" t="s">
        <v>57</v>
      </c>
    </row>
    <row r="4974" spans="1:9">
      <c r="A4974" s="4" t="s">
        <v>9998</v>
      </c>
      <c r="B4974" s="4" t="s">
        <v>9999</v>
      </c>
      <c r="C4974" s="4" t="s">
        <v>41</v>
      </c>
      <c r="D4974" s="2">
        <f>36288284/(10^6)</f>
        <v>36.288284</v>
      </c>
      <c r="E4974" s="5" t="s">
        <v>86</v>
      </c>
      <c r="F4974" s="5">
        <v>13.2199716567993</v>
      </c>
      <c r="G4974" s="5" t="s">
        <v>86</v>
      </c>
      <c r="H4974" s="5" t="s">
        <v>86</v>
      </c>
      <c r="I4974" t="s">
        <v>57</v>
      </c>
    </row>
    <row r="4975" spans="1:9">
      <c r="A4975" s="4" t="s">
        <v>10000</v>
      </c>
      <c r="B4975" s="4" t="s">
        <v>10001</v>
      </c>
      <c r="C4975" s="4" t="s">
        <v>33</v>
      </c>
      <c r="D4975" s="2">
        <f>36273572/(10^6)</f>
        <v>36.273572</v>
      </c>
      <c r="E4975" s="5" t="s">
        <v>86</v>
      </c>
      <c r="F4975" s="5">
        <v>0.450724750757217</v>
      </c>
      <c r="G4975" s="5">
        <v>0.186464324593544</v>
      </c>
      <c r="H4975" s="5">
        <v>0.347370058298111</v>
      </c>
      <c r="I4975" t="s">
        <v>57</v>
      </c>
    </row>
    <row r="4976" spans="1:9">
      <c r="A4976" s="4" t="s">
        <v>10002</v>
      </c>
      <c r="B4976" s="4" t="s">
        <v>10003</v>
      </c>
      <c r="C4976" s="4" t="s">
        <v>41</v>
      </c>
      <c r="D4976" s="2">
        <f>36240488/(10^6)</f>
        <v>36.240488</v>
      </c>
      <c r="E4976" s="5" t="s">
        <v>86</v>
      </c>
      <c r="F4976" s="5">
        <v>3.50236320495606</v>
      </c>
      <c r="G4976" s="5">
        <v>0.734371602535248</v>
      </c>
      <c r="H4976" s="5">
        <v>42.7477722167969</v>
      </c>
      <c r="I4976" t="s">
        <v>57</v>
      </c>
    </row>
    <row r="4977" spans="1:9">
      <c r="A4977" s="4" t="s">
        <v>10004</v>
      </c>
      <c r="B4977" s="4" t="s">
        <v>10005</v>
      </c>
      <c r="C4977" s="4" t="s">
        <v>43</v>
      </c>
      <c r="D4977" s="2">
        <f>36196824/(10^6)</f>
        <v>36.196824</v>
      </c>
      <c r="E4977" s="5" t="s">
        <v>86</v>
      </c>
      <c r="F4977" s="5">
        <v>0.635102331638336</v>
      </c>
      <c r="G4977" s="5" t="s">
        <v>86</v>
      </c>
      <c r="H4977" s="5" t="s">
        <v>86</v>
      </c>
      <c r="I4977" t="s">
        <v>57</v>
      </c>
    </row>
    <row r="4978" spans="1:9">
      <c r="A4978" s="4" t="s">
        <v>10006</v>
      </c>
      <c r="B4978" s="4" t="s">
        <v>10007</v>
      </c>
      <c r="C4978" s="4" t="s">
        <v>41</v>
      </c>
      <c r="D4978" s="2">
        <f>36191096/(10^6)</f>
        <v>36.191096</v>
      </c>
      <c r="E4978" s="5" t="s">
        <v>86</v>
      </c>
      <c r="F4978" s="5" t="s">
        <v>86</v>
      </c>
      <c r="G4978" s="5">
        <v>27.4653701782227</v>
      </c>
      <c r="H4978" s="5" t="s">
        <v>86</v>
      </c>
      <c r="I4978" t="s">
        <v>57</v>
      </c>
    </row>
    <row r="4979" spans="1:9">
      <c r="A4979" s="4" t="s">
        <v>10008</v>
      </c>
      <c r="B4979" s="4" t="s">
        <v>10009</v>
      </c>
      <c r="C4979" s="4" t="s">
        <v>43</v>
      </c>
      <c r="D4979" s="2">
        <f>36094268/(10^6)</f>
        <v>36.094268</v>
      </c>
      <c r="E4979" s="5">
        <v>6.95652198791504</v>
      </c>
      <c r="F4979" s="5">
        <v>0.177898198366165</v>
      </c>
      <c r="G4979" s="5">
        <v>0.103702433407307</v>
      </c>
      <c r="H4979" s="5">
        <v>18.2314434051514</v>
      </c>
      <c r="I4979" t="s">
        <v>57</v>
      </c>
    </row>
    <row r="4980" spans="1:9">
      <c r="A4980" s="4" t="s">
        <v>10010</v>
      </c>
      <c r="B4980" s="4" t="s">
        <v>10011</v>
      </c>
      <c r="C4980" s="4" t="s">
        <v>41</v>
      </c>
      <c r="D4980" s="2">
        <f>36027788/(10^6)</f>
        <v>36.027788</v>
      </c>
      <c r="E4980" s="5" t="s">
        <v>86</v>
      </c>
      <c r="F4980" s="5">
        <v>0.66135710477829</v>
      </c>
      <c r="G4980" s="5" t="s">
        <v>86</v>
      </c>
      <c r="H4980" s="5" t="s">
        <v>86</v>
      </c>
      <c r="I4980" t="s">
        <v>57</v>
      </c>
    </row>
    <row r="4981" spans="1:9">
      <c r="A4981" s="4" t="s">
        <v>10012</v>
      </c>
      <c r="B4981" s="4" t="s">
        <v>10013</v>
      </c>
      <c r="C4981" s="4" t="s">
        <v>43</v>
      </c>
      <c r="D4981" s="2">
        <f>36002640/(10^6)</f>
        <v>36.00264</v>
      </c>
      <c r="E4981" s="5">
        <v>12.7848100662231</v>
      </c>
      <c r="F4981" s="5">
        <v>0.970663845539093</v>
      </c>
      <c r="G4981" s="5">
        <v>2.46421003341675</v>
      </c>
      <c r="H4981" s="5" t="s">
        <v>86</v>
      </c>
      <c r="I4981" t="s">
        <v>57</v>
      </c>
    </row>
    <row r="4982" spans="1:9">
      <c r="A4982" s="4" t="s">
        <v>10014</v>
      </c>
      <c r="B4982" s="4" t="s">
        <v>10015</v>
      </c>
      <c r="C4982" s="4" t="s">
        <v>51</v>
      </c>
      <c r="D4982" s="2">
        <f>35977568/(10^6)</f>
        <v>35.977568</v>
      </c>
      <c r="E4982" s="5" t="s">
        <v>86</v>
      </c>
      <c r="F4982" s="5">
        <v>2.25012516975403</v>
      </c>
      <c r="G4982" s="5">
        <v>1.56055557727814</v>
      </c>
      <c r="H4982" s="5" t="s">
        <v>86</v>
      </c>
      <c r="I4982" t="s">
        <v>57</v>
      </c>
    </row>
    <row r="4983" spans="1:9">
      <c r="A4983" s="4" t="s">
        <v>10016</v>
      </c>
      <c r="B4983" s="4" t="s">
        <v>10017</v>
      </c>
      <c r="C4983" s="4" t="s">
        <v>33</v>
      </c>
      <c r="D4983" s="2">
        <f>35966676/(10^6)</f>
        <v>35.966676</v>
      </c>
      <c r="E4983" s="5" t="s">
        <v>86</v>
      </c>
      <c r="F4983" s="5">
        <v>80.0182952880859</v>
      </c>
      <c r="G4983" s="5">
        <v>3.51553869247437</v>
      </c>
      <c r="H4983" s="5" t="s">
        <v>86</v>
      </c>
      <c r="I4983" t="s">
        <v>57</v>
      </c>
    </row>
    <row r="4984" spans="1:9">
      <c r="A4984" s="4" t="s">
        <v>10018</v>
      </c>
      <c r="B4984" s="4" t="s">
        <v>10019</v>
      </c>
      <c r="C4984" s="4" t="s">
        <v>51</v>
      </c>
      <c r="D4984" s="2">
        <f>35857764/(10^6)</f>
        <v>35.857764</v>
      </c>
      <c r="E4984" s="5">
        <v>73.7193603515625</v>
      </c>
      <c r="F4984" s="5">
        <v>3.94651627540588</v>
      </c>
      <c r="G4984" s="5">
        <v>2.79611301422119</v>
      </c>
      <c r="H4984" s="5">
        <v>42.5522422790527</v>
      </c>
      <c r="I4984" t="s">
        <v>57</v>
      </c>
    </row>
    <row r="4985" spans="1:9">
      <c r="A4985" s="4" t="s">
        <v>10020</v>
      </c>
      <c r="B4985" s="4" t="s">
        <v>10021</v>
      </c>
      <c r="C4985" s="4" t="s">
        <v>37</v>
      </c>
      <c r="D4985" s="2">
        <f>35839632/(10^6)</f>
        <v>35.839632</v>
      </c>
      <c r="E4985" s="5" t="s">
        <v>86</v>
      </c>
      <c r="F4985" s="5" t="s">
        <v>86</v>
      </c>
      <c r="G4985" s="5" t="s">
        <v>86</v>
      </c>
      <c r="H4985" s="5" t="s">
        <v>86</v>
      </c>
      <c r="I4985" t="s">
        <v>57</v>
      </c>
    </row>
    <row r="4986" spans="1:9">
      <c r="A4986" s="4" t="s">
        <v>10022</v>
      </c>
      <c r="B4986" s="4" t="s">
        <v>10023</v>
      </c>
      <c r="C4986" s="4" t="s">
        <v>43</v>
      </c>
      <c r="D4986" s="2">
        <f>35761488/(10^6)</f>
        <v>35.761488</v>
      </c>
      <c r="E4986" s="5" t="s">
        <v>86</v>
      </c>
      <c r="F4986" s="5">
        <v>0.668239176273346</v>
      </c>
      <c r="G4986" s="5" t="s">
        <v>86</v>
      </c>
      <c r="H4986" s="5" t="s">
        <v>86</v>
      </c>
      <c r="I4986" t="s">
        <v>57</v>
      </c>
    </row>
    <row r="4987" spans="1:9">
      <c r="A4987" s="4" t="s">
        <v>10024</v>
      </c>
      <c r="B4987" s="4" t="s">
        <v>10025</v>
      </c>
      <c r="C4987" s="4" t="s">
        <v>41</v>
      </c>
      <c r="D4987" s="2">
        <f>35761064/(10^6)</f>
        <v>35.761064</v>
      </c>
      <c r="E4987" s="5" t="s">
        <v>86</v>
      </c>
      <c r="F4987" s="5">
        <v>1.17012143135071</v>
      </c>
      <c r="G4987" s="5">
        <v>6.15065336227417</v>
      </c>
      <c r="H4987" s="5" t="s">
        <v>86</v>
      </c>
      <c r="I4987" t="s">
        <v>57</v>
      </c>
    </row>
    <row r="4988" spans="1:9">
      <c r="A4988" s="4" t="s">
        <v>10026</v>
      </c>
      <c r="B4988" s="4" t="s">
        <v>10027</v>
      </c>
      <c r="C4988" s="4" t="s">
        <v>51</v>
      </c>
      <c r="D4988" s="2">
        <f>35594984/(10^6)</f>
        <v>35.594984</v>
      </c>
      <c r="E4988" s="5" t="s">
        <v>86</v>
      </c>
      <c r="F4988" s="5">
        <v>22.7490634918213</v>
      </c>
      <c r="G4988" s="5">
        <v>3.04718661308289</v>
      </c>
      <c r="H4988" s="5" t="s">
        <v>86</v>
      </c>
      <c r="I4988" t="s">
        <v>57</v>
      </c>
    </row>
    <row r="4989" spans="1:9">
      <c r="A4989" s="4" t="s">
        <v>10028</v>
      </c>
      <c r="B4989" s="4" t="s">
        <v>10029</v>
      </c>
      <c r="C4989" s="4" t="s">
        <v>27</v>
      </c>
      <c r="D4989" s="2">
        <f>35568120/(10^6)</f>
        <v>35.56812</v>
      </c>
      <c r="E4989" s="5">
        <v>0.754415512084961</v>
      </c>
      <c r="F4989" s="5">
        <v>0.136799409985542</v>
      </c>
      <c r="G4989" s="5">
        <v>0.142939701676369</v>
      </c>
      <c r="H4989" s="5">
        <v>1.09200096130371</v>
      </c>
      <c r="I4989" t="s">
        <v>57</v>
      </c>
    </row>
    <row r="4990" spans="1:9">
      <c r="A4990" s="4" t="s">
        <v>10030</v>
      </c>
      <c r="B4990" s="4" t="s">
        <v>10031</v>
      </c>
      <c r="C4990" s="4" t="s">
        <v>31</v>
      </c>
      <c r="D4990" s="2">
        <f>35418396/(10^6)</f>
        <v>35.418396</v>
      </c>
      <c r="E4990" s="5" t="s">
        <v>86</v>
      </c>
      <c r="F4990" s="5">
        <v>13.3213539123535</v>
      </c>
      <c r="G4990" s="5">
        <v>4.13615322113037</v>
      </c>
      <c r="H4990" s="5" t="s">
        <v>86</v>
      </c>
      <c r="I4990" t="s">
        <v>57</v>
      </c>
    </row>
    <row r="4991" spans="1:9">
      <c r="A4991" s="4" t="s">
        <v>10032</v>
      </c>
      <c r="B4991" s="4" t="s">
        <v>10033</v>
      </c>
      <c r="C4991" s="4" t="s">
        <v>43</v>
      </c>
      <c r="D4991" s="2">
        <f>35411772/(10^6)</f>
        <v>35.411772</v>
      </c>
      <c r="E4991" s="5">
        <v>23.8856945037842</v>
      </c>
      <c r="F4991" s="5">
        <v>1.1546345949173</v>
      </c>
      <c r="G4991" s="5">
        <v>1.95277166366577</v>
      </c>
      <c r="H4991" s="5" t="s">
        <v>86</v>
      </c>
      <c r="I4991" t="s">
        <v>57</v>
      </c>
    </row>
    <row r="4992" spans="1:9">
      <c r="A4992" s="4" t="s">
        <v>10034</v>
      </c>
      <c r="B4992" s="4" t="s">
        <v>10035</v>
      </c>
      <c r="C4992" s="4" t="s">
        <v>43</v>
      </c>
      <c r="D4992" s="2">
        <f>35257852/(10^6)</f>
        <v>35.257852</v>
      </c>
      <c r="E4992" s="5">
        <v>13.3333330154419</v>
      </c>
      <c r="F4992" s="5">
        <v>0.82800418138504</v>
      </c>
      <c r="G4992" s="5">
        <v>1.67658507823944</v>
      </c>
      <c r="H4992" s="5" t="s">
        <v>86</v>
      </c>
      <c r="I4992" t="s">
        <v>57</v>
      </c>
    </row>
    <row r="4993" spans="1:9">
      <c r="A4993" s="4" t="s">
        <v>10036</v>
      </c>
      <c r="B4993" s="4" t="s">
        <v>10037</v>
      </c>
      <c r="C4993" s="4" t="s">
        <v>47</v>
      </c>
      <c r="D4993" s="2">
        <f>35195396/(10^6)</f>
        <v>35.195396</v>
      </c>
      <c r="E4993" s="5">
        <v>6.25408697128296</v>
      </c>
      <c r="F4993" s="5">
        <v>1.1864196062088</v>
      </c>
      <c r="G4993" s="5">
        <v>0.317814588546753</v>
      </c>
      <c r="H4993" s="5">
        <v>5.22974967956543</v>
      </c>
      <c r="I4993" t="s">
        <v>57</v>
      </c>
    </row>
    <row r="4994" spans="1:9">
      <c r="A4994" s="4" t="s">
        <v>10038</v>
      </c>
      <c r="B4994" s="4" t="s">
        <v>10039</v>
      </c>
      <c r="C4994" s="4" t="s">
        <v>41</v>
      </c>
      <c r="D4994" s="2">
        <f>35074892/(10^6)</f>
        <v>35.074892</v>
      </c>
      <c r="E4994" s="5" t="s">
        <v>86</v>
      </c>
      <c r="F4994" s="5">
        <v>3.82264494895935</v>
      </c>
      <c r="G4994" s="5">
        <v>0.698476016521454</v>
      </c>
      <c r="H4994" s="5" t="s">
        <v>86</v>
      </c>
      <c r="I4994" t="s">
        <v>57</v>
      </c>
    </row>
    <row r="4995" spans="1:9">
      <c r="A4995" s="4" t="s">
        <v>10040</v>
      </c>
      <c r="B4995" s="4" t="s">
        <v>10041</v>
      </c>
      <c r="C4995" s="4" t="s">
        <v>41</v>
      </c>
      <c r="D4995" s="2">
        <f>34966504/(10^6)</f>
        <v>34.966504</v>
      </c>
      <c r="E4995" s="5" t="s">
        <v>86</v>
      </c>
      <c r="F4995" s="5">
        <v>2.17589378356934</v>
      </c>
      <c r="G4995" s="5" t="s">
        <v>86</v>
      </c>
      <c r="H4995" s="5" t="s">
        <v>86</v>
      </c>
      <c r="I4995" t="s">
        <v>57</v>
      </c>
    </row>
    <row r="4996" spans="1:9">
      <c r="A4996" s="4" t="s">
        <v>10042</v>
      </c>
      <c r="B4996" s="4" t="s">
        <v>10043</v>
      </c>
      <c r="C4996" s="4" t="s">
        <v>43</v>
      </c>
      <c r="D4996" s="2">
        <f>34962648/(10^6)</f>
        <v>34.962648</v>
      </c>
      <c r="E4996" s="5">
        <v>31.25</v>
      </c>
      <c r="F4996" s="5">
        <v>1.85303854942322</v>
      </c>
      <c r="G4996" s="5">
        <v>3.87120461463928</v>
      </c>
      <c r="H4996" s="5" t="s">
        <v>86</v>
      </c>
      <c r="I4996" t="s">
        <v>57</v>
      </c>
    </row>
    <row r="4997" spans="1:9">
      <c r="A4997" s="4" t="s">
        <v>10044</v>
      </c>
      <c r="B4997" s="4" t="s">
        <v>10045</v>
      </c>
      <c r="C4997" s="4" t="s">
        <v>43</v>
      </c>
      <c r="D4997" s="2">
        <f>34911808/(10^6)</f>
        <v>34.911808</v>
      </c>
      <c r="E4997" s="5" t="s">
        <v>86</v>
      </c>
      <c r="F4997" s="5" t="s">
        <v>86</v>
      </c>
      <c r="G4997" s="5" t="s">
        <v>86</v>
      </c>
      <c r="H4997" s="5" t="s">
        <v>86</v>
      </c>
      <c r="I4997" t="s">
        <v>57</v>
      </c>
    </row>
    <row r="4998" spans="1:9">
      <c r="A4998" s="4" t="s">
        <v>10046</v>
      </c>
      <c r="B4998" s="4" t="s">
        <v>10047</v>
      </c>
      <c r="C4998" s="4" t="s">
        <v>41</v>
      </c>
      <c r="D4998" s="2">
        <f>34874496/(10^6)</f>
        <v>34.874496</v>
      </c>
      <c r="E4998" s="5" t="s">
        <v>86</v>
      </c>
      <c r="F4998" s="5">
        <v>4.58809852600098</v>
      </c>
      <c r="G4998" s="5" t="s">
        <v>86</v>
      </c>
      <c r="H4998" s="5" t="s">
        <v>86</v>
      </c>
      <c r="I4998" t="s">
        <v>57</v>
      </c>
    </row>
    <row r="4999" spans="1:9">
      <c r="A4999" s="4" t="s">
        <v>10048</v>
      </c>
      <c r="B4999" s="4" t="s">
        <v>10049</v>
      </c>
      <c r="C4999" s="4" t="s">
        <v>41</v>
      </c>
      <c r="D4999" s="2">
        <f>34814368/(10^6)</f>
        <v>34.814368</v>
      </c>
      <c r="E4999" s="5" t="s">
        <v>86</v>
      </c>
      <c r="F4999" s="5" t="s">
        <v>86</v>
      </c>
      <c r="G4999" s="5">
        <v>1.08812129497528</v>
      </c>
      <c r="H4999" s="5" t="s">
        <v>86</v>
      </c>
      <c r="I4999" t="s">
        <v>57</v>
      </c>
    </row>
    <row r="5000" spans="1:9">
      <c r="A5000" s="4" t="s">
        <v>10050</v>
      </c>
      <c r="B5000" s="4" t="s">
        <v>10051</v>
      </c>
      <c r="C5000" s="4" t="s">
        <v>43</v>
      </c>
      <c r="D5000" s="2">
        <f>34695884/(10^6)</f>
        <v>34.695884</v>
      </c>
      <c r="E5000" s="5">
        <v>17.1648654937744</v>
      </c>
      <c r="F5000" s="5">
        <v>0.779322147369385</v>
      </c>
      <c r="G5000" s="5">
        <v>1.70132660865784</v>
      </c>
      <c r="H5000" s="5" t="s">
        <v>86</v>
      </c>
      <c r="I5000" t="s">
        <v>57</v>
      </c>
    </row>
    <row r="5001" spans="1:9">
      <c r="A5001" s="4" t="s">
        <v>10052</v>
      </c>
      <c r="B5001" s="4" t="s">
        <v>10053</v>
      </c>
      <c r="C5001" s="4" t="s">
        <v>39</v>
      </c>
      <c r="D5001" s="2">
        <f>34652540/(10^6)</f>
        <v>34.65254</v>
      </c>
      <c r="E5001" s="5" t="s">
        <v>86</v>
      </c>
      <c r="F5001" s="5" t="s">
        <v>86</v>
      </c>
      <c r="G5001" s="5" t="s">
        <v>86</v>
      </c>
      <c r="H5001" s="5" t="s">
        <v>86</v>
      </c>
      <c r="I5001" t="s">
        <v>57</v>
      </c>
    </row>
    <row r="5002" spans="1:9">
      <c r="A5002" s="4" t="s">
        <v>10054</v>
      </c>
      <c r="B5002" s="4" t="s">
        <v>10055</v>
      </c>
      <c r="C5002" s="4" t="s">
        <v>49</v>
      </c>
      <c r="D5002" s="2">
        <f>34628648/(10^6)</f>
        <v>34.628648</v>
      </c>
      <c r="E5002" s="5" t="s">
        <v>86</v>
      </c>
      <c r="F5002" s="5" t="s">
        <v>86</v>
      </c>
      <c r="G5002" s="5" t="s">
        <v>86</v>
      </c>
      <c r="H5002" s="5" t="s">
        <v>86</v>
      </c>
      <c r="I5002" t="s">
        <v>57</v>
      </c>
    </row>
    <row r="5003" spans="1:9">
      <c r="A5003" s="4" t="s">
        <v>10056</v>
      </c>
      <c r="B5003" s="4" t="s">
        <v>10057</v>
      </c>
      <c r="C5003" s="4" t="s">
        <v>43</v>
      </c>
      <c r="D5003" s="2">
        <f>34521216/(10^6)</f>
        <v>34.521216</v>
      </c>
      <c r="E5003" s="5">
        <v>8.40739250183105</v>
      </c>
      <c r="F5003" s="5">
        <v>0.688543379306793</v>
      </c>
      <c r="G5003" s="5">
        <v>1.55474483966827</v>
      </c>
      <c r="H5003" s="5" t="s">
        <v>86</v>
      </c>
      <c r="I5003" t="s">
        <v>57</v>
      </c>
    </row>
    <row r="5004" spans="1:9">
      <c r="A5004" s="4" t="s">
        <v>10058</v>
      </c>
      <c r="B5004" s="4" t="s">
        <v>10059</v>
      </c>
      <c r="C5004" s="4" t="s">
        <v>43</v>
      </c>
      <c r="D5004" s="2">
        <f>34447088/(10^6)</f>
        <v>34.447088</v>
      </c>
      <c r="E5004" s="5">
        <v>8.47457599639893</v>
      </c>
      <c r="F5004" s="5" t="s">
        <v>86</v>
      </c>
      <c r="G5004" s="5">
        <v>2.38980269432068</v>
      </c>
      <c r="H5004" s="5" t="s">
        <v>86</v>
      </c>
      <c r="I5004" t="s">
        <v>57</v>
      </c>
    </row>
    <row r="5005" spans="1:9">
      <c r="A5005" s="4" t="s">
        <v>10060</v>
      </c>
      <c r="B5005" s="4" t="s">
        <v>10061</v>
      </c>
      <c r="C5005" s="4" t="s">
        <v>43</v>
      </c>
      <c r="D5005" s="2">
        <f>34379316/(10^6)</f>
        <v>34.379316</v>
      </c>
      <c r="E5005" s="5">
        <v>17.268253326416</v>
      </c>
      <c r="F5005" s="5">
        <v>0.677947580814362</v>
      </c>
      <c r="G5005" s="5">
        <v>2.26216197013855</v>
      </c>
      <c r="H5005" s="5" t="s">
        <v>86</v>
      </c>
      <c r="I5005" t="s">
        <v>57</v>
      </c>
    </row>
    <row r="5006" spans="1:9">
      <c r="A5006" s="4" t="s">
        <v>10062</v>
      </c>
      <c r="B5006" s="4" t="s">
        <v>10063</v>
      </c>
      <c r="C5006" s="4" t="s">
        <v>51</v>
      </c>
      <c r="D5006" s="2">
        <f>34368204/(10^6)</f>
        <v>34.368204</v>
      </c>
      <c r="E5006" s="5">
        <v>48.1617736816406</v>
      </c>
      <c r="F5006" s="5">
        <v>1.31435883045196</v>
      </c>
      <c r="G5006" s="5">
        <v>2.13461112976074</v>
      </c>
      <c r="H5006" s="5">
        <v>9.56430625915527</v>
      </c>
      <c r="I5006" t="s">
        <v>57</v>
      </c>
    </row>
    <row r="5007" spans="1:9">
      <c r="A5007" s="4" t="s">
        <v>10064</v>
      </c>
      <c r="B5007" s="4" t="s">
        <v>10065</v>
      </c>
      <c r="C5007" s="4" t="s">
        <v>47</v>
      </c>
      <c r="D5007" s="2">
        <f>34320416/(10^6)</f>
        <v>34.320416</v>
      </c>
      <c r="E5007" s="5" t="s">
        <v>86</v>
      </c>
      <c r="F5007" s="5">
        <v>3.19944167137146</v>
      </c>
      <c r="G5007" s="5">
        <v>0.228526547551155</v>
      </c>
      <c r="H5007" s="5" t="s">
        <v>86</v>
      </c>
      <c r="I5007" t="s">
        <v>57</v>
      </c>
    </row>
    <row r="5008" spans="1:9">
      <c r="A5008" s="4" t="s">
        <v>10066</v>
      </c>
      <c r="B5008" s="4" t="s">
        <v>10067</v>
      </c>
      <c r="C5008" s="4" t="s">
        <v>47</v>
      </c>
      <c r="D5008" s="2">
        <f>34216224/(10^6)</f>
        <v>34.216224</v>
      </c>
      <c r="E5008" s="5">
        <v>31.9182357788086</v>
      </c>
      <c r="F5008" s="5">
        <v>0.539927423000336</v>
      </c>
      <c r="G5008" s="5">
        <v>0.301005750894547</v>
      </c>
      <c r="H5008" s="5">
        <v>2.54339694976807</v>
      </c>
      <c r="I5008" t="s">
        <v>57</v>
      </c>
    </row>
    <row r="5009" spans="1:9">
      <c r="A5009" s="4" t="s">
        <v>10068</v>
      </c>
      <c r="B5009" s="4" t="s">
        <v>10069</v>
      </c>
      <c r="C5009" s="4" t="s">
        <v>43</v>
      </c>
      <c r="D5009" s="2">
        <f>34165832/(10^6)</f>
        <v>34.165832</v>
      </c>
      <c r="E5009" s="5">
        <v>18.235294342041</v>
      </c>
      <c r="F5009" s="5">
        <v>1.08167147636414</v>
      </c>
      <c r="G5009" s="5">
        <v>3.40555047988892</v>
      </c>
      <c r="H5009" s="5" t="s">
        <v>86</v>
      </c>
      <c r="I5009" t="s">
        <v>57</v>
      </c>
    </row>
    <row r="5010" spans="1:9">
      <c r="A5010" s="4" t="s">
        <v>10070</v>
      </c>
      <c r="B5010" s="4" t="s">
        <v>10071</v>
      </c>
      <c r="C5010" s="4" t="s">
        <v>43</v>
      </c>
      <c r="D5010" s="2">
        <f>34165832/(10^6)</f>
        <v>34.165832</v>
      </c>
      <c r="E5010" s="5">
        <v>18.235294342041</v>
      </c>
      <c r="F5010" s="5">
        <v>1.08167147636414</v>
      </c>
      <c r="G5010" s="5">
        <v>3.40555047988892</v>
      </c>
      <c r="H5010" s="5" t="s">
        <v>86</v>
      </c>
      <c r="I5010" t="s">
        <v>57</v>
      </c>
    </row>
    <row r="5011" spans="1:9">
      <c r="A5011" s="4" t="s">
        <v>10072</v>
      </c>
      <c r="B5011" s="4" t="s">
        <v>10073</v>
      </c>
      <c r="C5011" s="4" t="s">
        <v>43</v>
      </c>
      <c r="D5011" s="2">
        <f>34164152/(10^6)</f>
        <v>34.164152</v>
      </c>
      <c r="E5011" s="5">
        <v>20.532413482666</v>
      </c>
      <c r="F5011" s="5">
        <v>0.639158725738525</v>
      </c>
      <c r="G5011" s="5">
        <v>0.505658328533173</v>
      </c>
      <c r="H5011" s="5" t="s">
        <v>86</v>
      </c>
      <c r="I5011" t="s">
        <v>57</v>
      </c>
    </row>
    <row r="5012" spans="1:9">
      <c r="A5012" s="4" t="s">
        <v>10074</v>
      </c>
      <c r="B5012" s="4" t="s">
        <v>10075</v>
      </c>
      <c r="C5012" s="4" t="s">
        <v>51</v>
      </c>
      <c r="D5012" s="2">
        <f>34118228/(10^6)</f>
        <v>34.118228</v>
      </c>
      <c r="E5012" s="5" t="s">
        <v>86</v>
      </c>
      <c r="F5012" s="5" t="s">
        <v>86</v>
      </c>
      <c r="G5012" s="5">
        <v>3.483908358e-6</v>
      </c>
      <c r="H5012" s="5" t="s">
        <v>86</v>
      </c>
      <c r="I5012" t="s">
        <v>57</v>
      </c>
    </row>
    <row r="5013" spans="1:9">
      <c r="A5013" s="4" t="s">
        <v>10076</v>
      </c>
      <c r="B5013" s="4" t="s">
        <v>10077</v>
      </c>
      <c r="C5013" s="4" t="s">
        <v>51</v>
      </c>
      <c r="D5013" s="2">
        <f>34083884/(10^6)</f>
        <v>34.083884</v>
      </c>
      <c r="E5013" s="5">
        <v>9.81301212310791</v>
      </c>
      <c r="F5013" s="5">
        <v>0.568480491638184</v>
      </c>
      <c r="G5013" s="5">
        <v>0.531593561172485</v>
      </c>
      <c r="H5013" s="5">
        <v>4.00202178955078</v>
      </c>
      <c r="I5013" t="s">
        <v>57</v>
      </c>
    </row>
    <row r="5014" spans="1:9">
      <c r="A5014" s="4" t="s">
        <v>10078</v>
      </c>
      <c r="B5014" s="4" t="s">
        <v>10079</v>
      </c>
      <c r="C5014" s="4" t="s">
        <v>27</v>
      </c>
      <c r="D5014" s="2">
        <f>33983592/(10^6)</f>
        <v>33.983592</v>
      </c>
      <c r="E5014" s="5" t="s">
        <v>86</v>
      </c>
      <c r="F5014" s="5">
        <v>0.084440879523754</v>
      </c>
      <c r="G5014" s="5">
        <v>0.126088798046112</v>
      </c>
      <c r="H5014" s="5" t="s">
        <v>86</v>
      </c>
      <c r="I5014" t="s">
        <v>57</v>
      </c>
    </row>
    <row r="5015" spans="1:9">
      <c r="A5015" s="4" t="s">
        <v>10080</v>
      </c>
      <c r="B5015" s="4" t="s">
        <v>10081</v>
      </c>
      <c r="C5015" s="4" t="s">
        <v>49</v>
      </c>
      <c r="D5015" s="2">
        <f>33765000/(10^6)</f>
        <v>33.765</v>
      </c>
      <c r="E5015" s="5" t="s">
        <v>86</v>
      </c>
      <c r="F5015" s="5" t="s">
        <v>86</v>
      </c>
      <c r="G5015" s="5" t="s">
        <v>86</v>
      </c>
      <c r="H5015" s="5" t="s">
        <v>86</v>
      </c>
      <c r="I5015" t="s">
        <v>57</v>
      </c>
    </row>
    <row r="5016" spans="1:9">
      <c r="A5016" s="4" t="s">
        <v>10082</v>
      </c>
      <c r="B5016" s="4" t="s">
        <v>10083</v>
      </c>
      <c r="C5016" s="4" t="s">
        <v>41</v>
      </c>
      <c r="D5016" s="2">
        <f>33677400/(10^6)</f>
        <v>33.6774</v>
      </c>
      <c r="E5016" s="5" t="s">
        <v>86</v>
      </c>
      <c r="F5016" s="5">
        <v>0.81044214963913</v>
      </c>
      <c r="G5016" s="5">
        <v>2.76632714271545</v>
      </c>
      <c r="H5016" s="5" t="s">
        <v>86</v>
      </c>
      <c r="I5016" t="s">
        <v>57</v>
      </c>
    </row>
    <row r="5017" spans="1:9">
      <c r="A5017" s="4" t="s">
        <v>10084</v>
      </c>
      <c r="B5017" s="4" t="s">
        <v>10085</v>
      </c>
      <c r="C5017" s="4" t="s">
        <v>47</v>
      </c>
      <c r="D5017" s="2">
        <f>33671732/(10^6)</f>
        <v>33.671732</v>
      </c>
      <c r="E5017" s="5" t="s">
        <v>86</v>
      </c>
      <c r="F5017" s="5">
        <v>0.133782565593719</v>
      </c>
      <c r="G5017" s="5">
        <v>0.024503134191036</v>
      </c>
      <c r="H5017" s="5">
        <v>13.9060735702515</v>
      </c>
      <c r="I5017" t="s">
        <v>57</v>
      </c>
    </row>
    <row r="5018" spans="1:9">
      <c r="A5018" s="4" t="s">
        <v>10086</v>
      </c>
      <c r="B5018" s="4" t="s">
        <v>10087</v>
      </c>
      <c r="C5018" s="4" t="s">
        <v>47</v>
      </c>
      <c r="D5018" s="2">
        <f>33664700/(10^6)</f>
        <v>33.6647</v>
      </c>
      <c r="E5018" s="5">
        <v>23.3230781555176</v>
      </c>
      <c r="F5018" s="5">
        <v>0.720902442932129</v>
      </c>
      <c r="G5018" s="5">
        <v>0.547702550888062</v>
      </c>
      <c r="H5018" s="5">
        <v>5.78437423706055</v>
      </c>
      <c r="I5018" t="s">
        <v>57</v>
      </c>
    </row>
    <row r="5019" spans="1:9">
      <c r="A5019" s="4" t="s">
        <v>10088</v>
      </c>
      <c r="B5019" s="4" t="s">
        <v>10089</v>
      </c>
      <c r="C5019" s="4" t="s">
        <v>31</v>
      </c>
      <c r="D5019" s="2">
        <f>33626996/(10^6)</f>
        <v>33.626996</v>
      </c>
      <c r="E5019" s="5">
        <v>297.842864990234</v>
      </c>
      <c r="F5019" s="5">
        <v>0.520953059196472</v>
      </c>
      <c r="G5019" s="5">
        <v>0.174671456217766</v>
      </c>
      <c r="H5019" s="5">
        <v>4.5321044921875</v>
      </c>
      <c r="I5019" t="s">
        <v>57</v>
      </c>
    </row>
    <row r="5020" spans="1:9">
      <c r="A5020" s="4" t="s">
        <v>10090</v>
      </c>
      <c r="B5020" s="4" t="s">
        <v>10091</v>
      </c>
      <c r="C5020" s="4" t="s">
        <v>43</v>
      </c>
      <c r="D5020" s="2">
        <f>33566464/(10^6)</f>
        <v>33.566464</v>
      </c>
      <c r="E5020" s="5">
        <v>2.43088412284851</v>
      </c>
      <c r="F5020" s="5">
        <v>0.240377321839333</v>
      </c>
      <c r="G5020" s="5">
        <v>0.954924821853638</v>
      </c>
      <c r="H5020" s="5" t="s">
        <v>86</v>
      </c>
      <c r="I5020" t="s">
        <v>57</v>
      </c>
    </row>
    <row r="5021" spans="1:9">
      <c r="A5021" s="4" t="s">
        <v>10092</v>
      </c>
      <c r="B5021" s="4" t="s">
        <v>10093</v>
      </c>
      <c r="C5021" s="4" t="s">
        <v>31</v>
      </c>
      <c r="D5021" s="2">
        <f>33552130/(10^6)</f>
        <v>33.55213</v>
      </c>
      <c r="E5021" s="5" t="s">
        <v>86</v>
      </c>
      <c r="F5021" s="5" t="s">
        <v>86</v>
      </c>
      <c r="G5021" s="5">
        <v>10.3884515762329</v>
      </c>
      <c r="H5021" s="5" t="s">
        <v>86</v>
      </c>
      <c r="I5021" t="s">
        <v>57</v>
      </c>
    </row>
    <row r="5022" spans="1:9">
      <c r="A5022" s="4" t="s">
        <v>10094</v>
      </c>
      <c r="B5022" s="4" t="s">
        <v>10095</v>
      </c>
      <c r="C5022" s="4" t="s">
        <v>41</v>
      </c>
      <c r="D5022" s="2">
        <f>33506890/(10^6)</f>
        <v>33.50689</v>
      </c>
      <c r="E5022" s="5" t="s">
        <v>86</v>
      </c>
      <c r="F5022" s="5">
        <v>1.84866786003113</v>
      </c>
      <c r="G5022" s="5" t="s">
        <v>86</v>
      </c>
      <c r="H5022" s="5" t="s">
        <v>86</v>
      </c>
      <c r="I5022" t="s">
        <v>57</v>
      </c>
    </row>
    <row r="5023" spans="1:9">
      <c r="A5023" s="4" t="s">
        <v>10096</v>
      </c>
      <c r="B5023" s="4" t="s">
        <v>10097</v>
      </c>
      <c r="C5023" s="4" t="s">
        <v>43</v>
      </c>
      <c r="D5023" s="2">
        <f>33166958/(10^6)</f>
        <v>33.166958</v>
      </c>
      <c r="E5023" s="5">
        <v>7.80141830444336</v>
      </c>
      <c r="F5023" s="5">
        <v>0.75100576877594</v>
      </c>
      <c r="G5023" s="5">
        <v>1.35976254940033</v>
      </c>
      <c r="H5023" s="5" t="s">
        <v>86</v>
      </c>
      <c r="I5023" t="s">
        <v>57</v>
      </c>
    </row>
    <row r="5024" spans="1:9">
      <c r="A5024" s="4" t="s">
        <v>10098</v>
      </c>
      <c r="B5024" s="4" t="s">
        <v>10099</v>
      </c>
      <c r="C5024" s="4" t="s">
        <v>37</v>
      </c>
      <c r="D5024" s="2">
        <f>33166172/(10^6)</f>
        <v>33.166172</v>
      </c>
      <c r="E5024" s="5" t="s">
        <v>86</v>
      </c>
      <c r="F5024" s="5">
        <v>0.677878022193909</v>
      </c>
      <c r="G5024" s="5">
        <v>0.082872852683067</v>
      </c>
      <c r="H5024" s="5">
        <v>13.4063997268677</v>
      </c>
      <c r="I5024" t="s">
        <v>57</v>
      </c>
    </row>
    <row r="5025" spans="1:9">
      <c r="A5025" s="4" t="s">
        <v>10100</v>
      </c>
      <c r="B5025" s="4" t="s">
        <v>10101</v>
      </c>
      <c r="C5025" s="4" t="s">
        <v>49</v>
      </c>
      <c r="D5025" s="2">
        <f>33123838/(10^6)</f>
        <v>33.123838</v>
      </c>
      <c r="E5025" s="5" t="s">
        <v>86</v>
      </c>
      <c r="F5025" s="5" t="s">
        <v>86</v>
      </c>
      <c r="G5025" s="5" t="s">
        <v>86</v>
      </c>
      <c r="H5025" s="5" t="s">
        <v>86</v>
      </c>
      <c r="I5025" t="s">
        <v>57</v>
      </c>
    </row>
    <row r="5026" spans="1:9">
      <c r="A5026" s="4" t="s">
        <v>10102</v>
      </c>
      <c r="B5026" s="4" t="s">
        <v>10103</v>
      </c>
      <c r="C5026" s="4" t="s">
        <v>41</v>
      </c>
      <c r="D5026" s="2">
        <f>33102220/(10^6)</f>
        <v>33.10222</v>
      </c>
      <c r="E5026" s="5" t="s">
        <v>86</v>
      </c>
      <c r="F5026" s="5">
        <v>29.9560375213623</v>
      </c>
      <c r="G5026" s="5" t="s">
        <v>86</v>
      </c>
      <c r="H5026" s="5" t="s">
        <v>86</v>
      </c>
      <c r="I5026" t="s">
        <v>57</v>
      </c>
    </row>
    <row r="5027" spans="1:9">
      <c r="A5027" s="4" t="s">
        <v>10104</v>
      </c>
      <c r="B5027" s="4" t="s">
        <v>10105</v>
      </c>
      <c r="C5027" s="4" t="s">
        <v>47</v>
      </c>
      <c r="D5027" s="2">
        <f>33099328/(10^6)</f>
        <v>33.099328</v>
      </c>
      <c r="E5027" s="5" t="s">
        <v>86</v>
      </c>
      <c r="F5027" s="5" t="s">
        <v>86</v>
      </c>
      <c r="G5027" s="5" t="s">
        <v>86</v>
      </c>
      <c r="H5027" s="5" t="s">
        <v>86</v>
      </c>
      <c r="I5027" t="s">
        <v>57</v>
      </c>
    </row>
    <row r="5028" spans="1:9">
      <c r="A5028" s="4" t="s">
        <v>10106</v>
      </c>
      <c r="B5028" s="4" t="s">
        <v>10107</v>
      </c>
      <c r="C5028" s="4" t="s">
        <v>27</v>
      </c>
      <c r="D5028" s="2">
        <f>32799486/(10^6)</f>
        <v>32.799486</v>
      </c>
      <c r="E5028" s="5" t="s">
        <v>86</v>
      </c>
      <c r="F5028" s="5">
        <v>1.60197579860687</v>
      </c>
      <c r="G5028" s="5">
        <v>0.18055585026741</v>
      </c>
      <c r="H5028" s="5">
        <v>12.4467496871948</v>
      </c>
      <c r="I5028" t="s">
        <v>57</v>
      </c>
    </row>
    <row r="5029" spans="1:9">
      <c r="A5029" s="4" t="s">
        <v>10108</v>
      </c>
      <c r="B5029" s="4" t="s">
        <v>10109</v>
      </c>
      <c r="C5029" s="4" t="s">
        <v>27</v>
      </c>
      <c r="D5029" s="2">
        <f>32794930/(10^6)</f>
        <v>32.79493</v>
      </c>
      <c r="E5029" s="5" t="s">
        <v>86</v>
      </c>
      <c r="F5029" s="5">
        <v>2.07472229003906</v>
      </c>
      <c r="G5029" s="5">
        <v>39.6538391113281</v>
      </c>
      <c r="H5029" s="5" t="s">
        <v>86</v>
      </c>
      <c r="I5029" t="s">
        <v>57</v>
      </c>
    </row>
    <row r="5030" spans="1:9">
      <c r="A5030" s="4" t="s">
        <v>10110</v>
      </c>
      <c r="B5030" s="4" t="s">
        <v>10111</v>
      </c>
      <c r="C5030" s="4" t="s">
        <v>43</v>
      </c>
      <c r="D5030" s="2">
        <f>32737524/(10^6)</f>
        <v>32.737524</v>
      </c>
      <c r="E5030" s="5">
        <v>7.59878396987915</v>
      </c>
      <c r="F5030" s="5">
        <v>1.54458713531494</v>
      </c>
      <c r="G5030" s="5">
        <v>1.96805799007416</v>
      </c>
      <c r="H5030" s="5" t="s">
        <v>86</v>
      </c>
      <c r="I5030" t="s">
        <v>57</v>
      </c>
    </row>
    <row r="5031" spans="1:9">
      <c r="A5031" s="4" t="s">
        <v>10112</v>
      </c>
      <c r="B5031" s="4" t="s">
        <v>10113</v>
      </c>
      <c r="C5031" s="4" t="s">
        <v>47</v>
      </c>
      <c r="D5031" s="2">
        <f>32681688/(10^6)</f>
        <v>32.681688</v>
      </c>
      <c r="E5031" s="5">
        <v>20.8198585510254</v>
      </c>
      <c r="F5031" s="5">
        <v>3.39713168144226</v>
      </c>
      <c r="G5031" s="5">
        <v>0.788162529468536</v>
      </c>
      <c r="H5031" s="5">
        <v>11.3858623504639</v>
      </c>
      <c r="I5031" t="s">
        <v>57</v>
      </c>
    </row>
    <row r="5032" spans="1:9">
      <c r="A5032" s="4" t="s">
        <v>10114</v>
      </c>
      <c r="B5032" s="4" t="s">
        <v>10115</v>
      </c>
      <c r="C5032" s="4" t="s">
        <v>35</v>
      </c>
      <c r="D5032" s="2">
        <f>32631066/(10^6)</f>
        <v>32.631066</v>
      </c>
      <c r="E5032" s="5">
        <v>31.377857208252</v>
      </c>
      <c r="F5032" s="5">
        <v>517.503784179688</v>
      </c>
      <c r="G5032" s="5">
        <v>1.0295604467392</v>
      </c>
      <c r="H5032" s="5">
        <v>14.3491468429565</v>
      </c>
      <c r="I5032" t="s">
        <v>57</v>
      </c>
    </row>
    <row r="5033" spans="1:9">
      <c r="A5033" s="4" t="s">
        <v>10116</v>
      </c>
      <c r="B5033" s="4" t="s">
        <v>10117</v>
      </c>
      <c r="C5033" s="4" t="s">
        <v>39</v>
      </c>
      <c r="D5033" s="2">
        <f>32616000/(10^6)</f>
        <v>32.616</v>
      </c>
      <c r="E5033" s="5" t="s">
        <v>86</v>
      </c>
      <c r="F5033" s="5" t="s">
        <v>86</v>
      </c>
      <c r="G5033" s="5" t="s">
        <v>86</v>
      </c>
      <c r="H5033" s="5" t="s">
        <v>86</v>
      </c>
      <c r="I5033" t="s">
        <v>57</v>
      </c>
    </row>
    <row r="5034" spans="1:9">
      <c r="A5034" s="4" t="s">
        <v>10118</v>
      </c>
      <c r="B5034" s="4" t="s">
        <v>10119</v>
      </c>
      <c r="C5034" s="4" t="s">
        <v>47</v>
      </c>
      <c r="D5034" s="2">
        <f>32609188/(10^6)</f>
        <v>32.609188</v>
      </c>
      <c r="E5034" s="5">
        <v>18.7558460235596</v>
      </c>
      <c r="F5034" s="5">
        <v>0.546303033828735</v>
      </c>
      <c r="G5034" s="5">
        <v>0.398239433765411</v>
      </c>
      <c r="H5034" s="5">
        <v>4.29153871536255</v>
      </c>
      <c r="I5034" t="s">
        <v>57</v>
      </c>
    </row>
    <row r="5035" spans="1:9">
      <c r="A5035" s="4" t="s">
        <v>10120</v>
      </c>
      <c r="B5035" s="4" t="s">
        <v>10121</v>
      </c>
      <c r="C5035" s="4" t="s">
        <v>41</v>
      </c>
      <c r="D5035" s="2">
        <f>32513156/(10^6)</f>
        <v>32.513156</v>
      </c>
      <c r="E5035" s="5" t="s">
        <v>86</v>
      </c>
      <c r="F5035" s="5">
        <v>0.333932548761368</v>
      </c>
      <c r="G5035" s="5">
        <v>12.4455089569092</v>
      </c>
      <c r="H5035" s="5" t="s">
        <v>86</v>
      </c>
      <c r="I5035" t="s">
        <v>57</v>
      </c>
    </row>
    <row r="5036" spans="1:9">
      <c r="A5036" s="4" t="s">
        <v>10122</v>
      </c>
      <c r="B5036" s="4" t="s">
        <v>10123</v>
      </c>
      <c r="C5036" s="4" t="s">
        <v>43</v>
      </c>
      <c r="D5036" s="2">
        <f>32448474/(10^6)</f>
        <v>32.448474</v>
      </c>
      <c r="E5036" s="5" t="s">
        <v>86</v>
      </c>
      <c r="F5036" s="5" t="s">
        <v>86</v>
      </c>
      <c r="G5036" s="5" t="s">
        <v>86</v>
      </c>
      <c r="H5036" s="5" t="s">
        <v>86</v>
      </c>
      <c r="I5036" t="s">
        <v>57</v>
      </c>
    </row>
    <row r="5037" spans="1:9">
      <c r="A5037" s="4" t="s">
        <v>10124</v>
      </c>
      <c r="B5037" s="4" t="s">
        <v>10125</v>
      </c>
      <c r="C5037" s="4" t="s">
        <v>41</v>
      </c>
      <c r="D5037" s="2">
        <f>32446130/(10^6)</f>
        <v>32.44613</v>
      </c>
      <c r="E5037" s="5" t="s">
        <v>86</v>
      </c>
      <c r="F5037" s="5">
        <v>3.26559019088745</v>
      </c>
      <c r="G5037" s="5" t="s">
        <v>86</v>
      </c>
      <c r="H5037" s="5" t="s">
        <v>86</v>
      </c>
      <c r="I5037" t="s">
        <v>57</v>
      </c>
    </row>
    <row r="5038" spans="1:9">
      <c r="A5038" s="4" t="s">
        <v>10126</v>
      </c>
      <c r="B5038" s="4" t="s">
        <v>10127</v>
      </c>
      <c r="C5038" s="4" t="s">
        <v>43</v>
      </c>
      <c r="D5038" s="2">
        <f>32418936/(10^6)</f>
        <v>32.418936</v>
      </c>
      <c r="E5038" s="5">
        <v>7.93103408813477</v>
      </c>
      <c r="F5038" s="5">
        <v>0.644900441169739</v>
      </c>
      <c r="G5038" s="5">
        <v>1.58693706989288</v>
      </c>
      <c r="H5038" s="5" t="s">
        <v>86</v>
      </c>
      <c r="I5038" t="s">
        <v>57</v>
      </c>
    </row>
    <row r="5039" spans="1:9">
      <c r="A5039" s="4" t="s">
        <v>10128</v>
      </c>
      <c r="B5039" s="4" t="s">
        <v>10129</v>
      </c>
      <c r="C5039" s="4" t="s">
        <v>41</v>
      </c>
      <c r="D5039" s="2">
        <f>32386006/(10^6)</f>
        <v>32.386006</v>
      </c>
      <c r="E5039" s="5" t="s">
        <v>86</v>
      </c>
      <c r="F5039" s="5">
        <v>1.11709487438202</v>
      </c>
      <c r="G5039" s="5">
        <v>2.00119090080261</v>
      </c>
      <c r="H5039" s="5">
        <v>24.3789844512939</v>
      </c>
      <c r="I5039" t="s">
        <v>57</v>
      </c>
    </row>
    <row r="5040" spans="1:9">
      <c r="A5040" s="4" t="s">
        <v>10130</v>
      </c>
      <c r="B5040" s="4" t="s">
        <v>10131</v>
      </c>
      <c r="C5040" s="4" t="s">
        <v>49</v>
      </c>
      <c r="D5040" s="2">
        <f>32351600/(10^6)</f>
        <v>32.3516</v>
      </c>
      <c r="E5040" s="5" t="s">
        <v>86</v>
      </c>
      <c r="F5040" s="5" t="s">
        <v>86</v>
      </c>
      <c r="G5040" s="5" t="s">
        <v>86</v>
      </c>
      <c r="H5040" s="5" t="s">
        <v>86</v>
      </c>
      <c r="I5040" t="s">
        <v>57</v>
      </c>
    </row>
    <row r="5041" spans="1:9">
      <c r="A5041" s="4" t="s">
        <v>10132</v>
      </c>
      <c r="B5041" s="4" t="s">
        <v>10133</v>
      </c>
      <c r="C5041" s="4" t="s">
        <v>49</v>
      </c>
      <c r="D5041" s="2">
        <f>32333026/(10^6)</f>
        <v>32.333026</v>
      </c>
      <c r="E5041" s="5" t="s">
        <v>86</v>
      </c>
      <c r="F5041" s="5" t="s">
        <v>86</v>
      </c>
      <c r="G5041" s="5" t="s">
        <v>86</v>
      </c>
      <c r="H5041" s="5" t="s">
        <v>86</v>
      </c>
      <c r="I5041" t="s">
        <v>57</v>
      </c>
    </row>
    <row r="5042" spans="1:9">
      <c r="A5042" s="4" t="s">
        <v>10134</v>
      </c>
      <c r="B5042" s="4" t="s">
        <v>10135</v>
      </c>
      <c r="C5042" s="4" t="s">
        <v>41</v>
      </c>
      <c r="D5042" s="2">
        <f>32295218/(10^6)</f>
        <v>32.295218</v>
      </c>
      <c r="E5042" s="5" t="s">
        <v>86</v>
      </c>
      <c r="F5042" s="5" t="s">
        <v>86</v>
      </c>
      <c r="G5042" s="5" t="s">
        <v>86</v>
      </c>
      <c r="H5042" s="5" t="s">
        <v>86</v>
      </c>
      <c r="I5042" t="s">
        <v>57</v>
      </c>
    </row>
    <row r="5043" spans="1:9">
      <c r="A5043" s="4" t="s">
        <v>10136</v>
      </c>
      <c r="B5043" s="4" t="s">
        <v>10137</v>
      </c>
      <c r="C5043" s="4" t="s">
        <v>31</v>
      </c>
      <c r="D5043" s="2">
        <f>32286052/(10^6)</f>
        <v>32.286052</v>
      </c>
      <c r="E5043" s="5">
        <v>11.7758598327637</v>
      </c>
      <c r="F5043" s="5">
        <v>0.311557233333588</v>
      </c>
      <c r="G5043" s="5">
        <v>0.094736263155937</v>
      </c>
      <c r="H5043" s="5">
        <v>8.96514225006104</v>
      </c>
      <c r="I5043" t="s">
        <v>57</v>
      </c>
    </row>
    <row r="5044" spans="1:9">
      <c r="A5044" s="4" t="s">
        <v>10138</v>
      </c>
      <c r="B5044" s="4" t="s">
        <v>10139</v>
      </c>
      <c r="C5044" s="4" t="s">
        <v>51</v>
      </c>
      <c r="D5044" s="2">
        <f>32171556/(10^6)</f>
        <v>32.171556</v>
      </c>
      <c r="E5044" s="5" t="s">
        <v>86</v>
      </c>
      <c r="F5044" s="5" t="s">
        <v>86</v>
      </c>
      <c r="G5044" s="5" t="s">
        <v>86</v>
      </c>
      <c r="H5044" s="5" t="s">
        <v>86</v>
      </c>
      <c r="I5044" t="s">
        <v>57</v>
      </c>
    </row>
    <row r="5045" spans="1:9">
      <c r="A5045" s="4" t="s">
        <v>10140</v>
      </c>
      <c r="B5045" s="4" t="s">
        <v>10141</v>
      </c>
      <c r="C5045" s="4" t="s">
        <v>31</v>
      </c>
      <c r="D5045" s="2">
        <f>31941930/(10^6)</f>
        <v>31.94193</v>
      </c>
      <c r="E5045" s="5">
        <v>10.7519960403442</v>
      </c>
      <c r="F5045" s="5">
        <v>0.830979824066162</v>
      </c>
      <c r="G5045" s="5">
        <v>1.08059239387512</v>
      </c>
      <c r="H5045" s="5">
        <v>3.59857749938965</v>
      </c>
      <c r="I5045" t="s">
        <v>57</v>
      </c>
    </row>
    <row r="5046" spans="1:9">
      <c r="A5046" s="4" t="s">
        <v>10142</v>
      </c>
      <c r="B5046" s="4" t="s">
        <v>10143</v>
      </c>
      <c r="C5046" s="4" t="s">
        <v>27</v>
      </c>
      <c r="D5046" s="2">
        <f>31893400/(10^6)</f>
        <v>31.8934</v>
      </c>
      <c r="E5046" s="5" t="s">
        <v>86</v>
      </c>
      <c r="F5046" s="5">
        <v>0.076463282108307</v>
      </c>
      <c r="G5046" s="5">
        <v>0.128488004207611</v>
      </c>
      <c r="H5046" s="5" t="s">
        <v>86</v>
      </c>
      <c r="I5046" t="s">
        <v>57</v>
      </c>
    </row>
    <row r="5047" spans="1:9">
      <c r="A5047" s="4" t="s">
        <v>10144</v>
      </c>
      <c r="B5047" s="4" t="s">
        <v>10145</v>
      </c>
      <c r="C5047" s="4" t="s">
        <v>31</v>
      </c>
      <c r="D5047" s="2">
        <f>31892958/(10^6)</f>
        <v>31.892958</v>
      </c>
      <c r="E5047" s="5">
        <v>6.90085887908936</v>
      </c>
      <c r="F5047" s="5">
        <v>1.42455589771271</v>
      </c>
      <c r="G5047" s="5">
        <v>0.12008810788393</v>
      </c>
      <c r="H5047" s="5">
        <v>6.50794982910156</v>
      </c>
      <c r="I5047" t="s">
        <v>57</v>
      </c>
    </row>
    <row r="5048" spans="1:9">
      <c r="A5048" s="4" t="s">
        <v>10146</v>
      </c>
      <c r="B5048" s="4" t="s">
        <v>10147</v>
      </c>
      <c r="C5048" s="4" t="s">
        <v>31</v>
      </c>
      <c r="D5048" s="2">
        <f>31871138/(10^6)</f>
        <v>31.871138</v>
      </c>
      <c r="E5048" s="5">
        <v>70.0098648071289</v>
      </c>
      <c r="F5048" s="5">
        <v>0.581622004508972</v>
      </c>
      <c r="G5048" s="5">
        <v>0.292343556880951</v>
      </c>
      <c r="H5048" s="5">
        <v>1.59170937538147</v>
      </c>
      <c r="I5048" t="s">
        <v>57</v>
      </c>
    </row>
    <row r="5049" spans="1:9">
      <c r="A5049" s="4" t="s">
        <v>10148</v>
      </c>
      <c r="B5049" s="4" t="s">
        <v>10149</v>
      </c>
      <c r="C5049" s="4" t="s">
        <v>51</v>
      </c>
      <c r="D5049" s="2">
        <f>31863388/(10^6)</f>
        <v>31.863388</v>
      </c>
      <c r="E5049" s="5">
        <v>7.92652177810669</v>
      </c>
      <c r="F5049" s="5">
        <v>1.21476399898529</v>
      </c>
      <c r="G5049" s="5">
        <v>1.03748345375061</v>
      </c>
      <c r="H5049" s="5">
        <v>3.17048382759094</v>
      </c>
      <c r="I5049" t="s">
        <v>57</v>
      </c>
    </row>
    <row r="5050" spans="1:9">
      <c r="A5050" s="4" t="s">
        <v>10150</v>
      </c>
      <c r="B5050" s="4" t="s">
        <v>9629</v>
      </c>
      <c r="C5050" s="4" t="s">
        <v>43</v>
      </c>
      <c r="D5050" s="2">
        <f>31697448/(10^6)</f>
        <v>31.697448</v>
      </c>
      <c r="E5050" s="5">
        <v>2.96905398368835</v>
      </c>
      <c r="F5050" s="5">
        <v>0.364803910255432</v>
      </c>
      <c r="G5050" s="5">
        <v>1.19259691238403</v>
      </c>
      <c r="H5050" s="5" t="s">
        <v>86</v>
      </c>
      <c r="I5050" t="s">
        <v>57</v>
      </c>
    </row>
    <row r="5051" spans="1:9">
      <c r="A5051" s="4" t="s">
        <v>10151</v>
      </c>
      <c r="B5051" s="4" t="s">
        <v>10152</v>
      </c>
      <c r="C5051" s="4" t="s">
        <v>43</v>
      </c>
      <c r="D5051" s="2">
        <f>31688496/(10^6)</f>
        <v>31.688496</v>
      </c>
      <c r="E5051" s="5" t="s">
        <v>86</v>
      </c>
      <c r="F5051" s="5" t="s">
        <v>86</v>
      </c>
      <c r="G5051" s="5" t="s">
        <v>86</v>
      </c>
      <c r="H5051" s="5" t="s">
        <v>86</v>
      </c>
      <c r="I5051" t="s">
        <v>57</v>
      </c>
    </row>
    <row r="5052" spans="1:9">
      <c r="A5052" s="4" t="s">
        <v>10153</v>
      </c>
      <c r="B5052" s="4" t="s">
        <v>10154</v>
      </c>
      <c r="C5052" s="4" t="s">
        <v>43</v>
      </c>
      <c r="D5052" s="2">
        <f>31609442/(10^6)</f>
        <v>31.609442</v>
      </c>
      <c r="E5052" s="5">
        <v>8.50168609619141</v>
      </c>
      <c r="F5052" s="5">
        <v>0.472773045301437</v>
      </c>
      <c r="G5052" s="5">
        <v>2.55942583084106</v>
      </c>
      <c r="H5052" s="5" t="s">
        <v>86</v>
      </c>
      <c r="I5052" t="s">
        <v>57</v>
      </c>
    </row>
    <row r="5053" spans="1:9">
      <c r="A5053" s="4" t="s">
        <v>10155</v>
      </c>
      <c r="B5053" s="4" t="s">
        <v>10156</v>
      </c>
      <c r="C5053" s="4" t="s">
        <v>43</v>
      </c>
      <c r="D5053" s="2">
        <f>31595042/(10^6)</f>
        <v>31.595042</v>
      </c>
      <c r="E5053" s="5" t="s">
        <v>86</v>
      </c>
      <c r="F5053" s="5">
        <v>0.143221691250801</v>
      </c>
      <c r="G5053" s="5">
        <v>0.79809445142746</v>
      </c>
      <c r="H5053" s="5" t="s">
        <v>86</v>
      </c>
      <c r="I5053" t="s">
        <v>57</v>
      </c>
    </row>
    <row r="5054" spans="1:9">
      <c r="A5054" s="4" t="s">
        <v>10157</v>
      </c>
      <c r="B5054" s="4" t="s">
        <v>10158</v>
      </c>
      <c r="C5054" s="4" t="s">
        <v>51</v>
      </c>
      <c r="D5054" s="2">
        <f>31418196/(10^6)</f>
        <v>31.418196</v>
      </c>
      <c r="E5054" s="5" t="s">
        <v>86</v>
      </c>
      <c r="F5054" s="5">
        <v>1.06745755672455</v>
      </c>
      <c r="G5054" s="5">
        <v>1.01053965091705</v>
      </c>
      <c r="H5054" s="5" t="s">
        <v>86</v>
      </c>
      <c r="I5054" t="s">
        <v>57</v>
      </c>
    </row>
    <row r="5055" spans="1:9">
      <c r="A5055" s="4" t="s">
        <v>10159</v>
      </c>
      <c r="B5055" s="4" t="s">
        <v>10160</v>
      </c>
      <c r="C5055" s="4" t="s">
        <v>35</v>
      </c>
      <c r="D5055" s="2">
        <f>31178534/(10^6)</f>
        <v>31.178534</v>
      </c>
      <c r="E5055" s="5" t="s">
        <v>86</v>
      </c>
      <c r="F5055" s="5">
        <v>0.555043578147888</v>
      </c>
      <c r="G5055" s="5">
        <v>0.157037869095802</v>
      </c>
      <c r="H5055" s="5" t="s">
        <v>86</v>
      </c>
      <c r="I5055" t="s">
        <v>57</v>
      </c>
    </row>
    <row r="5056" spans="1:9">
      <c r="A5056" s="4" t="s">
        <v>10161</v>
      </c>
      <c r="B5056" s="4" t="s">
        <v>10162</v>
      </c>
      <c r="C5056" s="4" t="s">
        <v>51</v>
      </c>
      <c r="D5056" s="2">
        <f>31119396/(10^6)</f>
        <v>31.119396</v>
      </c>
      <c r="E5056" s="5" t="s">
        <v>86</v>
      </c>
      <c r="F5056" s="5">
        <v>4.71527338027954</v>
      </c>
      <c r="G5056" s="5" t="s">
        <v>86</v>
      </c>
      <c r="H5056" s="5" t="s">
        <v>86</v>
      </c>
      <c r="I5056" t="s">
        <v>57</v>
      </c>
    </row>
    <row r="5057" spans="1:9">
      <c r="A5057" s="4" t="s">
        <v>10163</v>
      </c>
      <c r="B5057" s="4" t="s">
        <v>10164</v>
      </c>
      <c r="C5057" s="4" t="s">
        <v>41</v>
      </c>
      <c r="D5057" s="2">
        <f>31069040/(10^6)</f>
        <v>31.06904</v>
      </c>
      <c r="E5057" s="5" t="s">
        <v>86</v>
      </c>
      <c r="F5057" s="5">
        <v>2.8640353679657</v>
      </c>
      <c r="G5057" s="5">
        <v>853.018310546875</v>
      </c>
      <c r="H5057" s="5" t="s">
        <v>86</v>
      </c>
      <c r="I5057" t="s">
        <v>57</v>
      </c>
    </row>
    <row r="5058" spans="1:9">
      <c r="A5058" s="4" t="s">
        <v>10165</v>
      </c>
      <c r="B5058" s="4" t="s">
        <v>10166</v>
      </c>
      <c r="C5058" s="4" t="s">
        <v>31</v>
      </c>
      <c r="D5058" s="2">
        <f>31034466/(10^6)</f>
        <v>31.034466</v>
      </c>
      <c r="E5058" s="5" t="s">
        <v>86</v>
      </c>
      <c r="F5058" s="5">
        <v>2.85098648071289</v>
      </c>
      <c r="G5058" s="5">
        <v>0.549167931079865</v>
      </c>
      <c r="H5058" s="5" t="s">
        <v>86</v>
      </c>
      <c r="I5058" t="s">
        <v>57</v>
      </c>
    </row>
    <row r="5059" spans="1:9">
      <c r="A5059" s="4" t="s">
        <v>10167</v>
      </c>
      <c r="B5059" s="4" t="s">
        <v>10168</v>
      </c>
      <c r="C5059" s="4" t="s">
        <v>41</v>
      </c>
      <c r="D5059" s="2">
        <f>31030002/(10^6)</f>
        <v>31.030002</v>
      </c>
      <c r="E5059" s="5" t="s">
        <v>86</v>
      </c>
      <c r="F5059" s="5">
        <v>1.32300055027008</v>
      </c>
      <c r="G5059" s="5" t="s">
        <v>86</v>
      </c>
      <c r="H5059" s="5" t="s">
        <v>86</v>
      </c>
      <c r="I5059" t="s">
        <v>57</v>
      </c>
    </row>
    <row r="5060" spans="1:9">
      <c r="A5060" s="4" t="s">
        <v>10169</v>
      </c>
      <c r="B5060" s="4" t="s">
        <v>10170</v>
      </c>
      <c r="C5060" s="4" t="s">
        <v>41</v>
      </c>
      <c r="D5060" s="2">
        <f>31013950/(10^6)</f>
        <v>31.01395</v>
      </c>
      <c r="E5060" s="5" t="s">
        <v>86</v>
      </c>
      <c r="F5060" s="5">
        <v>2.5433874130249</v>
      </c>
      <c r="G5060" s="5" t="s">
        <v>86</v>
      </c>
      <c r="H5060" s="5" t="s">
        <v>86</v>
      </c>
      <c r="I5060" t="s">
        <v>57</v>
      </c>
    </row>
    <row r="5061" spans="1:9">
      <c r="A5061" s="4" t="s">
        <v>10171</v>
      </c>
      <c r="B5061" s="4" t="s">
        <v>10172</v>
      </c>
      <c r="C5061" s="4" t="s">
        <v>51</v>
      </c>
      <c r="D5061" s="2">
        <f>31011410/(10^6)</f>
        <v>31.01141</v>
      </c>
      <c r="E5061" s="5" t="s">
        <v>86</v>
      </c>
      <c r="F5061" s="5">
        <v>1.24382960796356</v>
      </c>
      <c r="G5061" s="5">
        <v>0.305494695901871</v>
      </c>
      <c r="H5061" s="5">
        <v>10.1256809234619</v>
      </c>
      <c r="I5061" t="s">
        <v>57</v>
      </c>
    </row>
    <row r="5062" spans="1:9">
      <c r="A5062" s="4" t="s">
        <v>10173</v>
      </c>
      <c r="B5062" s="4" t="s">
        <v>10174</v>
      </c>
      <c r="C5062" s="4" t="s">
        <v>35</v>
      </c>
      <c r="D5062" s="2">
        <f>30953734/(10^6)</f>
        <v>30.953734</v>
      </c>
      <c r="E5062" s="5" t="s">
        <v>86</v>
      </c>
      <c r="F5062" s="5" t="s">
        <v>86</v>
      </c>
      <c r="G5062" s="5" t="s">
        <v>86</v>
      </c>
      <c r="H5062" s="5" t="s">
        <v>86</v>
      </c>
      <c r="I5062" t="s">
        <v>57</v>
      </c>
    </row>
    <row r="5063" spans="1:9">
      <c r="A5063" s="4" t="s">
        <v>10175</v>
      </c>
      <c r="B5063" s="4" t="s">
        <v>10176</v>
      </c>
      <c r="C5063" s="4" t="s">
        <v>31</v>
      </c>
      <c r="D5063" s="2">
        <f>30945122/(10^6)</f>
        <v>30.945122</v>
      </c>
      <c r="E5063" s="5">
        <v>5.1203761100769</v>
      </c>
      <c r="F5063" s="5">
        <v>0.215843111276627</v>
      </c>
      <c r="G5063" s="5">
        <v>0.080515772104263</v>
      </c>
      <c r="H5063" s="5">
        <v>2.94141578674316</v>
      </c>
      <c r="I5063" t="s">
        <v>57</v>
      </c>
    </row>
    <row r="5064" spans="1:9">
      <c r="A5064" s="4" t="s">
        <v>10177</v>
      </c>
      <c r="B5064" s="4" t="s">
        <v>10178</v>
      </c>
      <c r="C5064" s="4" t="s">
        <v>49</v>
      </c>
      <c r="D5064" s="2">
        <f>30930900/(10^6)</f>
        <v>30.9309</v>
      </c>
      <c r="E5064" s="5">
        <v>66.7333374023438</v>
      </c>
      <c r="F5064" s="5">
        <v>2.25711250305176</v>
      </c>
      <c r="G5064" s="5">
        <v>3.17879509925842</v>
      </c>
      <c r="H5064" s="5" t="s">
        <v>86</v>
      </c>
      <c r="I5064" t="s">
        <v>57</v>
      </c>
    </row>
    <row r="5065" spans="1:9">
      <c r="A5065" s="4" t="s">
        <v>10179</v>
      </c>
      <c r="B5065" s="4" t="s">
        <v>10180</v>
      </c>
      <c r="C5065" s="4" t="s">
        <v>35</v>
      </c>
      <c r="D5065" s="2">
        <f>30899650/(10^6)</f>
        <v>30.89965</v>
      </c>
      <c r="E5065" s="5">
        <v>16.5685424804688</v>
      </c>
      <c r="F5065" s="5">
        <v>1.52118575572968</v>
      </c>
      <c r="G5065" s="5">
        <v>0.927314400672913</v>
      </c>
      <c r="H5065" s="5">
        <v>5.08111810684204</v>
      </c>
      <c r="I5065" t="s">
        <v>57</v>
      </c>
    </row>
    <row r="5066" spans="1:9">
      <c r="A5066" s="4" t="s">
        <v>10181</v>
      </c>
      <c r="B5066" s="4" t="s">
        <v>10182</v>
      </c>
      <c r="C5066" s="4" t="s">
        <v>27</v>
      </c>
      <c r="D5066" s="2">
        <f>30896658/(10^6)</f>
        <v>30.896658</v>
      </c>
      <c r="E5066" s="5" t="s">
        <v>86</v>
      </c>
      <c r="F5066" s="5">
        <v>0.213655084371567</v>
      </c>
      <c r="G5066" s="5">
        <v>0.149781093001366</v>
      </c>
      <c r="H5066" s="5">
        <v>14.87087059021</v>
      </c>
      <c r="I5066" t="s">
        <v>57</v>
      </c>
    </row>
    <row r="5067" spans="1:9">
      <c r="A5067" s="4" t="s">
        <v>10183</v>
      </c>
      <c r="B5067" s="4" t="s">
        <v>10184</v>
      </c>
      <c r="C5067" s="4" t="s">
        <v>41</v>
      </c>
      <c r="D5067" s="2">
        <f>30839644/(10^6)</f>
        <v>30.839644</v>
      </c>
      <c r="E5067" s="5">
        <v>19.9642868041992</v>
      </c>
      <c r="F5067" s="5">
        <v>1.83353352546692</v>
      </c>
      <c r="G5067" s="5">
        <v>0.818018674850464</v>
      </c>
      <c r="H5067" s="5">
        <v>4.15124368667603</v>
      </c>
      <c r="I5067" t="s">
        <v>57</v>
      </c>
    </row>
    <row r="5068" spans="1:9">
      <c r="A5068" s="4" t="s">
        <v>10185</v>
      </c>
      <c r="B5068" s="4" t="s">
        <v>10186</v>
      </c>
      <c r="C5068" s="4" t="s">
        <v>51</v>
      </c>
      <c r="D5068" s="2">
        <f>30810864/(10^6)</f>
        <v>30.810864</v>
      </c>
      <c r="E5068" s="5">
        <v>8.30227756500244</v>
      </c>
      <c r="F5068" s="5">
        <v>1.09053421020508</v>
      </c>
      <c r="G5068" s="5">
        <v>1.21064293384552</v>
      </c>
      <c r="H5068" s="5">
        <v>3.15840363502502</v>
      </c>
      <c r="I5068" t="s">
        <v>57</v>
      </c>
    </row>
    <row r="5069" spans="1:9">
      <c r="A5069" s="4" t="s">
        <v>10187</v>
      </c>
      <c r="B5069" s="4" t="s">
        <v>10188</v>
      </c>
      <c r="C5069" s="4" t="s">
        <v>27</v>
      </c>
      <c r="D5069" s="2">
        <f>30768098/(10^6)</f>
        <v>30.768098</v>
      </c>
      <c r="E5069" s="5" t="s">
        <v>86</v>
      </c>
      <c r="F5069" s="5">
        <v>0.658521473407745</v>
      </c>
      <c r="G5069" s="5">
        <v>0.12359794229269</v>
      </c>
      <c r="H5069" s="5">
        <v>4.40333223342896</v>
      </c>
      <c r="I5069" t="s">
        <v>57</v>
      </c>
    </row>
    <row r="5070" spans="1:9">
      <c r="A5070" s="4" t="s">
        <v>10189</v>
      </c>
      <c r="B5070" s="4" t="s">
        <v>10190</v>
      </c>
      <c r="C5070" s="4" t="s">
        <v>41</v>
      </c>
      <c r="D5070" s="2">
        <f>30716308/(10^6)</f>
        <v>30.716308</v>
      </c>
      <c r="E5070" s="5" t="s">
        <v>86</v>
      </c>
      <c r="F5070" s="5">
        <v>4.57204008102417</v>
      </c>
      <c r="G5070" s="5" t="s">
        <v>86</v>
      </c>
      <c r="H5070" s="5" t="s">
        <v>86</v>
      </c>
      <c r="I5070" t="s">
        <v>57</v>
      </c>
    </row>
    <row r="5071" spans="1:9">
      <c r="A5071" s="4" t="s">
        <v>10191</v>
      </c>
      <c r="B5071" s="4" t="s">
        <v>10192</v>
      </c>
      <c r="C5071" s="4" t="s">
        <v>41</v>
      </c>
      <c r="D5071" s="2">
        <f>30644612/(10^6)</f>
        <v>30.644612</v>
      </c>
      <c r="E5071" s="5" t="s">
        <v>86</v>
      </c>
      <c r="F5071" s="5">
        <v>1.19845759868622</v>
      </c>
      <c r="G5071" s="5">
        <v>0.970456004142761</v>
      </c>
      <c r="H5071" s="5" t="s">
        <v>86</v>
      </c>
      <c r="I5071" t="s">
        <v>57</v>
      </c>
    </row>
    <row r="5072" spans="1:9">
      <c r="A5072" s="4" t="s">
        <v>10193</v>
      </c>
      <c r="B5072" s="4" t="s">
        <v>10194</v>
      </c>
      <c r="C5072" s="4" t="s">
        <v>43</v>
      </c>
      <c r="D5072" s="2">
        <f>30575924/(10^6)</f>
        <v>30.575924</v>
      </c>
      <c r="E5072" s="5">
        <v>6.38297891616821</v>
      </c>
      <c r="F5072" s="5">
        <v>0.72765451669693</v>
      </c>
      <c r="G5072" s="5">
        <v>1.26507270336151</v>
      </c>
      <c r="H5072" s="5" t="s">
        <v>86</v>
      </c>
      <c r="I5072" t="s">
        <v>57</v>
      </c>
    </row>
    <row r="5073" spans="1:9">
      <c r="A5073" s="4" t="s">
        <v>10195</v>
      </c>
      <c r="B5073" s="4" t="s">
        <v>10196</v>
      </c>
      <c r="C5073" s="4" t="s">
        <v>43</v>
      </c>
      <c r="D5073" s="2">
        <f>30506520/(10^6)</f>
        <v>30.50652</v>
      </c>
      <c r="E5073" s="5" t="s">
        <v>86</v>
      </c>
      <c r="F5073" s="5" t="s">
        <v>86</v>
      </c>
      <c r="G5073" s="5" t="s">
        <v>86</v>
      </c>
      <c r="H5073" s="5" t="s">
        <v>86</v>
      </c>
      <c r="I5073" t="s">
        <v>57</v>
      </c>
    </row>
    <row r="5074" spans="1:9">
      <c r="A5074" s="4" t="s">
        <v>10197</v>
      </c>
      <c r="B5074" s="4" t="s">
        <v>10198</v>
      </c>
      <c r="C5074" s="4" t="s">
        <v>41</v>
      </c>
      <c r="D5074" s="2">
        <f>30495690/(10^6)</f>
        <v>30.49569</v>
      </c>
      <c r="E5074" s="5" t="s">
        <v>86</v>
      </c>
      <c r="F5074" s="5">
        <v>7.02826070785522</v>
      </c>
      <c r="G5074" s="5">
        <v>20.0059280395508</v>
      </c>
      <c r="H5074" s="5" t="s">
        <v>86</v>
      </c>
      <c r="I5074" t="s">
        <v>57</v>
      </c>
    </row>
    <row r="5075" spans="1:9">
      <c r="A5075" s="4" t="s">
        <v>10199</v>
      </c>
      <c r="B5075" s="4" t="s">
        <v>10200</v>
      </c>
      <c r="C5075" s="4" t="s">
        <v>41</v>
      </c>
      <c r="D5075" s="2">
        <f>30442516/(10^6)</f>
        <v>30.442516</v>
      </c>
      <c r="E5075" s="5" t="s">
        <v>86</v>
      </c>
      <c r="F5075" s="5">
        <v>1.40138387680054</v>
      </c>
      <c r="G5075" s="5" t="s">
        <v>86</v>
      </c>
      <c r="H5075" s="5" t="s">
        <v>86</v>
      </c>
      <c r="I5075" t="s">
        <v>57</v>
      </c>
    </row>
    <row r="5076" spans="1:9">
      <c r="A5076" s="4" t="s">
        <v>10201</v>
      </c>
      <c r="B5076" s="4" t="s">
        <v>10202</v>
      </c>
      <c r="C5076" s="4" t="s">
        <v>41</v>
      </c>
      <c r="D5076" s="2">
        <f>30376640/(10^6)</f>
        <v>30.37664</v>
      </c>
      <c r="E5076" s="5" t="s">
        <v>86</v>
      </c>
      <c r="F5076" s="5">
        <v>1.0355988740921</v>
      </c>
      <c r="G5076" s="5">
        <v>0.841122210025787</v>
      </c>
      <c r="H5076" s="5">
        <v>15.9271717071533</v>
      </c>
      <c r="I5076" t="s">
        <v>57</v>
      </c>
    </row>
    <row r="5077" spans="1:9">
      <c r="A5077" s="4" t="s">
        <v>10203</v>
      </c>
      <c r="B5077" s="4" t="s">
        <v>10204</v>
      </c>
      <c r="C5077" s="4" t="s">
        <v>51</v>
      </c>
      <c r="D5077" s="2">
        <f>30374452/(10^6)</f>
        <v>30.374452</v>
      </c>
      <c r="E5077" s="5" t="s">
        <v>86</v>
      </c>
      <c r="F5077" s="5">
        <v>0.700738728046417</v>
      </c>
      <c r="G5077" s="5">
        <v>0.426926612854004</v>
      </c>
      <c r="H5077" s="5" t="s">
        <v>86</v>
      </c>
      <c r="I5077" t="s">
        <v>57</v>
      </c>
    </row>
    <row r="5078" spans="1:9">
      <c r="A5078" s="4" t="s">
        <v>10205</v>
      </c>
      <c r="B5078" s="4" t="s">
        <v>10206</v>
      </c>
      <c r="C5078" s="4" t="s">
        <v>43</v>
      </c>
      <c r="D5078" s="2">
        <f>30340434/(10^6)</f>
        <v>30.340434</v>
      </c>
      <c r="E5078" s="5">
        <v>4.78011512756348</v>
      </c>
      <c r="F5078" s="5">
        <v>0.52793949842453</v>
      </c>
      <c r="G5078" s="5">
        <v>4.63500070571899</v>
      </c>
      <c r="H5078" s="5" t="s">
        <v>86</v>
      </c>
      <c r="I5078" t="s">
        <v>57</v>
      </c>
    </row>
    <row r="5079" spans="1:9">
      <c r="A5079" s="4" t="s">
        <v>10207</v>
      </c>
      <c r="B5079" s="4" t="s">
        <v>10208</v>
      </c>
      <c r="C5079" s="4" t="s">
        <v>41</v>
      </c>
      <c r="D5079" s="2">
        <f>30302094/(10^6)</f>
        <v>30.302094</v>
      </c>
      <c r="E5079" s="5" t="s">
        <v>86</v>
      </c>
      <c r="F5079" s="5">
        <v>0.595231771469116</v>
      </c>
      <c r="G5079" s="5">
        <v>28.4677505493164</v>
      </c>
      <c r="H5079" s="5" t="s">
        <v>86</v>
      </c>
      <c r="I5079" t="s">
        <v>57</v>
      </c>
    </row>
    <row r="5080" spans="1:9">
      <c r="A5080" s="4" t="s">
        <v>10209</v>
      </c>
      <c r="B5080" s="4" t="s">
        <v>10210</v>
      </c>
      <c r="C5080" s="4" t="s">
        <v>43</v>
      </c>
      <c r="D5080" s="2">
        <f>30043408/(10^6)</f>
        <v>30.043408</v>
      </c>
      <c r="E5080" s="5">
        <v>41.9377250671387</v>
      </c>
      <c r="F5080" s="5">
        <v>0.560213327407837</v>
      </c>
      <c r="G5080" s="5">
        <v>5.64230012893677</v>
      </c>
      <c r="H5080" s="5" t="s">
        <v>86</v>
      </c>
      <c r="I5080" t="s">
        <v>57</v>
      </c>
    </row>
    <row r="5081" spans="1:9">
      <c r="A5081" s="4" t="s">
        <v>10211</v>
      </c>
      <c r="B5081" s="4" t="s">
        <v>10212</v>
      </c>
      <c r="C5081" s="4" t="s">
        <v>47</v>
      </c>
      <c r="D5081" s="2">
        <f>30024618/(10^6)</f>
        <v>30.024618</v>
      </c>
      <c r="E5081" s="5" t="s">
        <v>86</v>
      </c>
      <c r="F5081" s="5">
        <v>0.173140212893486</v>
      </c>
      <c r="G5081" s="5">
        <v>0.028397543355823</v>
      </c>
      <c r="H5081" s="5">
        <v>7.31035470962524</v>
      </c>
      <c r="I5081" t="s">
        <v>57</v>
      </c>
    </row>
    <row r="5082" spans="1:9">
      <c r="A5082" s="4" t="s">
        <v>10213</v>
      </c>
      <c r="B5082" s="4" t="s">
        <v>10214</v>
      </c>
      <c r="C5082" s="4" t="s">
        <v>47</v>
      </c>
      <c r="D5082" s="2">
        <f>30017994/(10^6)</f>
        <v>30.017994</v>
      </c>
      <c r="E5082" s="5">
        <v>10.5997409820557</v>
      </c>
      <c r="F5082" s="5">
        <v>0.182201817631721</v>
      </c>
      <c r="G5082" s="5">
        <v>0.028123714029789</v>
      </c>
      <c r="H5082" s="5">
        <v>6.96284675598145</v>
      </c>
      <c r="I5082" t="s">
        <v>57</v>
      </c>
    </row>
    <row r="5083" spans="1:9">
      <c r="A5083" s="4" t="s">
        <v>10215</v>
      </c>
      <c r="B5083" s="4" t="s">
        <v>10216</v>
      </c>
      <c r="C5083" s="4" t="s">
        <v>41</v>
      </c>
      <c r="D5083" s="2">
        <f>29933346/(10^6)</f>
        <v>29.933346</v>
      </c>
      <c r="E5083" s="5" t="s">
        <v>86</v>
      </c>
      <c r="F5083" s="5" t="s">
        <v>86</v>
      </c>
      <c r="G5083" s="5">
        <v>2.49534463882446</v>
      </c>
      <c r="H5083" s="5" t="s">
        <v>86</v>
      </c>
      <c r="I5083" t="s">
        <v>57</v>
      </c>
    </row>
    <row r="5084" spans="1:9">
      <c r="A5084" s="4" t="s">
        <v>10217</v>
      </c>
      <c r="B5084" s="4" t="s">
        <v>10218</v>
      </c>
      <c r="C5084" s="4" t="s">
        <v>47</v>
      </c>
      <c r="D5084" s="2">
        <f>29846646/(10^6)</f>
        <v>29.846646</v>
      </c>
      <c r="E5084" s="5" t="s">
        <v>86</v>
      </c>
      <c r="F5084" s="5">
        <v>4.84444856643677</v>
      </c>
      <c r="G5084" s="5">
        <v>1.333944439888</v>
      </c>
      <c r="H5084" s="5">
        <v>6.36339712142944</v>
      </c>
      <c r="I5084" t="s">
        <v>57</v>
      </c>
    </row>
    <row r="5085" spans="1:9">
      <c r="A5085" s="4" t="s">
        <v>10219</v>
      </c>
      <c r="B5085" s="4" t="s">
        <v>10220</v>
      </c>
      <c r="C5085" s="4" t="s">
        <v>51</v>
      </c>
      <c r="D5085" s="2">
        <f>29808618/(10^6)</f>
        <v>29.808618</v>
      </c>
      <c r="E5085" s="5">
        <v>22.4554786682129</v>
      </c>
      <c r="F5085" s="5">
        <v>0.255203068256378</v>
      </c>
      <c r="G5085" s="5">
        <v>0.068442314863205</v>
      </c>
      <c r="H5085" s="5">
        <v>36.0666198730469</v>
      </c>
      <c r="I5085" t="s">
        <v>57</v>
      </c>
    </row>
    <row r="5086" spans="1:9">
      <c r="A5086" s="4" t="s">
        <v>10221</v>
      </c>
      <c r="B5086" s="4" t="s">
        <v>10222</v>
      </c>
      <c r="C5086" s="4" t="s">
        <v>51</v>
      </c>
      <c r="D5086" s="2">
        <f>29791636/(10^6)</f>
        <v>29.791636</v>
      </c>
      <c r="E5086" s="5" t="s">
        <v>86</v>
      </c>
      <c r="F5086" s="5">
        <v>16.5149116516113</v>
      </c>
      <c r="G5086" s="5">
        <v>770.0205078125</v>
      </c>
      <c r="H5086" s="5" t="s">
        <v>86</v>
      </c>
      <c r="I5086" t="s">
        <v>57</v>
      </c>
    </row>
    <row r="5087" spans="1:9">
      <c r="A5087" s="4" t="s">
        <v>10223</v>
      </c>
      <c r="B5087" s="4" t="s">
        <v>10224</v>
      </c>
      <c r="C5087" s="4" t="s">
        <v>49</v>
      </c>
      <c r="D5087" s="2">
        <f>29756232/(10^6)</f>
        <v>29.756232</v>
      </c>
      <c r="E5087" s="5">
        <v>23.0769233703613</v>
      </c>
      <c r="F5087" s="5">
        <v>1.6282479763031</v>
      </c>
      <c r="G5087" s="5">
        <v>1.90381681919098</v>
      </c>
      <c r="H5087" s="5" t="s">
        <v>86</v>
      </c>
      <c r="I5087" t="s">
        <v>57</v>
      </c>
    </row>
    <row r="5088" spans="1:9">
      <c r="A5088" s="4" t="s">
        <v>10225</v>
      </c>
      <c r="B5088" s="4" t="s">
        <v>10226</v>
      </c>
      <c r="C5088" s="4" t="s">
        <v>27</v>
      </c>
      <c r="D5088" s="2">
        <f>29752484/(10^6)</f>
        <v>29.752484</v>
      </c>
      <c r="E5088" s="5" t="s">
        <v>86</v>
      </c>
      <c r="F5088" s="5">
        <v>0.221785098314285</v>
      </c>
      <c r="G5088" s="5">
        <v>0.061102453619242</v>
      </c>
      <c r="H5088" s="5" t="s">
        <v>86</v>
      </c>
      <c r="I5088" t="s">
        <v>57</v>
      </c>
    </row>
    <row r="5089" spans="1:9">
      <c r="A5089" s="4" t="s">
        <v>10227</v>
      </c>
      <c r="B5089" s="4" t="s">
        <v>10228</v>
      </c>
      <c r="C5089" s="4" t="s">
        <v>41</v>
      </c>
      <c r="D5089" s="2">
        <f>29698402/(10^6)</f>
        <v>29.698402</v>
      </c>
      <c r="E5089" s="5" t="s">
        <v>86</v>
      </c>
      <c r="F5089" s="5">
        <v>0.55348539352417</v>
      </c>
      <c r="G5089" s="5" t="s">
        <v>86</v>
      </c>
      <c r="H5089" s="5" t="s">
        <v>86</v>
      </c>
      <c r="I5089" t="s">
        <v>57</v>
      </c>
    </row>
    <row r="5090" spans="1:9">
      <c r="A5090" s="4" t="s">
        <v>10229</v>
      </c>
      <c r="B5090" s="4" t="s">
        <v>10230</v>
      </c>
      <c r="C5090" s="4" t="s">
        <v>49</v>
      </c>
      <c r="D5090" s="2">
        <f>29693896/(10^6)</f>
        <v>29.693896</v>
      </c>
      <c r="E5090" s="5">
        <v>12.5342988967896</v>
      </c>
      <c r="F5090" s="5" t="s">
        <v>86</v>
      </c>
      <c r="G5090" s="5" t="s">
        <v>86</v>
      </c>
      <c r="H5090" s="5" t="s">
        <v>86</v>
      </c>
      <c r="I5090" t="s">
        <v>57</v>
      </c>
    </row>
    <row r="5091" spans="1:9">
      <c r="A5091" s="4" t="s">
        <v>10231</v>
      </c>
      <c r="B5091" s="4" t="s">
        <v>10232</v>
      </c>
      <c r="C5091" s="4" t="s">
        <v>41</v>
      </c>
      <c r="D5091" s="2">
        <f>29685184/(10^6)</f>
        <v>29.685184</v>
      </c>
      <c r="E5091" s="5" t="s">
        <v>86</v>
      </c>
      <c r="F5091" s="5">
        <v>0.619525849819183</v>
      </c>
      <c r="G5091" s="5">
        <v>0.466904848814011</v>
      </c>
      <c r="H5091" s="5" t="s">
        <v>86</v>
      </c>
      <c r="I5091" t="s">
        <v>57</v>
      </c>
    </row>
    <row r="5092" spans="1:9">
      <c r="A5092" s="4" t="s">
        <v>10233</v>
      </c>
      <c r="B5092" s="4" t="s">
        <v>10234</v>
      </c>
      <c r="C5092" s="4" t="s">
        <v>43</v>
      </c>
      <c r="D5092" s="2">
        <f>29572730/(10^6)</f>
        <v>29.57273</v>
      </c>
      <c r="E5092" s="5">
        <v>8.70466136932373</v>
      </c>
      <c r="F5092" s="5">
        <v>0.708917617797852</v>
      </c>
      <c r="G5092" s="5">
        <v>1.5480192899704</v>
      </c>
      <c r="H5092" s="5" t="s">
        <v>86</v>
      </c>
      <c r="I5092" t="s">
        <v>57</v>
      </c>
    </row>
    <row r="5093" spans="1:9">
      <c r="A5093" s="4" t="s">
        <v>10235</v>
      </c>
      <c r="B5093" s="4" t="s">
        <v>10236</v>
      </c>
      <c r="C5093" s="4" t="s">
        <v>47</v>
      </c>
      <c r="D5093" s="2">
        <f>29564472/(10^6)</f>
        <v>29.564472</v>
      </c>
      <c r="E5093" s="5" t="s">
        <v>86</v>
      </c>
      <c r="F5093" s="5">
        <v>0.492687076330185</v>
      </c>
      <c r="G5093" s="5">
        <v>0.178610488772392</v>
      </c>
      <c r="H5093" s="5">
        <v>7.25499248504639</v>
      </c>
      <c r="I5093" t="s">
        <v>57</v>
      </c>
    </row>
    <row r="5094" spans="1:9">
      <c r="A5094" s="4" t="s">
        <v>10237</v>
      </c>
      <c r="B5094" s="4" t="s">
        <v>10238</v>
      </c>
      <c r="C5094" s="4" t="s">
        <v>43</v>
      </c>
      <c r="D5094" s="2">
        <f>29516124/(10^6)</f>
        <v>29.516124</v>
      </c>
      <c r="E5094" s="5">
        <v>36.9337997436523</v>
      </c>
      <c r="F5094" s="5">
        <v>4.76674175262451</v>
      </c>
      <c r="G5094" s="5">
        <v>6.34990930557251</v>
      </c>
      <c r="H5094" s="5" t="s">
        <v>86</v>
      </c>
      <c r="I5094" t="s">
        <v>57</v>
      </c>
    </row>
    <row r="5095" spans="1:9">
      <c r="A5095" s="4" t="s">
        <v>10239</v>
      </c>
      <c r="B5095" s="4" t="s">
        <v>10240</v>
      </c>
      <c r="C5095" s="4" t="s">
        <v>41</v>
      </c>
      <c r="D5095" s="2">
        <f>29488600/(10^6)</f>
        <v>29.4886</v>
      </c>
      <c r="E5095" s="5" t="s">
        <v>86</v>
      </c>
      <c r="F5095" s="5" t="s">
        <v>86</v>
      </c>
      <c r="G5095" s="5" t="s">
        <v>86</v>
      </c>
      <c r="H5095" s="5" t="s">
        <v>86</v>
      </c>
      <c r="I5095" t="s">
        <v>57</v>
      </c>
    </row>
    <row r="5096" spans="1:9">
      <c r="A5096" s="4" t="s">
        <v>10241</v>
      </c>
      <c r="B5096" s="4" t="s">
        <v>10242</v>
      </c>
      <c r="C5096" s="4" t="s">
        <v>51</v>
      </c>
      <c r="D5096" s="2">
        <f>29382922/(10^6)</f>
        <v>29.382922</v>
      </c>
      <c r="E5096" s="5" t="s">
        <v>86</v>
      </c>
      <c r="F5096" s="5">
        <v>0.757779121398926</v>
      </c>
      <c r="G5096" s="5">
        <v>0.170167699456215</v>
      </c>
      <c r="H5096" s="5" t="s">
        <v>86</v>
      </c>
      <c r="I5096" t="s">
        <v>57</v>
      </c>
    </row>
    <row r="5097" spans="1:9">
      <c r="A5097" s="4" t="s">
        <v>10243</v>
      </c>
      <c r="B5097" s="4" t="s">
        <v>10244</v>
      </c>
      <c r="C5097" s="4" t="s">
        <v>49</v>
      </c>
      <c r="D5097" s="2">
        <f>29382338/(10^6)</f>
        <v>29.382338</v>
      </c>
      <c r="E5097" s="5" t="s">
        <v>86</v>
      </c>
      <c r="F5097" s="5" t="s">
        <v>86</v>
      </c>
      <c r="G5097" s="5" t="s">
        <v>86</v>
      </c>
      <c r="H5097" s="5" t="s">
        <v>86</v>
      </c>
      <c r="I5097" t="s">
        <v>57</v>
      </c>
    </row>
    <row r="5098" spans="1:9">
      <c r="A5098" s="4" t="s">
        <v>10245</v>
      </c>
      <c r="B5098" s="4" t="s">
        <v>10246</v>
      </c>
      <c r="C5098" s="4" t="s">
        <v>35</v>
      </c>
      <c r="D5098" s="2">
        <f>29377586/(10^6)</f>
        <v>29.377586</v>
      </c>
      <c r="E5098" s="5" t="s">
        <v>86</v>
      </c>
      <c r="F5098" s="5">
        <v>0.697034001350403</v>
      </c>
      <c r="G5098" s="5">
        <v>0.315464377403259</v>
      </c>
      <c r="H5098" s="5">
        <v>71.1808013916016</v>
      </c>
      <c r="I5098" t="s">
        <v>57</v>
      </c>
    </row>
    <row r="5099" spans="1:9">
      <c r="A5099" s="4" t="s">
        <v>10247</v>
      </c>
      <c r="B5099" s="4" t="s">
        <v>10248</v>
      </c>
      <c r="C5099" s="4" t="s">
        <v>43</v>
      </c>
      <c r="D5099" s="2">
        <f>29344794/(10^6)</f>
        <v>29.344794</v>
      </c>
      <c r="E5099" s="5">
        <v>8.72759819030762</v>
      </c>
      <c r="F5099" s="5">
        <v>0.808077573776245</v>
      </c>
      <c r="G5099" s="5">
        <v>3.2375214099884</v>
      </c>
      <c r="H5099" s="5" t="s">
        <v>86</v>
      </c>
      <c r="I5099" t="s">
        <v>57</v>
      </c>
    </row>
    <row r="5100" spans="1:9">
      <c r="A5100" s="4" t="s">
        <v>10249</v>
      </c>
      <c r="B5100" s="4" t="s">
        <v>10250</v>
      </c>
      <c r="C5100" s="4" t="s">
        <v>41</v>
      </c>
      <c r="D5100" s="2">
        <f>29236084/(10^6)</f>
        <v>29.236084</v>
      </c>
      <c r="E5100" s="5" t="s">
        <v>86</v>
      </c>
      <c r="F5100" s="5">
        <v>4.85545253753662</v>
      </c>
      <c r="G5100" s="5" t="s">
        <v>86</v>
      </c>
      <c r="H5100" s="5" t="s">
        <v>86</v>
      </c>
      <c r="I5100" t="s">
        <v>57</v>
      </c>
    </row>
    <row r="5101" spans="1:9">
      <c r="A5101" s="4" t="s">
        <v>10251</v>
      </c>
      <c r="B5101" s="4" t="s">
        <v>10252</v>
      </c>
      <c r="C5101" s="4" t="s">
        <v>49</v>
      </c>
      <c r="D5101" s="2">
        <f>29216000/(10^6)</f>
        <v>29.216</v>
      </c>
      <c r="E5101" s="5" t="s">
        <v>86</v>
      </c>
      <c r="F5101" s="5" t="s">
        <v>86</v>
      </c>
      <c r="G5101" s="5" t="s">
        <v>86</v>
      </c>
      <c r="H5101" s="5" t="s">
        <v>86</v>
      </c>
      <c r="I5101" t="s">
        <v>57</v>
      </c>
    </row>
    <row r="5102" spans="1:9">
      <c r="A5102" s="4" t="s">
        <v>10253</v>
      </c>
      <c r="B5102" s="4" t="s">
        <v>10254</v>
      </c>
      <c r="C5102" s="4" t="s">
        <v>43</v>
      </c>
      <c r="D5102" s="2">
        <f>29196108/(10^6)</f>
        <v>29.196108</v>
      </c>
      <c r="E5102" s="5" t="s">
        <v>86</v>
      </c>
      <c r="F5102" s="5">
        <v>0.764636278152466</v>
      </c>
      <c r="G5102" s="5">
        <v>0.852251052856445</v>
      </c>
      <c r="H5102" s="5" t="s">
        <v>86</v>
      </c>
      <c r="I5102" t="s">
        <v>57</v>
      </c>
    </row>
    <row r="5103" spans="1:9">
      <c r="A5103" s="4" t="s">
        <v>10255</v>
      </c>
      <c r="B5103" s="4" t="s">
        <v>10256</v>
      </c>
      <c r="C5103" s="4" t="s">
        <v>31</v>
      </c>
      <c r="D5103" s="2">
        <f>29098526/(10^6)</f>
        <v>29.098526</v>
      </c>
      <c r="E5103" s="5">
        <v>5.99623394012451</v>
      </c>
      <c r="F5103" s="5">
        <v>0.899630188941956</v>
      </c>
      <c r="G5103" s="5">
        <v>0.420728921890259</v>
      </c>
      <c r="H5103" s="5">
        <v>3.89531373977661</v>
      </c>
      <c r="I5103" t="s">
        <v>57</v>
      </c>
    </row>
    <row r="5104" spans="1:9">
      <c r="A5104" s="4" t="s">
        <v>10257</v>
      </c>
      <c r="B5104" s="4" t="s">
        <v>10258</v>
      </c>
      <c r="C5104" s="4" t="s">
        <v>49</v>
      </c>
      <c r="D5104" s="2">
        <f>29072596/(10^6)</f>
        <v>29.072596</v>
      </c>
      <c r="E5104" s="5" t="s">
        <v>86</v>
      </c>
      <c r="F5104" s="5" t="s">
        <v>86</v>
      </c>
      <c r="G5104" s="5" t="s">
        <v>86</v>
      </c>
      <c r="H5104" s="5" t="s">
        <v>86</v>
      </c>
      <c r="I5104" t="s">
        <v>57</v>
      </c>
    </row>
    <row r="5105" spans="1:9">
      <c r="A5105" s="4" t="s">
        <v>10259</v>
      </c>
      <c r="B5105" s="4" t="s">
        <v>10260</v>
      </c>
      <c r="C5105" s="4" t="s">
        <v>43</v>
      </c>
      <c r="D5105" s="2">
        <f>29066058/(10^6)</f>
        <v>29.066058</v>
      </c>
      <c r="E5105" s="5" t="s">
        <v>86</v>
      </c>
      <c r="F5105" s="5">
        <v>0.770370006561279</v>
      </c>
      <c r="G5105" s="5">
        <v>1.34722995758057</v>
      </c>
      <c r="H5105" s="5" t="s">
        <v>86</v>
      </c>
      <c r="I5105" t="s">
        <v>57</v>
      </c>
    </row>
    <row r="5106" spans="1:9">
      <c r="A5106" s="4" t="s">
        <v>10261</v>
      </c>
      <c r="B5106" s="4" t="s">
        <v>10262</v>
      </c>
      <c r="C5106" s="4" t="s">
        <v>43</v>
      </c>
      <c r="D5106" s="2">
        <f>28966514/(10^6)</f>
        <v>28.966514</v>
      </c>
      <c r="E5106" s="5">
        <v>162.397659301758</v>
      </c>
      <c r="F5106" s="5">
        <v>0.424859762191772</v>
      </c>
      <c r="G5106" s="5">
        <v>0.624102592468262</v>
      </c>
      <c r="H5106" s="5" t="s">
        <v>86</v>
      </c>
      <c r="I5106" t="s">
        <v>57</v>
      </c>
    </row>
    <row r="5107" spans="1:9">
      <c r="A5107" s="4" t="s">
        <v>10263</v>
      </c>
      <c r="B5107" s="4" t="s">
        <v>10264</v>
      </c>
      <c r="C5107" s="4" t="s">
        <v>37</v>
      </c>
      <c r="D5107" s="2">
        <f>28907704/(10^6)</f>
        <v>28.907704</v>
      </c>
      <c r="E5107" s="5" t="s">
        <v>86</v>
      </c>
      <c r="F5107" s="5">
        <v>0.413315832614899</v>
      </c>
      <c r="G5107" s="5">
        <v>0.191113144159317</v>
      </c>
      <c r="H5107" s="5" t="s">
        <v>86</v>
      </c>
      <c r="I5107" t="s">
        <v>57</v>
      </c>
    </row>
    <row r="5108" spans="1:9">
      <c r="A5108" s="4" t="s">
        <v>10265</v>
      </c>
      <c r="B5108" s="4" t="s">
        <v>10266</v>
      </c>
      <c r="C5108" s="4" t="s">
        <v>43</v>
      </c>
      <c r="D5108" s="2">
        <f>28888832/(10^6)</f>
        <v>28.888832</v>
      </c>
      <c r="E5108" s="5">
        <v>2.29959654808044</v>
      </c>
      <c r="F5108" s="5">
        <v>0.211557656526566</v>
      </c>
      <c r="G5108" s="5">
        <v>0.727330029010773</v>
      </c>
      <c r="H5108" s="5" t="s">
        <v>86</v>
      </c>
      <c r="I5108" t="s">
        <v>57</v>
      </c>
    </row>
    <row r="5109" spans="1:9">
      <c r="A5109" s="4" t="s">
        <v>10267</v>
      </c>
      <c r="B5109" s="4" t="s">
        <v>10268</v>
      </c>
      <c r="C5109" s="4" t="s">
        <v>33</v>
      </c>
      <c r="D5109" s="2">
        <f>28866978/(10^6)</f>
        <v>28.866978</v>
      </c>
      <c r="E5109" s="5" t="s">
        <v>86</v>
      </c>
      <c r="F5109" s="5">
        <v>0.209669053554535</v>
      </c>
      <c r="G5109" s="5">
        <v>0.389734864234924</v>
      </c>
      <c r="H5109" s="5" t="s">
        <v>86</v>
      </c>
      <c r="I5109" t="s">
        <v>57</v>
      </c>
    </row>
    <row r="5110" spans="1:9">
      <c r="A5110" s="4" t="s">
        <v>10269</v>
      </c>
      <c r="B5110" s="4" t="s">
        <v>10270</v>
      </c>
      <c r="C5110" s="4" t="s">
        <v>45</v>
      </c>
      <c r="D5110" s="2">
        <f>28863010/(10^6)</f>
        <v>28.86301</v>
      </c>
      <c r="E5110" s="5" t="s">
        <v>86</v>
      </c>
      <c r="F5110" s="5">
        <v>0.637914776802063</v>
      </c>
      <c r="G5110" s="5">
        <v>29.86767578125</v>
      </c>
      <c r="H5110" s="5" t="s">
        <v>86</v>
      </c>
      <c r="I5110" t="s">
        <v>57</v>
      </c>
    </row>
    <row r="5111" spans="1:9">
      <c r="A5111" s="4" t="s">
        <v>10271</v>
      </c>
      <c r="B5111" s="4" t="s">
        <v>10272</v>
      </c>
      <c r="C5111" s="4" t="s">
        <v>49</v>
      </c>
      <c r="D5111" s="2">
        <f>28855846/(10^6)</f>
        <v>28.855846</v>
      </c>
      <c r="E5111" s="5">
        <v>24.480354309082</v>
      </c>
      <c r="F5111" s="5">
        <v>0.660552799701691</v>
      </c>
      <c r="G5111" s="5">
        <v>2.45390105247498</v>
      </c>
      <c r="H5111" s="5" t="s">
        <v>86</v>
      </c>
      <c r="I5111" t="s">
        <v>57</v>
      </c>
    </row>
    <row r="5112" spans="1:9">
      <c r="A5112" s="4" t="s">
        <v>10273</v>
      </c>
      <c r="B5112" s="4" t="s">
        <v>10274</v>
      </c>
      <c r="C5112" s="4" t="s">
        <v>47</v>
      </c>
      <c r="D5112" s="2">
        <f>28805616/(10^6)</f>
        <v>28.805616</v>
      </c>
      <c r="E5112" s="5" t="s">
        <v>86</v>
      </c>
      <c r="F5112" s="5">
        <v>13.7724752426147</v>
      </c>
      <c r="G5112" s="5">
        <v>439.358917236328</v>
      </c>
      <c r="H5112" s="5" t="s">
        <v>86</v>
      </c>
      <c r="I5112" t="s">
        <v>57</v>
      </c>
    </row>
    <row r="5113" spans="1:9">
      <c r="A5113" s="4" t="s">
        <v>10275</v>
      </c>
      <c r="B5113" s="4" t="s">
        <v>10276</v>
      </c>
      <c r="C5113" s="4" t="s">
        <v>43</v>
      </c>
      <c r="D5113" s="2">
        <f>28778582/(10^6)</f>
        <v>28.778582</v>
      </c>
      <c r="E5113" s="5" t="s">
        <v>86</v>
      </c>
      <c r="F5113" s="5">
        <v>0.673577129840851</v>
      </c>
      <c r="G5113" s="5">
        <v>0.274485528469086</v>
      </c>
      <c r="H5113" s="5" t="s">
        <v>86</v>
      </c>
      <c r="I5113" t="s">
        <v>57</v>
      </c>
    </row>
    <row r="5114" spans="1:9">
      <c r="A5114" s="4" t="s">
        <v>10277</v>
      </c>
      <c r="B5114" s="4" t="s">
        <v>10278</v>
      </c>
      <c r="C5114" s="4" t="s">
        <v>27</v>
      </c>
      <c r="D5114" s="2">
        <f>28737142/(10^6)</f>
        <v>28.737142</v>
      </c>
      <c r="E5114" s="5" t="s">
        <v>86</v>
      </c>
      <c r="F5114" s="5" t="s">
        <v>86</v>
      </c>
      <c r="G5114" s="5">
        <v>0.118139378726482</v>
      </c>
      <c r="H5114" s="5" t="s">
        <v>86</v>
      </c>
      <c r="I5114" t="s">
        <v>57</v>
      </c>
    </row>
    <row r="5115" spans="1:9">
      <c r="A5115" s="4" t="s">
        <v>10279</v>
      </c>
      <c r="B5115" s="4" t="s">
        <v>10280</v>
      </c>
      <c r="C5115" s="4" t="s">
        <v>35</v>
      </c>
      <c r="D5115" s="2">
        <f>28723482/(10^6)</f>
        <v>28.723482</v>
      </c>
      <c r="E5115" s="5" t="s">
        <v>86</v>
      </c>
      <c r="F5115" s="5">
        <v>6.20207691192627</v>
      </c>
      <c r="G5115" s="5">
        <v>0.690677225589752</v>
      </c>
      <c r="H5115" s="5" t="s">
        <v>86</v>
      </c>
      <c r="I5115" t="s">
        <v>57</v>
      </c>
    </row>
    <row r="5116" spans="1:9">
      <c r="A5116" s="4" t="s">
        <v>10281</v>
      </c>
      <c r="B5116" s="4" t="s">
        <v>10282</v>
      </c>
      <c r="C5116" s="4" t="s">
        <v>31</v>
      </c>
      <c r="D5116" s="2">
        <f>28635632/(10^6)</f>
        <v>28.635632</v>
      </c>
      <c r="E5116" s="5" t="s">
        <v>86</v>
      </c>
      <c r="F5116" s="5">
        <v>0.366363972425461</v>
      </c>
      <c r="G5116" s="5">
        <v>0.05455319955945</v>
      </c>
      <c r="H5116" s="5">
        <v>4.70414066314697</v>
      </c>
      <c r="I5116" t="s">
        <v>57</v>
      </c>
    </row>
    <row r="5117" spans="1:9">
      <c r="A5117" s="4" t="s">
        <v>10283</v>
      </c>
      <c r="B5117" s="4" t="s">
        <v>10284</v>
      </c>
      <c r="C5117" s="4" t="s">
        <v>43</v>
      </c>
      <c r="D5117" s="2">
        <f>28578000/(10^6)</f>
        <v>28.578</v>
      </c>
      <c r="E5117" s="5">
        <v>20.625</v>
      </c>
      <c r="F5117" s="5">
        <v>0.87455826997757</v>
      </c>
      <c r="G5117" s="5">
        <v>1.33334124088287</v>
      </c>
      <c r="H5117" s="5" t="s">
        <v>86</v>
      </c>
      <c r="I5117" t="s">
        <v>57</v>
      </c>
    </row>
    <row r="5118" spans="1:9">
      <c r="A5118" s="4" t="s">
        <v>10285</v>
      </c>
      <c r="B5118" s="4" t="s">
        <v>10286</v>
      </c>
      <c r="C5118" s="4" t="s">
        <v>51</v>
      </c>
      <c r="D5118" s="2">
        <f>28543894/(10^6)</f>
        <v>28.543894</v>
      </c>
      <c r="E5118" s="5" t="s">
        <v>86</v>
      </c>
      <c r="F5118" s="5">
        <v>0.954926490783691</v>
      </c>
      <c r="G5118" s="5">
        <v>0.359903782606125</v>
      </c>
      <c r="H5118" s="5" t="s">
        <v>86</v>
      </c>
      <c r="I5118" t="s">
        <v>57</v>
      </c>
    </row>
    <row r="5119" spans="1:9">
      <c r="A5119" s="4" t="s">
        <v>10287</v>
      </c>
      <c r="B5119" s="4" t="s">
        <v>10288</v>
      </c>
      <c r="C5119" s="4" t="s">
        <v>37</v>
      </c>
      <c r="D5119" s="2">
        <f>28425570/(10^6)</f>
        <v>28.42557</v>
      </c>
      <c r="E5119" s="5" t="s">
        <v>86</v>
      </c>
      <c r="F5119" s="5" t="s">
        <v>86</v>
      </c>
      <c r="G5119" s="5">
        <v>0.000312607444357</v>
      </c>
      <c r="H5119" s="5" t="s">
        <v>86</v>
      </c>
      <c r="I5119" t="s">
        <v>57</v>
      </c>
    </row>
    <row r="5120" spans="1:9">
      <c r="A5120" s="4" t="s">
        <v>10289</v>
      </c>
      <c r="B5120" s="4" t="s">
        <v>10290</v>
      </c>
      <c r="C5120" s="4" t="s">
        <v>43</v>
      </c>
      <c r="D5120" s="2">
        <f>28397620/(10^6)</f>
        <v>28.39762</v>
      </c>
      <c r="E5120" s="5" t="s">
        <v>86</v>
      </c>
      <c r="F5120" s="5" t="s">
        <v>86</v>
      </c>
      <c r="G5120" s="5">
        <v>0.264588803052902</v>
      </c>
      <c r="H5120" s="5">
        <v>1.21306502819061</v>
      </c>
      <c r="I5120" t="s">
        <v>57</v>
      </c>
    </row>
    <row r="5121" spans="1:9">
      <c r="A5121" s="4" t="s">
        <v>10291</v>
      </c>
      <c r="B5121" s="4" t="s">
        <v>10292</v>
      </c>
      <c r="C5121" s="4" t="s">
        <v>33</v>
      </c>
      <c r="D5121" s="2">
        <f>28385840/(10^6)</f>
        <v>28.38584</v>
      </c>
      <c r="E5121" s="5" t="s">
        <v>86</v>
      </c>
      <c r="F5121" s="5" t="s">
        <v>86</v>
      </c>
      <c r="G5121" s="5" t="s">
        <v>86</v>
      </c>
      <c r="H5121" s="5" t="s">
        <v>86</v>
      </c>
      <c r="I5121" t="s">
        <v>57</v>
      </c>
    </row>
    <row r="5122" spans="1:9">
      <c r="A5122" s="4" t="s">
        <v>10293</v>
      </c>
      <c r="B5122" s="4" t="s">
        <v>10294</v>
      </c>
      <c r="C5122" s="4" t="s">
        <v>49</v>
      </c>
      <c r="D5122" s="2">
        <f>28372006/(10^6)</f>
        <v>28.372006</v>
      </c>
      <c r="E5122" s="5">
        <v>57.5714340209961</v>
      </c>
      <c r="F5122" s="5">
        <v>5.39346170425415</v>
      </c>
      <c r="G5122" s="5">
        <v>3.05914521217346</v>
      </c>
      <c r="H5122" s="5" t="s">
        <v>86</v>
      </c>
      <c r="I5122" t="s">
        <v>57</v>
      </c>
    </row>
    <row r="5123" spans="1:9">
      <c r="A5123" s="4" t="s">
        <v>10295</v>
      </c>
      <c r="B5123" s="4" t="s">
        <v>10296</v>
      </c>
      <c r="C5123" s="4" t="s">
        <v>41</v>
      </c>
      <c r="D5123" s="2">
        <f>28359554/(10^6)</f>
        <v>28.359554</v>
      </c>
      <c r="E5123" s="5" t="s">
        <v>86</v>
      </c>
      <c r="F5123" s="5">
        <v>5.04130172729492</v>
      </c>
      <c r="G5123" s="5">
        <v>106.082038879395</v>
      </c>
      <c r="H5123" s="5" t="s">
        <v>86</v>
      </c>
      <c r="I5123" t="s">
        <v>57</v>
      </c>
    </row>
    <row r="5124" spans="1:9">
      <c r="A5124" s="4" t="s">
        <v>10297</v>
      </c>
      <c r="B5124" s="4" t="s">
        <v>10298</v>
      </c>
      <c r="C5124" s="4" t="s">
        <v>51</v>
      </c>
      <c r="D5124" s="2">
        <f>28343250/(10^6)</f>
        <v>28.34325</v>
      </c>
      <c r="E5124" s="5">
        <v>15.8333330154419</v>
      </c>
      <c r="F5124" s="5">
        <v>6.11451530456543</v>
      </c>
      <c r="G5124" s="5">
        <v>3.11524438858032</v>
      </c>
      <c r="H5124" s="5">
        <v>7.68792200088501</v>
      </c>
      <c r="I5124" t="s">
        <v>57</v>
      </c>
    </row>
    <row r="5125" spans="1:9">
      <c r="A5125" s="4" t="s">
        <v>10299</v>
      </c>
      <c r="B5125" s="4" t="s">
        <v>10300</v>
      </c>
      <c r="C5125" s="4" t="s">
        <v>43</v>
      </c>
      <c r="D5125" s="2">
        <f>28299726/(10^6)</f>
        <v>28.299726</v>
      </c>
      <c r="E5125" s="5">
        <v>22.3605728149414</v>
      </c>
      <c r="F5125" s="5">
        <v>0.793612420558929</v>
      </c>
      <c r="G5125" s="5">
        <v>2.03812265396118</v>
      </c>
      <c r="H5125" s="5" t="s">
        <v>86</v>
      </c>
      <c r="I5125" t="s">
        <v>57</v>
      </c>
    </row>
    <row r="5126" spans="1:9">
      <c r="A5126" s="4" t="s">
        <v>10301</v>
      </c>
      <c r="B5126" s="4" t="s">
        <v>10302</v>
      </c>
      <c r="C5126" s="4" t="s">
        <v>51</v>
      </c>
      <c r="D5126" s="2">
        <f>28255770/(10^6)</f>
        <v>28.25577</v>
      </c>
      <c r="E5126" s="5" t="s">
        <v>86</v>
      </c>
      <c r="F5126" s="5">
        <v>0.353031277656555</v>
      </c>
      <c r="G5126" s="5">
        <v>0.075588047504425</v>
      </c>
      <c r="H5126" s="5">
        <v>6.34087085723877</v>
      </c>
      <c r="I5126" t="s">
        <v>57</v>
      </c>
    </row>
    <row r="5127" spans="1:9">
      <c r="A5127" s="4" t="s">
        <v>10303</v>
      </c>
      <c r="B5127" s="4" t="s">
        <v>10304</v>
      </c>
      <c r="C5127" s="4" t="s">
        <v>43</v>
      </c>
      <c r="D5127" s="2">
        <f>28175160/(10^6)</f>
        <v>28.17516</v>
      </c>
      <c r="E5127" s="5" t="s">
        <v>86</v>
      </c>
      <c r="F5127" s="5" t="s">
        <v>86</v>
      </c>
      <c r="G5127" s="5" t="s">
        <v>86</v>
      </c>
      <c r="H5127" s="5" t="s">
        <v>86</v>
      </c>
      <c r="I5127" t="s">
        <v>57</v>
      </c>
    </row>
    <row r="5128" spans="1:9">
      <c r="A5128" s="4" t="s">
        <v>10305</v>
      </c>
      <c r="B5128" s="4" t="s">
        <v>10306</v>
      </c>
      <c r="C5128" s="4" t="s">
        <v>43</v>
      </c>
      <c r="D5128" s="2">
        <f>28152920/(10^6)</f>
        <v>28.15292</v>
      </c>
      <c r="E5128" s="5" t="s">
        <v>86</v>
      </c>
      <c r="F5128" s="5">
        <v>1.61269235610962</v>
      </c>
      <c r="G5128" s="5">
        <v>1.10086727142334</v>
      </c>
      <c r="H5128" s="5">
        <v>26.843864440918</v>
      </c>
      <c r="I5128" t="s">
        <v>57</v>
      </c>
    </row>
    <row r="5129" spans="1:9">
      <c r="A5129" s="4" t="s">
        <v>10307</v>
      </c>
      <c r="B5129" s="4" t="s">
        <v>10308</v>
      </c>
      <c r="C5129" s="4" t="s">
        <v>43</v>
      </c>
      <c r="D5129" s="2">
        <f>28133872/(10^6)</f>
        <v>28.133872</v>
      </c>
      <c r="E5129" s="5">
        <v>1.65217387676239</v>
      </c>
      <c r="F5129" s="5">
        <v>0.228571429848671</v>
      </c>
      <c r="G5129" s="5" t="s">
        <v>86</v>
      </c>
      <c r="H5129" s="5" t="s">
        <v>86</v>
      </c>
      <c r="I5129" t="s">
        <v>57</v>
      </c>
    </row>
    <row r="5130" spans="1:9">
      <c r="A5130" s="4" t="s">
        <v>10309</v>
      </c>
      <c r="B5130" s="4" t="s">
        <v>10310</v>
      </c>
      <c r="C5130" s="4" t="s">
        <v>47</v>
      </c>
      <c r="D5130" s="2">
        <f>28105668/(10^6)</f>
        <v>28.105668</v>
      </c>
      <c r="E5130" s="5" t="s">
        <v>86</v>
      </c>
      <c r="F5130" s="5" t="s">
        <v>86</v>
      </c>
      <c r="G5130" s="5" t="s">
        <v>86</v>
      </c>
      <c r="H5130" s="5" t="s">
        <v>86</v>
      </c>
      <c r="I5130" t="s">
        <v>57</v>
      </c>
    </row>
    <row r="5131" spans="1:9">
      <c r="A5131" s="4" t="s">
        <v>10311</v>
      </c>
      <c r="B5131" s="4" t="s">
        <v>10312</v>
      </c>
      <c r="C5131" s="4" t="s">
        <v>43</v>
      </c>
      <c r="D5131" s="2">
        <f>28083300/(10^6)</f>
        <v>28.0833</v>
      </c>
      <c r="E5131" s="5" t="s">
        <v>86</v>
      </c>
      <c r="F5131" s="5">
        <v>0.966871559619904</v>
      </c>
      <c r="G5131" s="5">
        <v>2.27384853363037</v>
      </c>
      <c r="H5131" s="5" t="s">
        <v>86</v>
      </c>
      <c r="I5131" t="s">
        <v>57</v>
      </c>
    </row>
    <row r="5132" spans="1:9">
      <c r="A5132" s="4" t="s">
        <v>10313</v>
      </c>
      <c r="B5132" s="4" t="s">
        <v>10314</v>
      </c>
      <c r="C5132" s="4" t="s">
        <v>33</v>
      </c>
      <c r="D5132" s="2">
        <f>27994904/(10^6)</f>
        <v>27.994904</v>
      </c>
      <c r="E5132" s="5" t="s">
        <v>86</v>
      </c>
      <c r="F5132" s="5">
        <v>1.67764699459076</v>
      </c>
      <c r="G5132" s="5">
        <v>6.35102081298828</v>
      </c>
      <c r="H5132" s="5" t="s">
        <v>86</v>
      </c>
      <c r="I5132" t="s">
        <v>57</v>
      </c>
    </row>
    <row r="5133" spans="1:9">
      <c r="A5133" s="4" t="s">
        <v>10315</v>
      </c>
      <c r="B5133" s="4" t="s">
        <v>10316</v>
      </c>
      <c r="C5133" s="4" t="s">
        <v>27</v>
      </c>
      <c r="D5133" s="2">
        <f>27986370/(10^6)</f>
        <v>27.98637</v>
      </c>
      <c r="E5133" s="5" t="s">
        <v>86</v>
      </c>
      <c r="F5133" s="5">
        <v>0.146120190620422</v>
      </c>
      <c r="G5133" s="5">
        <v>0.086046002805233</v>
      </c>
      <c r="H5133" s="5" t="s">
        <v>86</v>
      </c>
      <c r="I5133" t="s">
        <v>57</v>
      </c>
    </row>
    <row r="5134" spans="1:9">
      <c r="A5134" s="4" t="s">
        <v>10317</v>
      </c>
      <c r="B5134" s="4" t="s">
        <v>10318</v>
      </c>
      <c r="C5134" s="4" t="s">
        <v>41</v>
      </c>
      <c r="D5134" s="2">
        <f>27963370/(10^6)</f>
        <v>27.96337</v>
      </c>
      <c r="E5134" s="5" t="s">
        <v>86</v>
      </c>
      <c r="F5134" s="5">
        <v>1.61523056030273</v>
      </c>
      <c r="G5134" s="5" t="s">
        <v>86</v>
      </c>
      <c r="H5134" s="5" t="s">
        <v>86</v>
      </c>
      <c r="I5134" t="s">
        <v>57</v>
      </c>
    </row>
    <row r="5135" spans="1:9">
      <c r="A5135" s="4" t="s">
        <v>10319</v>
      </c>
      <c r="B5135" s="4" t="s">
        <v>10320</v>
      </c>
      <c r="C5135" s="4" t="s">
        <v>51</v>
      </c>
      <c r="D5135" s="2">
        <f>27962410/(10^6)</f>
        <v>27.96241</v>
      </c>
      <c r="E5135" s="5" t="s">
        <v>86</v>
      </c>
      <c r="F5135" s="5">
        <v>0.7132169008255</v>
      </c>
      <c r="G5135" s="5">
        <v>2.12105107307434</v>
      </c>
      <c r="H5135" s="5" t="s">
        <v>86</v>
      </c>
      <c r="I5135" t="s">
        <v>57</v>
      </c>
    </row>
    <row r="5136" spans="1:9">
      <c r="A5136" s="4" t="s">
        <v>10321</v>
      </c>
      <c r="B5136" s="4" t="s">
        <v>10322</v>
      </c>
      <c r="C5136" s="4" t="s">
        <v>41</v>
      </c>
      <c r="D5136" s="2">
        <f>27878414/(10^6)</f>
        <v>27.878414</v>
      </c>
      <c r="E5136" s="5" t="s">
        <v>86</v>
      </c>
      <c r="F5136" s="5">
        <v>1.52711713314056</v>
      </c>
      <c r="G5136" s="5">
        <v>0.857819020748138</v>
      </c>
      <c r="H5136" s="5" t="s">
        <v>86</v>
      </c>
      <c r="I5136" t="s">
        <v>57</v>
      </c>
    </row>
    <row r="5137" spans="1:9">
      <c r="A5137" s="4" t="s">
        <v>10323</v>
      </c>
      <c r="B5137" s="4" t="s">
        <v>10324</v>
      </c>
      <c r="C5137" s="4" t="s">
        <v>43</v>
      </c>
      <c r="D5137" s="2">
        <f>27878254/(10^6)</f>
        <v>27.878254</v>
      </c>
      <c r="E5137" s="5" t="s">
        <v>86</v>
      </c>
      <c r="F5137" s="5">
        <v>1.51060700416565</v>
      </c>
      <c r="G5137" s="5">
        <v>2.3705997467041</v>
      </c>
      <c r="H5137" s="5" t="s">
        <v>86</v>
      </c>
      <c r="I5137" t="s">
        <v>57</v>
      </c>
    </row>
    <row r="5138" spans="1:9">
      <c r="A5138" s="4" t="s">
        <v>10325</v>
      </c>
      <c r="B5138" s="4" t="s">
        <v>10326</v>
      </c>
      <c r="C5138" s="4" t="s">
        <v>31</v>
      </c>
      <c r="D5138" s="2">
        <f>27875234/(10^6)</f>
        <v>27.875234</v>
      </c>
      <c r="E5138" s="5">
        <v>8.88489055633545</v>
      </c>
      <c r="F5138" s="5">
        <v>1.01399397850037</v>
      </c>
      <c r="G5138" s="5">
        <v>0.089689418673515</v>
      </c>
      <c r="H5138" s="5">
        <v>5.98173332214355</v>
      </c>
      <c r="I5138" t="s">
        <v>57</v>
      </c>
    </row>
    <row r="5139" spans="1:9">
      <c r="A5139" s="4" t="s">
        <v>10327</v>
      </c>
      <c r="B5139" s="4" t="s">
        <v>10328</v>
      </c>
      <c r="C5139" s="4" t="s">
        <v>37</v>
      </c>
      <c r="D5139" s="2">
        <f>27865832/(10^6)</f>
        <v>27.865832</v>
      </c>
      <c r="E5139" s="5" t="s">
        <v>86</v>
      </c>
      <c r="F5139" s="5" t="s">
        <v>86</v>
      </c>
      <c r="G5139" s="5">
        <v>13.4877815246582</v>
      </c>
      <c r="H5139" s="5" t="s">
        <v>86</v>
      </c>
      <c r="I5139" t="s">
        <v>57</v>
      </c>
    </row>
    <row r="5140" spans="1:9">
      <c r="A5140" s="4" t="s">
        <v>10329</v>
      </c>
      <c r="B5140" s="4" t="s">
        <v>10330</v>
      </c>
      <c r="C5140" s="4" t="s">
        <v>43</v>
      </c>
      <c r="D5140" s="2">
        <f>27762000/(10^6)</f>
        <v>27.762</v>
      </c>
      <c r="E5140" s="5">
        <v>0.661417305469513</v>
      </c>
      <c r="F5140" s="5">
        <v>0.3885278403759</v>
      </c>
      <c r="G5140" s="5" t="s">
        <v>86</v>
      </c>
      <c r="H5140" s="5" t="s">
        <v>86</v>
      </c>
      <c r="I5140" t="s">
        <v>57</v>
      </c>
    </row>
    <row r="5141" spans="1:9">
      <c r="A5141" s="4" t="s">
        <v>10331</v>
      </c>
      <c r="B5141" s="4" t="s">
        <v>10332</v>
      </c>
      <c r="C5141" s="4" t="s">
        <v>51</v>
      </c>
      <c r="D5141" s="2">
        <f>27725610/(10^6)</f>
        <v>27.72561</v>
      </c>
      <c r="E5141" s="5">
        <v>61.3333320617676</v>
      </c>
      <c r="F5141" s="5">
        <v>1.06034517288208</v>
      </c>
      <c r="G5141" s="5">
        <v>0.600549161434174</v>
      </c>
      <c r="H5141" s="5">
        <v>9.85228443145752</v>
      </c>
      <c r="I5141" t="s">
        <v>57</v>
      </c>
    </row>
    <row r="5142" spans="1:9">
      <c r="A5142" s="4" t="s">
        <v>10333</v>
      </c>
      <c r="B5142" s="4" t="s">
        <v>10334</v>
      </c>
      <c r="C5142" s="4" t="s">
        <v>31</v>
      </c>
      <c r="D5142" s="2">
        <f>27708562/(10^6)</f>
        <v>27.708562</v>
      </c>
      <c r="E5142" s="5" t="s">
        <v>86</v>
      </c>
      <c r="F5142" s="5">
        <v>0.615595519542694</v>
      </c>
      <c r="G5142" s="5">
        <v>0.170910596847534</v>
      </c>
      <c r="H5142" s="5" t="s">
        <v>86</v>
      </c>
      <c r="I5142" t="s">
        <v>57</v>
      </c>
    </row>
    <row r="5143" spans="1:9">
      <c r="A5143" s="4" t="s">
        <v>10335</v>
      </c>
      <c r="B5143" s="4" t="s">
        <v>10336</v>
      </c>
      <c r="C5143" s="4" t="s">
        <v>49</v>
      </c>
      <c r="D5143" s="2">
        <f>27616344/(10^6)</f>
        <v>27.616344</v>
      </c>
      <c r="E5143" s="5" t="s">
        <v>86</v>
      </c>
      <c r="F5143" s="5" t="s">
        <v>86</v>
      </c>
      <c r="G5143" s="5">
        <v>183.834899902344</v>
      </c>
      <c r="H5143" s="5" t="s">
        <v>86</v>
      </c>
      <c r="I5143" t="s">
        <v>57</v>
      </c>
    </row>
    <row r="5144" spans="1:9">
      <c r="A5144" s="4" t="s">
        <v>10337</v>
      </c>
      <c r="B5144" s="4" t="s">
        <v>10338</v>
      </c>
      <c r="C5144" s="4" t="s">
        <v>43</v>
      </c>
      <c r="D5144" s="2">
        <f>27598574/(10^6)</f>
        <v>27.598574</v>
      </c>
      <c r="E5144" s="5">
        <v>7.09876537322998</v>
      </c>
      <c r="F5144" s="5">
        <v>0.748737990856171</v>
      </c>
      <c r="G5144" s="5">
        <v>1.20534574985504</v>
      </c>
      <c r="H5144" s="5" t="s">
        <v>86</v>
      </c>
      <c r="I5144" t="s">
        <v>57</v>
      </c>
    </row>
    <row r="5145" spans="1:9">
      <c r="A5145" s="4" t="s">
        <v>10339</v>
      </c>
      <c r="B5145" s="4" t="s">
        <v>10340</v>
      </c>
      <c r="C5145" s="4" t="s">
        <v>49</v>
      </c>
      <c r="D5145" s="2">
        <f>27537840/(10^6)</f>
        <v>27.53784</v>
      </c>
      <c r="E5145" s="5" t="s">
        <v>86</v>
      </c>
      <c r="F5145" s="5" t="s">
        <v>86</v>
      </c>
      <c r="G5145" s="5" t="s">
        <v>86</v>
      </c>
      <c r="H5145" s="5" t="s">
        <v>86</v>
      </c>
      <c r="I5145" t="s">
        <v>57</v>
      </c>
    </row>
    <row r="5146" spans="1:9">
      <c r="A5146" s="4" t="s">
        <v>10341</v>
      </c>
      <c r="B5146" s="4" t="s">
        <v>10342</v>
      </c>
      <c r="C5146" s="4" t="s">
        <v>43</v>
      </c>
      <c r="D5146" s="2">
        <f>27377418/(10^6)</f>
        <v>27.377418</v>
      </c>
      <c r="E5146" s="5" t="s">
        <v>86</v>
      </c>
      <c r="F5146" s="5" t="s">
        <v>86</v>
      </c>
      <c r="G5146" s="5" t="s">
        <v>86</v>
      </c>
      <c r="H5146" s="5" t="s">
        <v>86</v>
      </c>
      <c r="I5146" t="s">
        <v>57</v>
      </c>
    </row>
    <row r="5147" spans="1:9">
      <c r="A5147" s="4" t="s">
        <v>10343</v>
      </c>
      <c r="B5147" s="4" t="s">
        <v>10344</v>
      </c>
      <c r="C5147" s="4" t="s">
        <v>31</v>
      </c>
      <c r="D5147" s="2">
        <f>27359452/(10^6)</f>
        <v>27.359452</v>
      </c>
      <c r="E5147" s="5" t="s">
        <v>86</v>
      </c>
      <c r="F5147" s="5">
        <v>1.37964522838593</v>
      </c>
      <c r="G5147" s="5">
        <v>118.086700439453</v>
      </c>
      <c r="H5147" s="5" t="s">
        <v>86</v>
      </c>
      <c r="I5147" t="s">
        <v>57</v>
      </c>
    </row>
    <row r="5148" spans="1:9">
      <c r="A5148" s="4" t="s">
        <v>10345</v>
      </c>
      <c r="B5148" s="4" t="s">
        <v>10346</v>
      </c>
      <c r="C5148" s="4" t="s">
        <v>43</v>
      </c>
      <c r="D5148" s="2">
        <f>27340450/(10^6)</f>
        <v>27.34045</v>
      </c>
      <c r="E5148" s="5">
        <v>24.5178833007812</v>
      </c>
      <c r="F5148" s="5">
        <v>0.813728094100952</v>
      </c>
      <c r="G5148" s="5">
        <v>1.29854011535645</v>
      </c>
      <c r="H5148" s="5" t="s">
        <v>86</v>
      </c>
      <c r="I5148" t="s">
        <v>57</v>
      </c>
    </row>
    <row r="5149" spans="1:9">
      <c r="A5149" s="4" t="s">
        <v>10347</v>
      </c>
      <c r="B5149" s="4" t="s">
        <v>10348</v>
      </c>
      <c r="C5149" s="4" t="s">
        <v>49</v>
      </c>
      <c r="D5149" s="2">
        <f>27270436/(10^6)</f>
        <v>27.270436</v>
      </c>
      <c r="E5149" s="5" t="s">
        <v>86</v>
      </c>
      <c r="F5149" s="5">
        <v>34.1367950439453</v>
      </c>
      <c r="G5149" s="5" t="s">
        <v>86</v>
      </c>
      <c r="H5149" s="5" t="s">
        <v>86</v>
      </c>
      <c r="I5149" t="s">
        <v>57</v>
      </c>
    </row>
    <row r="5150" spans="1:9">
      <c r="A5150" s="4" t="s">
        <v>10349</v>
      </c>
      <c r="B5150" s="4" t="s">
        <v>10350</v>
      </c>
      <c r="C5150" s="4" t="s">
        <v>47</v>
      </c>
      <c r="D5150" s="2">
        <f>27265940/(10^6)</f>
        <v>27.26594</v>
      </c>
      <c r="E5150" s="5" t="s">
        <v>86</v>
      </c>
      <c r="F5150" s="5">
        <v>13.9734945297241</v>
      </c>
      <c r="G5150" s="5" t="s">
        <v>86</v>
      </c>
      <c r="H5150" s="5" t="s">
        <v>86</v>
      </c>
      <c r="I5150" t="s">
        <v>57</v>
      </c>
    </row>
    <row r="5151" spans="1:9">
      <c r="A5151" s="4" t="s">
        <v>10351</v>
      </c>
      <c r="B5151" s="4" t="s">
        <v>10352</v>
      </c>
      <c r="C5151" s="4" t="s">
        <v>43</v>
      </c>
      <c r="D5151" s="2">
        <f>27247084/(10^6)</f>
        <v>27.247084</v>
      </c>
      <c r="E5151" s="5" t="s">
        <v>86</v>
      </c>
      <c r="F5151" s="5">
        <v>0.214694440364838</v>
      </c>
      <c r="G5151" s="5" t="s">
        <v>86</v>
      </c>
      <c r="H5151" s="5" t="s">
        <v>86</v>
      </c>
      <c r="I5151" t="s">
        <v>57</v>
      </c>
    </row>
    <row r="5152" spans="1:9">
      <c r="A5152" s="4" t="s">
        <v>10353</v>
      </c>
      <c r="B5152" s="4" t="s">
        <v>10354</v>
      </c>
      <c r="C5152" s="4" t="s">
        <v>27</v>
      </c>
      <c r="D5152" s="2">
        <f>27234960/(10^6)</f>
        <v>27.23496</v>
      </c>
      <c r="E5152" s="5" t="s">
        <v>86</v>
      </c>
      <c r="F5152" s="5">
        <v>0.067789450287819</v>
      </c>
      <c r="G5152" s="5">
        <v>0.042846359312534</v>
      </c>
      <c r="H5152" s="5" t="s">
        <v>86</v>
      </c>
      <c r="I5152" t="s">
        <v>57</v>
      </c>
    </row>
    <row r="5153" spans="1:9">
      <c r="A5153" s="4" t="s">
        <v>10355</v>
      </c>
      <c r="B5153" s="4" t="s">
        <v>10356</v>
      </c>
      <c r="C5153" s="4" t="s">
        <v>51</v>
      </c>
      <c r="D5153" s="2">
        <f>27133506/(10^6)</f>
        <v>27.133506</v>
      </c>
      <c r="E5153" s="5" t="s">
        <v>86</v>
      </c>
      <c r="F5153" s="5">
        <v>0.59006404876709</v>
      </c>
      <c r="G5153" s="5">
        <v>0.910838425159454</v>
      </c>
      <c r="H5153" s="5" t="s">
        <v>86</v>
      </c>
      <c r="I5153" t="s">
        <v>57</v>
      </c>
    </row>
    <row r="5154" spans="1:9">
      <c r="A5154" s="4" t="s">
        <v>10357</v>
      </c>
      <c r="B5154" s="4" t="s">
        <v>10358</v>
      </c>
      <c r="C5154" s="4" t="s">
        <v>41</v>
      </c>
      <c r="D5154" s="2">
        <f>27119424/(10^6)</f>
        <v>27.119424</v>
      </c>
      <c r="E5154" s="5" t="s">
        <v>86</v>
      </c>
      <c r="F5154" s="5">
        <v>6.19087982177734</v>
      </c>
      <c r="G5154" s="5" t="s">
        <v>86</v>
      </c>
      <c r="H5154" s="5" t="s">
        <v>86</v>
      </c>
      <c r="I5154" t="s">
        <v>57</v>
      </c>
    </row>
    <row r="5155" spans="1:9">
      <c r="A5155" s="4" t="s">
        <v>10359</v>
      </c>
      <c r="B5155" s="4" t="s">
        <v>10360</v>
      </c>
      <c r="C5155" s="4" t="s">
        <v>43</v>
      </c>
      <c r="D5155" s="2">
        <f>27114698/(10^6)</f>
        <v>27.114698</v>
      </c>
      <c r="E5155" s="5">
        <v>0.135117784142494</v>
      </c>
      <c r="F5155" s="5">
        <v>0.044120453298092</v>
      </c>
      <c r="G5155" s="5">
        <v>1.041454911232</v>
      </c>
      <c r="H5155" s="5" t="s">
        <v>86</v>
      </c>
      <c r="I5155" t="s">
        <v>57</v>
      </c>
    </row>
    <row r="5156" spans="1:9">
      <c r="A5156" s="4" t="s">
        <v>10361</v>
      </c>
      <c r="B5156" s="4" t="s">
        <v>10362</v>
      </c>
      <c r="C5156" s="4" t="s">
        <v>27</v>
      </c>
      <c r="D5156" s="2">
        <f>27106180/(10^6)</f>
        <v>27.10618</v>
      </c>
      <c r="E5156" s="5">
        <v>13.5614805221558</v>
      </c>
      <c r="F5156" s="5">
        <v>0.508848428726196</v>
      </c>
      <c r="G5156" s="5">
        <v>0.26737055182457</v>
      </c>
      <c r="H5156" s="5">
        <v>4.78478908538818</v>
      </c>
      <c r="I5156" t="s">
        <v>57</v>
      </c>
    </row>
    <row r="5157" spans="1:9">
      <c r="A5157" s="4" t="s">
        <v>10363</v>
      </c>
      <c r="B5157" s="4" t="s">
        <v>10364</v>
      </c>
      <c r="C5157" s="4" t="s">
        <v>27</v>
      </c>
      <c r="D5157" s="2">
        <f>27038222/(10^6)</f>
        <v>27.038222</v>
      </c>
      <c r="E5157" s="5">
        <v>0.21411569416523</v>
      </c>
      <c r="F5157" s="5">
        <v>0.06832654774189</v>
      </c>
      <c r="G5157" s="5">
        <v>0.093242660164833</v>
      </c>
      <c r="H5157" s="5">
        <v>2.4876754283905</v>
      </c>
      <c r="I5157" t="s">
        <v>57</v>
      </c>
    </row>
    <row r="5158" spans="1:9">
      <c r="A5158" s="4" t="s">
        <v>10365</v>
      </c>
      <c r="B5158" s="4" t="s">
        <v>10366</v>
      </c>
      <c r="C5158" s="4" t="s">
        <v>41</v>
      </c>
      <c r="D5158" s="2">
        <f>27036582/(10^6)</f>
        <v>27.036582</v>
      </c>
      <c r="E5158" s="5" t="s">
        <v>86</v>
      </c>
      <c r="F5158" s="5" t="s">
        <v>86</v>
      </c>
      <c r="G5158" s="5" t="s">
        <v>86</v>
      </c>
      <c r="H5158" s="5" t="s">
        <v>86</v>
      </c>
      <c r="I5158" t="s">
        <v>57</v>
      </c>
    </row>
    <row r="5159" spans="1:9">
      <c r="A5159" s="4" t="s">
        <v>10367</v>
      </c>
      <c r="B5159" s="4" t="s">
        <v>10368</v>
      </c>
      <c r="C5159" s="4" t="s">
        <v>39</v>
      </c>
      <c r="D5159" s="2">
        <f>27030744/(10^6)</f>
        <v>27.030744</v>
      </c>
      <c r="E5159" s="5" t="s">
        <v>86</v>
      </c>
      <c r="F5159" s="5" t="s">
        <v>86</v>
      </c>
      <c r="G5159" s="5" t="s">
        <v>86</v>
      </c>
      <c r="H5159" s="5" t="s">
        <v>86</v>
      </c>
      <c r="I5159" t="s">
        <v>57</v>
      </c>
    </row>
    <row r="5160" spans="1:9">
      <c r="A5160" s="4" t="s">
        <v>10369</v>
      </c>
      <c r="B5160" s="4" t="s">
        <v>10370</v>
      </c>
      <c r="C5160" s="4" t="s">
        <v>41</v>
      </c>
      <c r="D5160" s="2">
        <f>26875200/(10^6)</f>
        <v>26.8752</v>
      </c>
      <c r="E5160" s="5" t="s">
        <v>86</v>
      </c>
      <c r="F5160" s="5">
        <v>0.559758841991425</v>
      </c>
      <c r="G5160" s="5">
        <v>0.877005934715271</v>
      </c>
      <c r="H5160" s="5" t="s">
        <v>86</v>
      </c>
      <c r="I5160" t="s">
        <v>57</v>
      </c>
    </row>
    <row r="5161" spans="1:9">
      <c r="A5161" s="4" t="s">
        <v>10371</v>
      </c>
      <c r="B5161" s="4" t="s">
        <v>10372</v>
      </c>
      <c r="C5161" s="4" t="s">
        <v>49</v>
      </c>
      <c r="D5161" s="2">
        <f>26838456/(10^6)</f>
        <v>26.838456</v>
      </c>
      <c r="E5161" s="5" t="s">
        <v>86</v>
      </c>
      <c r="F5161" s="5">
        <v>0.626240730285645</v>
      </c>
      <c r="G5161" s="5">
        <v>97.0402679443359</v>
      </c>
      <c r="H5161" s="5" t="s">
        <v>86</v>
      </c>
      <c r="I5161" t="s">
        <v>57</v>
      </c>
    </row>
    <row r="5162" spans="1:9">
      <c r="A5162" s="4" t="s">
        <v>10373</v>
      </c>
      <c r="B5162" s="4" t="s">
        <v>10374</v>
      </c>
      <c r="C5162" s="4" t="s">
        <v>43</v>
      </c>
      <c r="D5162" s="2">
        <f>26816488/(10^6)</f>
        <v>26.816488</v>
      </c>
      <c r="E5162" s="5">
        <v>11.3174276351929</v>
      </c>
      <c r="F5162" s="5">
        <v>0.79902720451355</v>
      </c>
      <c r="G5162" s="5">
        <v>1.1698032617569</v>
      </c>
      <c r="H5162" s="5" t="s">
        <v>86</v>
      </c>
      <c r="I5162" t="s">
        <v>57</v>
      </c>
    </row>
    <row r="5163" spans="1:9">
      <c r="A5163" s="4" t="s">
        <v>10375</v>
      </c>
      <c r="B5163" s="4" t="s">
        <v>10376</v>
      </c>
      <c r="C5163" s="4" t="s">
        <v>51</v>
      </c>
      <c r="D5163" s="2">
        <f>26804480/(10^6)</f>
        <v>26.80448</v>
      </c>
      <c r="E5163" s="5">
        <v>11.4840831756592</v>
      </c>
      <c r="F5163" s="5">
        <v>0.595060169696808</v>
      </c>
      <c r="G5163" s="5">
        <v>0.439561098814011</v>
      </c>
      <c r="H5163" s="5">
        <v>3.97390055656433</v>
      </c>
      <c r="I5163" t="s">
        <v>57</v>
      </c>
    </row>
    <row r="5164" spans="1:9">
      <c r="A5164" s="4" t="s">
        <v>10377</v>
      </c>
      <c r="B5164" s="4" t="s">
        <v>10378</v>
      </c>
      <c r="C5164" s="4" t="s">
        <v>43</v>
      </c>
      <c r="D5164" s="2">
        <f>26802574/(10^6)</f>
        <v>26.802574</v>
      </c>
      <c r="E5164" s="5">
        <v>1.42857456207275</v>
      </c>
      <c r="F5164" s="5">
        <v>0.347778797149658</v>
      </c>
      <c r="G5164" s="5">
        <v>0.069207094609737</v>
      </c>
      <c r="H5164" s="5" t="s">
        <v>86</v>
      </c>
      <c r="I5164" t="s">
        <v>57</v>
      </c>
    </row>
    <row r="5165" spans="1:9">
      <c r="A5165" s="4" t="s">
        <v>10379</v>
      </c>
      <c r="B5165" s="4" t="s">
        <v>10380</v>
      </c>
      <c r="C5165" s="4" t="s">
        <v>49</v>
      </c>
      <c r="D5165" s="2">
        <f>26758996/(10^6)</f>
        <v>26.758996</v>
      </c>
      <c r="E5165" s="5" t="s">
        <v>86</v>
      </c>
      <c r="F5165" s="5" t="s">
        <v>86</v>
      </c>
      <c r="G5165" s="5">
        <v>155.741638183594</v>
      </c>
      <c r="H5165" s="5" t="s">
        <v>86</v>
      </c>
      <c r="I5165" t="s">
        <v>57</v>
      </c>
    </row>
    <row r="5166" spans="1:9">
      <c r="A5166" s="4" t="s">
        <v>10381</v>
      </c>
      <c r="B5166" s="4" t="s">
        <v>10382</v>
      </c>
      <c r="C5166" s="4" t="s">
        <v>43</v>
      </c>
      <c r="D5166" s="2">
        <f>26724238/(10^6)</f>
        <v>26.724238</v>
      </c>
      <c r="E5166" s="5">
        <v>312.500091552734</v>
      </c>
      <c r="F5166" s="5">
        <v>4.640305519104</v>
      </c>
      <c r="G5166" s="5">
        <v>2.12970495223999</v>
      </c>
      <c r="H5166" s="5" t="s">
        <v>86</v>
      </c>
      <c r="I5166" t="s">
        <v>57</v>
      </c>
    </row>
    <row r="5167" spans="1:9">
      <c r="A5167" s="4" t="s">
        <v>10383</v>
      </c>
      <c r="B5167" s="4" t="s">
        <v>10384</v>
      </c>
      <c r="C5167" s="4" t="s">
        <v>49</v>
      </c>
      <c r="D5167" s="2">
        <f>26708732/(10^6)</f>
        <v>26.708732</v>
      </c>
      <c r="E5167" s="5" t="s">
        <v>86</v>
      </c>
      <c r="F5167" s="5" t="s">
        <v>86</v>
      </c>
      <c r="G5167" s="5">
        <v>5.11948871612549</v>
      </c>
      <c r="H5167" s="5" t="s">
        <v>86</v>
      </c>
      <c r="I5167" t="s">
        <v>57</v>
      </c>
    </row>
    <row r="5168" spans="1:9">
      <c r="A5168" s="4" t="s">
        <v>10385</v>
      </c>
      <c r="B5168" s="4" t="s">
        <v>10386</v>
      </c>
      <c r="C5168" s="4" t="s">
        <v>41</v>
      </c>
      <c r="D5168" s="2">
        <f>26668722/(10^6)</f>
        <v>26.668722</v>
      </c>
      <c r="E5168" s="5" t="s">
        <v>86</v>
      </c>
      <c r="F5168" s="5">
        <v>7.64951324462891</v>
      </c>
      <c r="G5168" s="5">
        <v>21.5222072601318</v>
      </c>
      <c r="H5168" s="5" t="s">
        <v>86</v>
      </c>
      <c r="I5168" t="s">
        <v>57</v>
      </c>
    </row>
    <row r="5169" spans="1:9">
      <c r="A5169" s="4" t="s">
        <v>10387</v>
      </c>
      <c r="B5169" s="4" t="s">
        <v>10388</v>
      </c>
      <c r="C5169" s="4" t="s">
        <v>43</v>
      </c>
      <c r="D5169" s="2">
        <f>26613200/(10^6)</f>
        <v>26.6132</v>
      </c>
      <c r="E5169" s="5" t="s">
        <v>86</v>
      </c>
      <c r="F5169" s="5">
        <v>0.48316478729248</v>
      </c>
      <c r="G5169" s="5">
        <v>0.84829318523407</v>
      </c>
      <c r="H5169" s="5" t="s">
        <v>86</v>
      </c>
      <c r="I5169" t="s">
        <v>57</v>
      </c>
    </row>
    <row r="5170" spans="1:9">
      <c r="A5170" s="4" t="s">
        <v>10389</v>
      </c>
      <c r="B5170" s="4" t="s">
        <v>10390</v>
      </c>
      <c r="C5170" s="4" t="s">
        <v>43</v>
      </c>
      <c r="D5170" s="2">
        <f>26546104/(10^6)</f>
        <v>26.546104</v>
      </c>
      <c r="E5170" s="5">
        <v>32.9772720336914</v>
      </c>
      <c r="F5170" s="5">
        <v>1.46067297458649</v>
      </c>
      <c r="G5170" s="5">
        <v>1.7151654958725</v>
      </c>
      <c r="H5170" s="5" t="s">
        <v>86</v>
      </c>
      <c r="I5170" t="s">
        <v>57</v>
      </c>
    </row>
    <row r="5171" spans="1:9">
      <c r="A5171" s="4" t="s">
        <v>10391</v>
      </c>
      <c r="B5171" s="4" t="s">
        <v>10392</v>
      </c>
      <c r="C5171" s="4" t="s">
        <v>43</v>
      </c>
      <c r="D5171" s="2">
        <f>26506934/(10^6)</f>
        <v>26.506934</v>
      </c>
      <c r="E5171" s="5" t="s">
        <v>86</v>
      </c>
      <c r="F5171" s="5">
        <v>0.77174299955368</v>
      </c>
      <c r="G5171" s="5">
        <v>9.8774299621582</v>
      </c>
      <c r="H5171" s="5" t="s">
        <v>86</v>
      </c>
      <c r="I5171" t="s">
        <v>57</v>
      </c>
    </row>
    <row r="5172" spans="1:9">
      <c r="A5172" s="4" t="s">
        <v>10393</v>
      </c>
      <c r="B5172" s="4" t="s">
        <v>10394</v>
      </c>
      <c r="C5172" s="4" t="s">
        <v>27</v>
      </c>
      <c r="D5172" s="2">
        <f>26489722/(10^6)</f>
        <v>26.489722</v>
      </c>
      <c r="E5172" s="5" t="s">
        <v>86</v>
      </c>
      <c r="F5172" s="5" t="s">
        <v>86</v>
      </c>
      <c r="G5172" s="5">
        <v>8.71364688873291</v>
      </c>
      <c r="H5172" s="5" t="s">
        <v>86</v>
      </c>
      <c r="I5172" t="s">
        <v>57</v>
      </c>
    </row>
    <row r="5173" spans="1:9">
      <c r="A5173" s="4" t="s">
        <v>10395</v>
      </c>
      <c r="B5173" s="4" t="s">
        <v>10396</v>
      </c>
      <c r="C5173" s="4" t="s">
        <v>31</v>
      </c>
      <c r="D5173" s="2">
        <f>26442754/(10^6)</f>
        <v>26.442754</v>
      </c>
      <c r="E5173" s="5">
        <v>6.13167953491211</v>
      </c>
      <c r="F5173" s="5">
        <v>0.26357489824295</v>
      </c>
      <c r="G5173" s="5">
        <v>0.258168488740921</v>
      </c>
      <c r="H5173" s="5">
        <v>5.25439786911011</v>
      </c>
      <c r="I5173" t="s">
        <v>57</v>
      </c>
    </row>
    <row r="5174" spans="1:9">
      <c r="A5174" s="4" t="s">
        <v>10397</v>
      </c>
      <c r="B5174" s="4" t="s">
        <v>10398</v>
      </c>
      <c r="C5174" s="4" t="s">
        <v>43</v>
      </c>
      <c r="D5174" s="2">
        <f>26438500/(10^6)</f>
        <v>26.4385</v>
      </c>
      <c r="E5174" s="5">
        <v>21.6981143951416</v>
      </c>
      <c r="F5174" s="5">
        <v>1.27001202106476</v>
      </c>
      <c r="G5174" s="5">
        <v>3.03438639640808</v>
      </c>
      <c r="H5174" s="5" t="s">
        <v>86</v>
      </c>
      <c r="I5174" t="s">
        <v>57</v>
      </c>
    </row>
    <row r="5175" spans="1:9">
      <c r="A5175" s="4" t="s">
        <v>10399</v>
      </c>
      <c r="B5175" s="4" t="s">
        <v>10400</v>
      </c>
      <c r="C5175" s="4" t="s">
        <v>43</v>
      </c>
      <c r="D5175" s="2">
        <f>26419740/(10^6)</f>
        <v>26.41974</v>
      </c>
      <c r="E5175" s="5" t="s">
        <v>86</v>
      </c>
      <c r="F5175" s="5" t="s">
        <v>86</v>
      </c>
      <c r="G5175" s="5" t="s">
        <v>86</v>
      </c>
      <c r="H5175" s="5" t="s">
        <v>86</v>
      </c>
      <c r="I5175" t="s">
        <v>57</v>
      </c>
    </row>
    <row r="5176" spans="1:9">
      <c r="A5176" s="4" t="s">
        <v>10401</v>
      </c>
      <c r="B5176" s="4" t="s">
        <v>10402</v>
      </c>
      <c r="C5176" s="4" t="s">
        <v>41</v>
      </c>
      <c r="D5176" s="2">
        <f>26373852/(10^6)</f>
        <v>26.373852</v>
      </c>
      <c r="E5176" s="5" t="s">
        <v>86</v>
      </c>
      <c r="F5176" s="5">
        <v>1.01912128925324</v>
      </c>
      <c r="G5176" s="5">
        <v>3.49119830131531</v>
      </c>
      <c r="H5176" s="5" t="s">
        <v>86</v>
      </c>
      <c r="I5176" t="s">
        <v>57</v>
      </c>
    </row>
    <row r="5177" spans="1:9">
      <c r="A5177" s="4" t="s">
        <v>10403</v>
      </c>
      <c r="B5177" s="4" t="s">
        <v>10404</v>
      </c>
      <c r="C5177" s="4" t="s">
        <v>51</v>
      </c>
      <c r="D5177" s="2">
        <f>26355560/(10^6)</f>
        <v>26.35556</v>
      </c>
      <c r="E5177" s="5" t="s">
        <v>86</v>
      </c>
      <c r="F5177" s="5" t="s">
        <v>86</v>
      </c>
      <c r="G5177" s="5">
        <v>0.016882134601474</v>
      </c>
      <c r="H5177" s="5">
        <v>28.0727825164795</v>
      </c>
      <c r="I5177" t="s">
        <v>57</v>
      </c>
    </row>
    <row r="5178" spans="1:9">
      <c r="A5178" s="4" t="s">
        <v>10405</v>
      </c>
      <c r="B5178" s="4" t="s">
        <v>10406</v>
      </c>
      <c r="C5178" s="4" t="s">
        <v>33</v>
      </c>
      <c r="D5178" s="2">
        <f>26285000/(10^6)</f>
        <v>26.285</v>
      </c>
      <c r="E5178" s="5" t="s">
        <v>86</v>
      </c>
      <c r="F5178" s="5">
        <v>313.901336669922</v>
      </c>
      <c r="G5178" s="5" t="s">
        <v>86</v>
      </c>
      <c r="H5178" s="5" t="s">
        <v>86</v>
      </c>
      <c r="I5178" t="s">
        <v>57</v>
      </c>
    </row>
    <row r="5179" spans="1:9">
      <c r="A5179" s="4" t="s">
        <v>10407</v>
      </c>
      <c r="B5179" s="4" t="s">
        <v>10408</v>
      </c>
      <c r="C5179" s="4" t="s">
        <v>47</v>
      </c>
      <c r="D5179" s="2">
        <f>26213532/(10^6)</f>
        <v>26.213532</v>
      </c>
      <c r="E5179" s="5">
        <v>2.19821357727051</v>
      </c>
      <c r="F5179" s="5">
        <v>0.145330384373665</v>
      </c>
      <c r="G5179" s="5">
        <v>0.025624657049775</v>
      </c>
      <c r="H5179" s="5">
        <v>4.94667530059815</v>
      </c>
      <c r="I5179" t="s">
        <v>57</v>
      </c>
    </row>
    <row r="5180" spans="1:9">
      <c r="A5180" s="4" t="s">
        <v>10409</v>
      </c>
      <c r="B5180" s="4" t="s">
        <v>10410</v>
      </c>
      <c r="C5180" s="4" t="s">
        <v>49</v>
      </c>
      <c r="D5180" s="2">
        <f>26195400/(10^6)</f>
        <v>26.1954</v>
      </c>
      <c r="E5180" s="5" t="s">
        <v>86</v>
      </c>
      <c r="F5180" s="5">
        <v>0.190593108534813</v>
      </c>
      <c r="G5180" s="5">
        <v>13.3101739883423</v>
      </c>
      <c r="H5180" s="5" t="s">
        <v>86</v>
      </c>
      <c r="I5180" t="s">
        <v>57</v>
      </c>
    </row>
    <row r="5181" spans="1:9">
      <c r="A5181" s="4" t="s">
        <v>10411</v>
      </c>
      <c r="B5181" s="4" t="s">
        <v>10412</v>
      </c>
      <c r="C5181" s="4" t="s">
        <v>43</v>
      </c>
      <c r="D5181" s="2">
        <f>26170784/(10^6)</f>
        <v>26.170784</v>
      </c>
      <c r="E5181" s="5" t="s">
        <v>86</v>
      </c>
      <c r="F5181" s="5">
        <v>0.829659700393677</v>
      </c>
      <c r="G5181" s="5">
        <v>1.67355787754059</v>
      </c>
      <c r="H5181" s="5" t="s">
        <v>86</v>
      </c>
      <c r="I5181" t="s">
        <v>57</v>
      </c>
    </row>
    <row r="5182" spans="1:9">
      <c r="A5182" s="4" t="s">
        <v>10413</v>
      </c>
      <c r="B5182" s="4" t="s">
        <v>10414</v>
      </c>
      <c r="C5182" s="4" t="s">
        <v>35</v>
      </c>
      <c r="D5182" s="2">
        <f>26155214/(10^6)</f>
        <v>26.155214</v>
      </c>
      <c r="E5182" s="5" t="s">
        <v>86</v>
      </c>
      <c r="F5182" s="5">
        <v>0.305991262197495</v>
      </c>
      <c r="G5182" s="5">
        <v>0.016093518584967</v>
      </c>
      <c r="H5182" s="5">
        <v>15.852991104126</v>
      </c>
      <c r="I5182" t="s">
        <v>57</v>
      </c>
    </row>
    <row r="5183" spans="1:9">
      <c r="A5183" s="4" t="s">
        <v>10415</v>
      </c>
      <c r="B5183" s="4" t="s">
        <v>10416</v>
      </c>
      <c r="C5183" s="4" t="s">
        <v>51</v>
      </c>
      <c r="D5183" s="2">
        <f>26114830/(10^6)</f>
        <v>26.11483</v>
      </c>
      <c r="E5183" s="5" t="s">
        <v>86</v>
      </c>
      <c r="F5183" s="5">
        <v>1.47664058208466</v>
      </c>
      <c r="G5183" s="5">
        <v>3.72544288635254</v>
      </c>
      <c r="H5183" s="5" t="s">
        <v>86</v>
      </c>
      <c r="I5183" t="s">
        <v>57</v>
      </c>
    </row>
    <row r="5184" spans="1:9">
      <c r="A5184" s="4" t="s">
        <v>10417</v>
      </c>
      <c r="B5184" s="4" t="s">
        <v>10418</v>
      </c>
      <c r="C5184" s="4" t="s">
        <v>49</v>
      </c>
      <c r="D5184" s="2">
        <f>26034192/(10^6)</f>
        <v>26.034192</v>
      </c>
      <c r="E5184" s="5" t="s">
        <v>86</v>
      </c>
      <c r="F5184" s="5" t="s">
        <v>86</v>
      </c>
      <c r="G5184" s="5" t="s">
        <v>86</v>
      </c>
      <c r="H5184" s="5" t="s">
        <v>86</v>
      </c>
      <c r="I5184" t="s">
        <v>57</v>
      </c>
    </row>
    <row r="5185" spans="1:9">
      <c r="A5185" s="4" t="s">
        <v>10419</v>
      </c>
      <c r="B5185" s="4" t="s">
        <v>10420</v>
      </c>
      <c r="C5185" s="4" t="s">
        <v>43</v>
      </c>
      <c r="D5185" s="2">
        <f>26007400/(10^6)</f>
        <v>26.0074</v>
      </c>
      <c r="E5185" s="5">
        <v>13.5245895385742</v>
      </c>
      <c r="F5185" s="5">
        <v>1.62766110897064</v>
      </c>
      <c r="G5185" s="5">
        <v>1.21046984195709</v>
      </c>
      <c r="H5185" s="5" t="s">
        <v>86</v>
      </c>
      <c r="I5185" t="s">
        <v>57</v>
      </c>
    </row>
    <row r="5186" spans="1:9">
      <c r="A5186" s="4" t="s">
        <v>10421</v>
      </c>
      <c r="B5186" s="4" t="s">
        <v>10422</v>
      </c>
      <c r="C5186" s="4" t="s">
        <v>41</v>
      </c>
      <c r="D5186" s="2">
        <f>25997564/(10^6)</f>
        <v>25.997564</v>
      </c>
      <c r="E5186" s="5" t="s">
        <v>86</v>
      </c>
      <c r="F5186" s="5" t="s">
        <v>86</v>
      </c>
      <c r="G5186" s="5" t="s">
        <v>86</v>
      </c>
      <c r="H5186" s="5" t="s">
        <v>86</v>
      </c>
      <c r="I5186" t="s">
        <v>57</v>
      </c>
    </row>
    <row r="5187" spans="1:9">
      <c r="A5187" s="4" t="s">
        <v>10423</v>
      </c>
      <c r="B5187" s="4" t="s">
        <v>10424</v>
      </c>
      <c r="C5187" s="4" t="s">
        <v>51</v>
      </c>
      <c r="D5187" s="2">
        <f>25989402/(10^6)</f>
        <v>25.989402</v>
      </c>
      <c r="E5187" s="5" t="s">
        <v>86</v>
      </c>
      <c r="F5187" s="5">
        <v>0.780976831912994</v>
      </c>
      <c r="G5187" s="5">
        <v>0.767823934555054</v>
      </c>
      <c r="H5187" s="5">
        <v>9.14203262329102</v>
      </c>
      <c r="I5187" t="s">
        <v>57</v>
      </c>
    </row>
    <row r="5188" spans="1:9">
      <c r="A5188" s="4" t="s">
        <v>10425</v>
      </c>
      <c r="B5188" s="4" t="s">
        <v>10426</v>
      </c>
      <c r="C5188" s="4" t="s">
        <v>45</v>
      </c>
      <c r="D5188" s="2">
        <f>25983142/(10^6)</f>
        <v>25.983142</v>
      </c>
      <c r="E5188" s="5" t="s">
        <v>86</v>
      </c>
      <c r="F5188" s="5">
        <v>1.14609253406525</v>
      </c>
      <c r="G5188" s="5">
        <v>4.58829593658447</v>
      </c>
      <c r="H5188" s="5" t="s">
        <v>86</v>
      </c>
      <c r="I5188" t="s">
        <v>57</v>
      </c>
    </row>
    <row r="5189" spans="1:9">
      <c r="A5189" s="4" t="s">
        <v>10427</v>
      </c>
      <c r="B5189" s="4" t="s">
        <v>10428</v>
      </c>
      <c r="C5189" s="4" t="s">
        <v>43</v>
      </c>
      <c r="D5189" s="2">
        <f>25938574/(10^6)</f>
        <v>25.938574</v>
      </c>
      <c r="E5189" s="5" t="s">
        <v>86</v>
      </c>
      <c r="F5189" s="5" t="s">
        <v>86</v>
      </c>
      <c r="G5189" s="5">
        <v>0.106327146291733</v>
      </c>
      <c r="H5189" s="5">
        <v>5.82318449020386</v>
      </c>
      <c r="I5189" t="s">
        <v>57</v>
      </c>
    </row>
    <row r="5190" spans="1:9">
      <c r="A5190" s="4" t="s">
        <v>10429</v>
      </c>
      <c r="B5190" s="4" t="s">
        <v>10430</v>
      </c>
      <c r="C5190" s="4" t="s">
        <v>51</v>
      </c>
      <c r="D5190" s="2">
        <f>25898538/(10^6)</f>
        <v>25.898538</v>
      </c>
      <c r="E5190" s="5" t="s">
        <v>86</v>
      </c>
      <c r="F5190" s="5">
        <v>0.926222622394562</v>
      </c>
      <c r="G5190" s="5">
        <v>0.385516166687012</v>
      </c>
      <c r="H5190" s="5" t="s">
        <v>86</v>
      </c>
      <c r="I5190" t="s">
        <v>57</v>
      </c>
    </row>
    <row r="5191" spans="1:9">
      <c r="A5191" s="4" t="s">
        <v>10431</v>
      </c>
      <c r="B5191" s="4" t="s">
        <v>10432</v>
      </c>
      <c r="C5191" s="4" t="s">
        <v>41</v>
      </c>
      <c r="D5191" s="2">
        <f>25880626/(10^6)</f>
        <v>25.880626</v>
      </c>
      <c r="E5191" s="5" t="s">
        <v>86</v>
      </c>
      <c r="F5191" s="5">
        <v>2.41463160514831</v>
      </c>
      <c r="G5191" s="5" t="s">
        <v>86</v>
      </c>
      <c r="H5191" s="5" t="s">
        <v>86</v>
      </c>
      <c r="I5191" t="s">
        <v>57</v>
      </c>
    </row>
    <row r="5192" spans="1:9">
      <c r="A5192" s="4" t="s">
        <v>10433</v>
      </c>
      <c r="B5192" s="4" t="s">
        <v>10434</v>
      </c>
      <c r="C5192" s="4" t="s">
        <v>41</v>
      </c>
      <c r="D5192" s="2">
        <f>25863694/(10^6)</f>
        <v>25.863694</v>
      </c>
      <c r="E5192" s="5" t="s">
        <v>86</v>
      </c>
      <c r="F5192" s="5" t="s">
        <v>86</v>
      </c>
      <c r="G5192" s="5">
        <v>2.34527659416199</v>
      </c>
      <c r="H5192" s="5" t="s">
        <v>86</v>
      </c>
      <c r="I5192" t="s">
        <v>57</v>
      </c>
    </row>
    <row r="5193" spans="1:9">
      <c r="A5193" s="4" t="s">
        <v>10435</v>
      </c>
      <c r="B5193" s="4" t="s">
        <v>10436</v>
      </c>
      <c r="C5193" s="4" t="s">
        <v>35</v>
      </c>
      <c r="D5193" s="2">
        <f>25767586/(10^6)</f>
        <v>25.767586</v>
      </c>
      <c r="E5193" s="5">
        <v>6.29649019241333</v>
      </c>
      <c r="F5193" s="5">
        <v>0.941539704799652</v>
      </c>
      <c r="G5193" s="5">
        <v>0.163522213697433</v>
      </c>
      <c r="H5193" s="5">
        <v>0.856157779693604</v>
      </c>
      <c r="I5193" t="s">
        <v>57</v>
      </c>
    </row>
    <row r="5194" spans="1:9">
      <c r="A5194" s="4" t="s">
        <v>10437</v>
      </c>
      <c r="B5194" s="4" t="s">
        <v>10438</v>
      </c>
      <c r="C5194" s="4" t="s">
        <v>31</v>
      </c>
      <c r="D5194" s="2">
        <f>25700120/(10^6)</f>
        <v>25.70012</v>
      </c>
      <c r="E5194" s="5" t="s">
        <v>86</v>
      </c>
      <c r="F5194" s="5">
        <v>0.502915143966675</v>
      </c>
      <c r="G5194" s="5">
        <v>4.72782039642334</v>
      </c>
      <c r="H5194" s="5" t="s">
        <v>86</v>
      </c>
      <c r="I5194" t="s">
        <v>57</v>
      </c>
    </row>
    <row r="5195" spans="1:9">
      <c r="A5195" s="4" t="s">
        <v>10439</v>
      </c>
      <c r="B5195" s="4" t="s">
        <v>10440</v>
      </c>
      <c r="C5195" s="4" t="s">
        <v>37</v>
      </c>
      <c r="D5195" s="2">
        <f>25668484/(10^6)</f>
        <v>25.668484</v>
      </c>
      <c r="E5195" s="5">
        <v>13.9168119430542</v>
      </c>
      <c r="F5195" s="5">
        <v>1.23273086547852</v>
      </c>
      <c r="G5195" s="5">
        <v>0.547361433506012</v>
      </c>
      <c r="H5195" s="5">
        <v>6.57213258743286</v>
      </c>
      <c r="I5195" t="s">
        <v>57</v>
      </c>
    </row>
    <row r="5196" spans="1:9">
      <c r="A5196" s="4" t="s">
        <v>10441</v>
      </c>
      <c r="B5196" s="4" t="s">
        <v>10442</v>
      </c>
      <c r="C5196" s="4" t="s">
        <v>47</v>
      </c>
      <c r="D5196" s="2">
        <f>25655312/(10^6)</f>
        <v>25.655312</v>
      </c>
      <c r="E5196" s="5" t="s">
        <v>86</v>
      </c>
      <c r="F5196" s="5" t="s">
        <v>86</v>
      </c>
      <c r="G5196" s="5" t="s">
        <v>86</v>
      </c>
      <c r="H5196" s="5" t="s">
        <v>86</v>
      </c>
      <c r="I5196" t="s">
        <v>57</v>
      </c>
    </row>
    <row r="5197" spans="1:9">
      <c r="A5197" s="4" t="s">
        <v>10443</v>
      </c>
      <c r="B5197" s="4" t="s">
        <v>10444</v>
      </c>
      <c r="C5197" s="4" t="s">
        <v>49</v>
      </c>
      <c r="D5197" s="2">
        <f>25606664/(10^6)</f>
        <v>25.606664</v>
      </c>
      <c r="E5197" s="5" t="s">
        <v>86</v>
      </c>
      <c r="F5197" s="5" t="s">
        <v>86</v>
      </c>
      <c r="G5197" s="5" t="s">
        <v>86</v>
      </c>
      <c r="H5197" s="5" t="s">
        <v>86</v>
      </c>
      <c r="I5197" t="s">
        <v>57</v>
      </c>
    </row>
    <row r="5198" spans="1:9">
      <c r="A5198" s="4" t="s">
        <v>10445</v>
      </c>
      <c r="B5198" s="4" t="s">
        <v>10446</v>
      </c>
      <c r="C5198" s="4" t="s">
        <v>33</v>
      </c>
      <c r="D5198" s="2">
        <f>25601910/(10^6)</f>
        <v>25.60191</v>
      </c>
      <c r="E5198" s="5" t="s">
        <v>86</v>
      </c>
      <c r="F5198" s="5" t="s">
        <v>86</v>
      </c>
      <c r="G5198" s="5" t="s">
        <v>86</v>
      </c>
      <c r="H5198" s="5" t="s">
        <v>86</v>
      </c>
      <c r="I5198" t="s">
        <v>57</v>
      </c>
    </row>
    <row r="5199" spans="1:9">
      <c r="A5199" s="4" t="s">
        <v>10447</v>
      </c>
      <c r="B5199" s="4" t="s">
        <v>10448</v>
      </c>
      <c r="C5199" s="4" t="s">
        <v>41</v>
      </c>
      <c r="D5199" s="2">
        <f>25520582/(10^6)</f>
        <v>25.520582</v>
      </c>
      <c r="E5199" s="5" t="s">
        <v>86</v>
      </c>
      <c r="F5199" s="5" t="s">
        <v>86</v>
      </c>
      <c r="G5199" s="5">
        <v>0.73100072145462</v>
      </c>
      <c r="H5199" s="5" t="s">
        <v>86</v>
      </c>
      <c r="I5199" t="s">
        <v>57</v>
      </c>
    </row>
    <row r="5200" spans="1:9">
      <c r="A5200" s="4" t="s">
        <v>10449</v>
      </c>
      <c r="B5200" s="4" t="s">
        <v>10450</v>
      </c>
      <c r="C5200" s="4" t="s">
        <v>51</v>
      </c>
      <c r="D5200" s="2">
        <f>25472276/(10^6)</f>
        <v>25.472276</v>
      </c>
      <c r="E5200" s="5" t="s">
        <v>86</v>
      </c>
      <c r="F5200" s="5">
        <v>1.83218061923981</v>
      </c>
      <c r="G5200" s="5">
        <v>2.23427057266235</v>
      </c>
      <c r="H5200" s="5" t="s">
        <v>86</v>
      </c>
      <c r="I5200" t="s">
        <v>57</v>
      </c>
    </row>
    <row r="5201" spans="1:9">
      <c r="A5201" s="4" t="s">
        <v>10451</v>
      </c>
      <c r="B5201" s="4" t="s">
        <v>10452</v>
      </c>
      <c r="C5201" s="4" t="s">
        <v>43</v>
      </c>
      <c r="D5201" s="2">
        <f>25427788/(10^6)</f>
        <v>25.427788</v>
      </c>
      <c r="E5201" s="5">
        <v>7.90491390228271</v>
      </c>
      <c r="F5201" s="5">
        <v>1.18232977390289</v>
      </c>
      <c r="G5201" s="5">
        <v>2.73809313774109</v>
      </c>
      <c r="H5201" s="5" t="s">
        <v>86</v>
      </c>
      <c r="I5201" t="s">
        <v>57</v>
      </c>
    </row>
    <row r="5202" spans="1:9">
      <c r="A5202" s="4" t="s">
        <v>10453</v>
      </c>
      <c r="B5202" s="4" t="s">
        <v>10454</v>
      </c>
      <c r="C5202" s="4" t="s">
        <v>33</v>
      </c>
      <c r="D5202" s="2">
        <f>25402890/(10^6)</f>
        <v>25.40289</v>
      </c>
      <c r="E5202" s="5" t="s">
        <v>86</v>
      </c>
      <c r="F5202" s="5">
        <v>23.4528923034668</v>
      </c>
      <c r="G5202" s="5">
        <v>6.68669700622559</v>
      </c>
      <c r="H5202" s="5" t="s">
        <v>86</v>
      </c>
      <c r="I5202" t="s">
        <v>57</v>
      </c>
    </row>
    <row r="5203" spans="1:9">
      <c r="A5203" s="4" t="s">
        <v>10455</v>
      </c>
      <c r="B5203" s="4" t="s">
        <v>10456</v>
      </c>
      <c r="C5203" s="4" t="s">
        <v>43</v>
      </c>
      <c r="D5203" s="2">
        <f>25391268/(10^6)</f>
        <v>25.391268</v>
      </c>
      <c r="E5203" s="5">
        <v>13.251669883728</v>
      </c>
      <c r="F5203" s="5">
        <v>1.81068730354309</v>
      </c>
      <c r="G5203" s="5">
        <v>2.20531558990479</v>
      </c>
      <c r="H5203" s="5" t="s">
        <v>86</v>
      </c>
      <c r="I5203" t="s">
        <v>57</v>
      </c>
    </row>
    <row r="5204" spans="1:9">
      <c r="A5204" s="4" t="s">
        <v>10457</v>
      </c>
      <c r="B5204" s="4" t="s">
        <v>10458</v>
      </c>
      <c r="C5204" s="4" t="s">
        <v>35</v>
      </c>
      <c r="D5204" s="2">
        <f>25352668/(10^6)</f>
        <v>25.352668</v>
      </c>
      <c r="E5204" s="5" t="s">
        <v>86</v>
      </c>
      <c r="F5204" s="5" t="s">
        <v>86</v>
      </c>
      <c r="G5204" s="5">
        <v>0.2390426248312</v>
      </c>
      <c r="H5204" s="5" t="s">
        <v>86</v>
      </c>
      <c r="I5204" t="s">
        <v>57</v>
      </c>
    </row>
    <row r="5205" spans="1:9">
      <c r="A5205" s="4" t="s">
        <v>10459</v>
      </c>
      <c r="B5205" s="4" t="s">
        <v>10460</v>
      </c>
      <c r="C5205" s="4" t="s">
        <v>37</v>
      </c>
      <c r="D5205" s="2">
        <f>25296336/(10^6)</f>
        <v>25.296336</v>
      </c>
      <c r="E5205" s="5" t="s">
        <v>86</v>
      </c>
      <c r="F5205" s="5">
        <v>4.45918130874634</v>
      </c>
      <c r="G5205" s="5">
        <v>3.12433218955994</v>
      </c>
      <c r="H5205" s="5" t="s">
        <v>86</v>
      </c>
      <c r="I5205" t="s">
        <v>57</v>
      </c>
    </row>
    <row r="5206" spans="1:9">
      <c r="A5206" s="4" t="s">
        <v>10461</v>
      </c>
      <c r="B5206" s="4" t="s">
        <v>10462</v>
      </c>
      <c r="C5206" s="4" t="s">
        <v>35</v>
      </c>
      <c r="D5206" s="2">
        <f>25269958/(10^6)</f>
        <v>25.269958</v>
      </c>
      <c r="E5206" s="5" t="s">
        <v>86</v>
      </c>
      <c r="F5206" s="5">
        <v>3.27667260169983</v>
      </c>
      <c r="G5206" s="5">
        <v>16.4381103515625</v>
      </c>
      <c r="H5206" s="5" t="s">
        <v>86</v>
      </c>
      <c r="I5206" t="s">
        <v>57</v>
      </c>
    </row>
    <row r="5207" spans="1:9">
      <c r="A5207" s="4" t="s">
        <v>10463</v>
      </c>
      <c r="B5207" s="4" t="s">
        <v>10464</v>
      </c>
      <c r="C5207" s="4" t="s">
        <v>43</v>
      </c>
      <c r="D5207" s="2">
        <f>25269794/(10^6)</f>
        <v>25.269794</v>
      </c>
      <c r="E5207" s="5">
        <v>8.02634334564209</v>
      </c>
      <c r="F5207" s="5">
        <v>0.67362767457962</v>
      </c>
      <c r="G5207" s="5">
        <v>1.85761916637421</v>
      </c>
      <c r="H5207" s="5" t="s">
        <v>86</v>
      </c>
      <c r="I5207" t="s">
        <v>57</v>
      </c>
    </row>
    <row r="5208" spans="1:9">
      <c r="A5208" s="4" t="s">
        <v>10465</v>
      </c>
      <c r="B5208" s="4" t="s">
        <v>10466</v>
      </c>
      <c r="C5208" s="4" t="s">
        <v>43</v>
      </c>
      <c r="D5208" s="2">
        <f>25144030/(10^6)</f>
        <v>25.14403</v>
      </c>
      <c r="E5208" s="5">
        <v>17.1397857666016</v>
      </c>
      <c r="F5208" s="5">
        <v>0.64792388677597</v>
      </c>
      <c r="G5208" s="5">
        <v>1.11875677108765</v>
      </c>
      <c r="H5208" s="5" t="s">
        <v>86</v>
      </c>
      <c r="I5208" t="s">
        <v>57</v>
      </c>
    </row>
    <row r="5209" spans="1:9">
      <c r="A5209" s="4" t="s">
        <v>10467</v>
      </c>
      <c r="B5209" s="4" t="s">
        <v>10468</v>
      </c>
      <c r="C5209" s="4" t="s">
        <v>31</v>
      </c>
      <c r="D5209" s="2">
        <f>25098764/(10^6)</f>
        <v>25.098764</v>
      </c>
      <c r="E5209" s="5" t="s">
        <v>86</v>
      </c>
      <c r="F5209" s="5">
        <v>1.07863688468933</v>
      </c>
      <c r="G5209" s="5">
        <v>0.750364243984222</v>
      </c>
      <c r="H5209" s="5" t="s">
        <v>86</v>
      </c>
      <c r="I5209" t="s">
        <v>57</v>
      </c>
    </row>
    <row r="5210" spans="1:9">
      <c r="A5210" s="4" t="s">
        <v>10469</v>
      </c>
      <c r="B5210" s="4" t="s">
        <v>10470</v>
      </c>
      <c r="C5210" s="4" t="s">
        <v>49</v>
      </c>
      <c r="D5210" s="2">
        <f>25004666/(10^6)</f>
        <v>25.004666</v>
      </c>
      <c r="E5210" s="5" t="s">
        <v>86</v>
      </c>
      <c r="F5210" s="5">
        <v>912.825256347656</v>
      </c>
      <c r="G5210" s="5">
        <v>510.464538574219</v>
      </c>
      <c r="H5210" s="5" t="s">
        <v>86</v>
      </c>
      <c r="I5210" t="s">
        <v>57</v>
      </c>
    </row>
    <row r="5211" spans="1:9">
      <c r="A5211" s="4" t="s">
        <v>10471</v>
      </c>
      <c r="B5211" s="4" t="s">
        <v>10472</v>
      </c>
      <c r="C5211" s="4" t="s">
        <v>35</v>
      </c>
      <c r="D5211" s="2">
        <f>24972078/(10^6)</f>
        <v>24.972078</v>
      </c>
      <c r="E5211" s="5">
        <v>17.1046447753906</v>
      </c>
      <c r="F5211" s="5">
        <v>0.840963006019592</v>
      </c>
      <c r="G5211" s="5">
        <v>1.00900304317474</v>
      </c>
      <c r="H5211" s="5">
        <v>8.23131465911865</v>
      </c>
      <c r="I5211" t="s">
        <v>57</v>
      </c>
    </row>
    <row r="5212" spans="1:9">
      <c r="A5212" s="4" t="s">
        <v>10473</v>
      </c>
      <c r="B5212" s="4" t="s">
        <v>8984</v>
      </c>
      <c r="C5212" s="4" t="s">
        <v>43</v>
      </c>
      <c r="D5212" s="2">
        <f>24956398/(10^6)</f>
        <v>24.956398</v>
      </c>
      <c r="E5212" s="5">
        <v>37.0757293701172</v>
      </c>
      <c r="F5212" s="5">
        <v>0.928106784820557</v>
      </c>
      <c r="G5212" s="5">
        <v>2.82168459892273</v>
      </c>
      <c r="H5212" s="5" t="s">
        <v>86</v>
      </c>
      <c r="I5212" t="s">
        <v>57</v>
      </c>
    </row>
    <row r="5213" spans="1:9">
      <c r="A5213" s="4" t="s">
        <v>10474</v>
      </c>
      <c r="B5213" s="4" t="s">
        <v>10475</v>
      </c>
      <c r="C5213" s="4" t="s">
        <v>43</v>
      </c>
      <c r="D5213" s="2">
        <f>24945218/(10^6)</f>
        <v>24.945218</v>
      </c>
      <c r="E5213" s="5" t="s">
        <v>86</v>
      </c>
      <c r="F5213" s="5" t="s">
        <v>86</v>
      </c>
      <c r="G5213" s="5" t="s">
        <v>86</v>
      </c>
      <c r="H5213" s="5" t="s">
        <v>86</v>
      </c>
      <c r="I5213" t="s">
        <v>57</v>
      </c>
    </row>
    <row r="5214" spans="1:9">
      <c r="A5214" s="4" t="s">
        <v>10476</v>
      </c>
      <c r="B5214" s="4" t="s">
        <v>10477</v>
      </c>
      <c r="C5214" s="4" t="s">
        <v>41</v>
      </c>
      <c r="D5214" s="2">
        <f>24868536/(10^6)</f>
        <v>24.868536</v>
      </c>
      <c r="E5214" s="5" t="s">
        <v>86</v>
      </c>
      <c r="F5214" s="5">
        <v>1.35774505138397</v>
      </c>
      <c r="G5214" s="5">
        <v>36.6474075317383</v>
      </c>
      <c r="H5214" s="5" t="s">
        <v>86</v>
      </c>
      <c r="I5214" t="s">
        <v>57</v>
      </c>
    </row>
    <row r="5215" spans="1:9">
      <c r="A5215" s="4" t="s">
        <v>10478</v>
      </c>
      <c r="B5215" s="4" t="s">
        <v>10479</v>
      </c>
      <c r="C5215" s="4" t="s">
        <v>51</v>
      </c>
      <c r="D5215" s="2">
        <f>24853780/(10^6)</f>
        <v>24.85378</v>
      </c>
      <c r="E5215" s="5">
        <v>37.8275489807129</v>
      </c>
      <c r="F5215" s="5">
        <v>0.846281170845032</v>
      </c>
      <c r="G5215" s="5">
        <v>0.394483387470245</v>
      </c>
      <c r="H5215" s="5">
        <v>24.417106628418</v>
      </c>
      <c r="I5215" t="s">
        <v>57</v>
      </c>
    </row>
    <row r="5216" spans="1:9">
      <c r="A5216" s="4" t="s">
        <v>10480</v>
      </c>
      <c r="B5216" s="4" t="s">
        <v>10481</v>
      </c>
      <c r="C5216" s="4" t="s">
        <v>41</v>
      </c>
      <c r="D5216" s="2">
        <f>24823174/(10^6)</f>
        <v>24.823174</v>
      </c>
      <c r="E5216" s="5" t="s">
        <v>86</v>
      </c>
      <c r="F5216" s="5">
        <v>0.870016753673553</v>
      </c>
      <c r="G5216" s="5" t="s">
        <v>86</v>
      </c>
      <c r="H5216" s="5" t="s">
        <v>86</v>
      </c>
      <c r="I5216" t="s">
        <v>57</v>
      </c>
    </row>
    <row r="5217" spans="1:9">
      <c r="A5217" s="4" t="s">
        <v>10482</v>
      </c>
      <c r="B5217" s="4" t="s">
        <v>10483</v>
      </c>
      <c r="C5217" s="4" t="s">
        <v>43</v>
      </c>
      <c r="D5217" s="2">
        <f>24812724/(10^6)</f>
        <v>24.812724</v>
      </c>
      <c r="E5217" s="5">
        <v>10.1626014709473</v>
      </c>
      <c r="F5217" s="5">
        <v>0.957683682441711</v>
      </c>
      <c r="G5217" s="5">
        <v>1.28321528434753</v>
      </c>
      <c r="H5217" s="5" t="s">
        <v>86</v>
      </c>
      <c r="I5217" t="s">
        <v>57</v>
      </c>
    </row>
    <row r="5218" spans="1:9">
      <c r="A5218" s="4" t="s">
        <v>10484</v>
      </c>
      <c r="B5218" s="4" t="s">
        <v>10485</v>
      </c>
      <c r="C5218" s="4" t="s">
        <v>43</v>
      </c>
      <c r="D5218" s="2">
        <f>24777546/(10^6)</f>
        <v>24.777546</v>
      </c>
      <c r="E5218" s="5" t="s">
        <v>86</v>
      </c>
      <c r="F5218" s="5" t="s">
        <v>86</v>
      </c>
      <c r="G5218" s="5" t="s">
        <v>86</v>
      </c>
      <c r="H5218" s="5" t="s">
        <v>86</v>
      </c>
      <c r="I5218" t="s">
        <v>57</v>
      </c>
    </row>
    <row r="5219" spans="1:9">
      <c r="A5219" s="4" t="s">
        <v>10486</v>
      </c>
      <c r="B5219" s="4" t="s">
        <v>10487</v>
      </c>
      <c r="C5219" s="4" t="s">
        <v>51</v>
      </c>
      <c r="D5219" s="2">
        <f>24716208/(10^6)</f>
        <v>24.716208</v>
      </c>
      <c r="E5219" s="5" t="s">
        <v>86</v>
      </c>
      <c r="F5219" s="5">
        <v>0.628753781318665</v>
      </c>
      <c r="G5219" s="5">
        <v>0.311926424503326</v>
      </c>
      <c r="H5219" s="5" t="s">
        <v>86</v>
      </c>
      <c r="I5219" t="s">
        <v>57</v>
      </c>
    </row>
    <row r="5220" spans="1:9">
      <c r="A5220" s="4" t="s">
        <v>10488</v>
      </c>
      <c r="B5220" s="4" t="s">
        <v>10489</v>
      </c>
      <c r="C5220" s="4" t="s">
        <v>43</v>
      </c>
      <c r="D5220" s="2">
        <f>24691958/(10^6)</f>
        <v>24.691958</v>
      </c>
      <c r="E5220" s="5">
        <v>10.4597702026367</v>
      </c>
      <c r="F5220" s="5">
        <v>0.609226763248444</v>
      </c>
      <c r="G5220" s="5">
        <v>3.24350166320801</v>
      </c>
      <c r="H5220" s="5" t="s">
        <v>86</v>
      </c>
      <c r="I5220" t="s">
        <v>57</v>
      </c>
    </row>
    <row r="5221" spans="1:9">
      <c r="A5221" s="4" t="s">
        <v>10490</v>
      </c>
      <c r="B5221" s="4" t="s">
        <v>10491</v>
      </c>
      <c r="C5221" s="4" t="s">
        <v>41</v>
      </c>
      <c r="D5221" s="2">
        <f>24606514/(10^6)</f>
        <v>24.606514</v>
      </c>
      <c r="E5221" s="5" t="s">
        <v>86</v>
      </c>
      <c r="F5221" s="5" t="s">
        <v>86</v>
      </c>
      <c r="G5221" s="5" t="s">
        <v>86</v>
      </c>
      <c r="H5221" s="5" t="s">
        <v>86</v>
      </c>
      <c r="I5221" t="s">
        <v>57</v>
      </c>
    </row>
    <row r="5222" spans="1:9">
      <c r="A5222" s="4" t="s">
        <v>10492</v>
      </c>
      <c r="B5222" s="4" t="s">
        <v>10493</v>
      </c>
      <c r="C5222" s="4" t="s">
        <v>51</v>
      </c>
      <c r="D5222" s="2">
        <f>24556116/(10^6)</f>
        <v>24.556116</v>
      </c>
      <c r="E5222" s="5" t="s">
        <v>86</v>
      </c>
      <c r="F5222" s="5">
        <v>1.14055359363556</v>
      </c>
      <c r="G5222" s="5">
        <v>1.1437703371048</v>
      </c>
      <c r="H5222" s="5">
        <v>80.2592926025391</v>
      </c>
      <c r="I5222" t="s">
        <v>57</v>
      </c>
    </row>
    <row r="5223" spans="1:9">
      <c r="A5223" s="4" t="s">
        <v>10494</v>
      </c>
      <c r="B5223" s="4" t="s">
        <v>10495</v>
      </c>
      <c r="C5223" s="4" t="s">
        <v>41</v>
      </c>
      <c r="D5223" s="2">
        <f>24540266/(10^6)</f>
        <v>24.540266</v>
      </c>
      <c r="E5223" s="5" t="s">
        <v>86</v>
      </c>
      <c r="F5223" s="5">
        <v>1.08071875572205</v>
      </c>
      <c r="G5223" s="5">
        <v>0.561661243438721</v>
      </c>
      <c r="H5223" s="5" t="s">
        <v>86</v>
      </c>
      <c r="I5223" t="s">
        <v>57</v>
      </c>
    </row>
    <row r="5224" spans="1:9">
      <c r="A5224" s="4" t="s">
        <v>10496</v>
      </c>
      <c r="B5224" s="4" t="s">
        <v>10497</v>
      </c>
      <c r="C5224" s="4" t="s">
        <v>41</v>
      </c>
      <c r="D5224" s="2">
        <f>24494724/(10^6)</f>
        <v>24.494724</v>
      </c>
      <c r="E5224" s="5" t="s">
        <v>86</v>
      </c>
      <c r="F5224" s="5">
        <v>1.19786858558655</v>
      </c>
      <c r="G5224" s="5" t="s">
        <v>86</v>
      </c>
      <c r="H5224" s="5" t="s">
        <v>86</v>
      </c>
      <c r="I5224" t="s">
        <v>57</v>
      </c>
    </row>
    <row r="5225" spans="1:9">
      <c r="A5225" s="4" t="s">
        <v>10498</v>
      </c>
      <c r="B5225" s="4" t="s">
        <v>10499</v>
      </c>
      <c r="C5225" s="4" t="s">
        <v>51</v>
      </c>
      <c r="D5225" s="2">
        <f>24476758/(10^6)</f>
        <v>24.476758</v>
      </c>
      <c r="E5225" s="5" t="s">
        <v>86</v>
      </c>
      <c r="F5225" s="5">
        <v>0.754494905471802</v>
      </c>
      <c r="G5225" s="5">
        <v>2.09490966796875</v>
      </c>
      <c r="H5225" s="5" t="s">
        <v>86</v>
      </c>
      <c r="I5225" t="s">
        <v>57</v>
      </c>
    </row>
    <row r="5226" spans="1:9">
      <c r="A5226" s="4" t="s">
        <v>10500</v>
      </c>
      <c r="B5226" s="4" t="s">
        <v>10501</v>
      </c>
      <c r="C5226" s="4" t="s">
        <v>27</v>
      </c>
      <c r="D5226" s="2">
        <f>24451780/(10^6)</f>
        <v>24.45178</v>
      </c>
      <c r="E5226" s="5" t="s">
        <v>86</v>
      </c>
      <c r="F5226" s="5">
        <v>0.237016230821609</v>
      </c>
      <c r="G5226" s="5">
        <v>0.166855573654175</v>
      </c>
      <c r="H5226" s="5">
        <v>1.27755916118622</v>
      </c>
      <c r="I5226" t="s">
        <v>57</v>
      </c>
    </row>
    <row r="5227" spans="1:9">
      <c r="A5227" s="4" t="s">
        <v>10502</v>
      </c>
      <c r="B5227" s="4" t="s">
        <v>10503</v>
      </c>
      <c r="C5227" s="4" t="s">
        <v>47</v>
      </c>
      <c r="D5227" s="2">
        <f>24416884/(10^6)</f>
        <v>24.416884</v>
      </c>
      <c r="E5227" s="5" t="s">
        <v>86</v>
      </c>
      <c r="F5227" s="5">
        <v>3.25896048545837</v>
      </c>
      <c r="G5227" s="5">
        <v>1.30563175678253</v>
      </c>
      <c r="H5227" s="5" t="s">
        <v>86</v>
      </c>
      <c r="I5227" t="s">
        <v>57</v>
      </c>
    </row>
    <row r="5228" spans="1:9">
      <c r="A5228" s="4" t="s">
        <v>10504</v>
      </c>
      <c r="B5228" s="4" t="s">
        <v>10505</v>
      </c>
      <c r="C5228" s="4" t="s">
        <v>37</v>
      </c>
      <c r="D5228" s="2">
        <f>24381502/(10^6)</f>
        <v>24.381502</v>
      </c>
      <c r="E5228" s="5" t="s">
        <v>86</v>
      </c>
      <c r="F5228" s="5">
        <v>5.57324838638306</v>
      </c>
      <c r="G5228" s="5">
        <v>2.73798990249634</v>
      </c>
      <c r="H5228" s="5" t="s">
        <v>86</v>
      </c>
      <c r="I5228" t="s">
        <v>57</v>
      </c>
    </row>
    <row r="5229" spans="1:9">
      <c r="A5229" s="4" t="s">
        <v>10506</v>
      </c>
      <c r="B5229" s="4" t="s">
        <v>10507</v>
      </c>
      <c r="C5229" s="4" t="s">
        <v>31</v>
      </c>
      <c r="D5229" s="2">
        <f>24328758/(10^6)</f>
        <v>24.328758</v>
      </c>
      <c r="E5229" s="5" t="s">
        <v>86</v>
      </c>
      <c r="F5229" s="5">
        <v>93.2946166992188</v>
      </c>
      <c r="G5229" s="5">
        <v>72.0981979370117</v>
      </c>
      <c r="H5229" s="5" t="s">
        <v>86</v>
      </c>
      <c r="I5229" t="s">
        <v>57</v>
      </c>
    </row>
    <row r="5230" spans="1:9">
      <c r="A5230" s="4" t="s">
        <v>10508</v>
      </c>
      <c r="B5230" s="4" t="s">
        <v>10509</v>
      </c>
      <c r="C5230" s="4" t="s">
        <v>41</v>
      </c>
      <c r="D5230" s="2">
        <f>24301380/(10^6)</f>
        <v>24.30138</v>
      </c>
      <c r="E5230" s="5" t="s">
        <v>86</v>
      </c>
      <c r="F5230" s="5" t="s">
        <v>86</v>
      </c>
      <c r="G5230" s="5" t="s">
        <v>86</v>
      </c>
      <c r="H5230" s="5" t="s">
        <v>86</v>
      </c>
      <c r="I5230" t="s">
        <v>57</v>
      </c>
    </row>
    <row r="5231" spans="1:9">
      <c r="A5231" s="4" t="s">
        <v>10510</v>
      </c>
      <c r="B5231" s="4" t="s">
        <v>10511</v>
      </c>
      <c r="C5231" s="4" t="s">
        <v>43</v>
      </c>
      <c r="D5231" s="2">
        <f>24285240/(10^6)</f>
        <v>24.28524</v>
      </c>
      <c r="E5231" s="5" t="s">
        <v>86</v>
      </c>
      <c r="F5231" s="5">
        <v>1.87780225276947</v>
      </c>
      <c r="G5231" s="5" t="s">
        <v>86</v>
      </c>
      <c r="H5231" s="5" t="s">
        <v>86</v>
      </c>
      <c r="I5231" t="s">
        <v>57</v>
      </c>
    </row>
    <row r="5232" spans="1:9">
      <c r="A5232" s="4" t="s">
        <v>10512</v>
      </c>
      <c r="B5232" s="4" t="s">
        <v>10513</v>
      </c>
      <c r="C5232" s="4" t="s">
        <v>33</v>
      </c>
      <c r="D5232" s="2">
        <f>24284528/(10^6)</f>
        <v>24.284528</v>
      </c>
      <c r="E5232" s="5" t="s">
        <v>86</v>
      </c>
      <c r="F5232" s="5">
        <v>0.128040418028831</v>
      </c>
      <c r="G5232" s="5">
        <v>0.09501301497221</v>
      </c>
      <c r="H5232" s="5">
        <v>9.70747089385986</v>
      </c>
      <c r="I5232" t="s">
        <v>57</v>
      </c>
    </row>
    <row r="5233" spans="1:9">
      <c r="A5233" s="4" t="s">
        <v>10514</v>
      </c>
      <c r="B5233" s="4" t="s">
        <v>10515</v>
      </c>
      <c r="C5233" s="4" t="s">
        <v>43</v>
      </c>
      <c r="D5233" s="2">
        <f>24206878/(10^6)</f>
        <v>24.206878</v>
      </c>
      <c r="E5233" s="5">
        <v>7.9264702796936</v>
      </c>
      <c r="F5233" s="5">
        <v>0.505302667617798</v>
      </c>
      <c r="G5233" s="5">
        <v>0.922942340373993</v>
      </c>
      <c r="H5233" s="5" t="s">
        <v>86</v>
      </c>
      <c r="I5233" t="s">
        <v>57</v>
      </c>
    </row>
    <row r="5234" spans="1:9">
      <c r="A5234" s="4" t="s">
        <v>10516</v>
      </c>
      <c r="B5234" s="4" t="s">
        <v>10517</v>
      </c>
      <c r="C5234" s="4" t="s">
        <v>41</v>
      </c>
      <c r="D5234" s="2">
        <f>24152962/(10^6)</f>
        <v>24.152962</v>
      </c>
      <c r="E5234" s="5" t="s">
        <v>86</v>
      </c>
      <c r="F5234" s="5" t="s">
        <v>86</v>
      </c>
      <c r="G5234" s="5" t="s">
        <v>86</v>
      </c>
      <c r="H5234" s="5" t="s">
        <v>86</v>
      </c>
      <c r="I5234" t="s">
        <v>57</v>
      </c>
    </row>
    <row r="5235" spans="1:9">
      <c r="A5235" s="4" t="s">
        <v>10518</v>
      </c>
      <c r="B5235" s="4" t="s">
        <v>10519</v>
      </c>
      <c r="C5235" s="4" t="s">
        <v>41</v>
      </c>
      <c r="D5235" s="2">
        <f>24078444/(10^6)</f>
        <v>24.078444</v>
      </c>
      <c r="E5235" s="5" t="s">
        <v>86</v>
      </c>
      <c r="F5235" s="5" t="s">
        <v>86</v>
      </c>
      <c r="G5235" s="5">
        <v>3.12838172912598</v>
      </c>
      <c r="H5235" s="5" t="s">
        <v>86</v>
      </c>
      <c r="I5235" t="s">
        <v>57</v>
      </c>
    </row>
    <row r="5236" spans="1:9">
      <c r="A5236" s="4" t="s">
        <v>10520</v>
      </c>
      <c r="B5236" s="4" t="s">
        <v>10521</v>
      </c>
      <c r="C5236" s="4" t="s">
        <v>37</v>
      </c>
      <c r="D5236" s="2">
        <f>23994836/(10^6)</f>
        <v>23.994836</v>
      </c>
      <c r="E5236" s="5" t="s">
        <v>86</v>
      </c>
      <c r="F5236" s="5" t="s">
        <v>86</v>
      </c>
      <c r="G5236" s="5">
        <v>45.4186401367188</v>
      </c>
      <c r="H5236" s="5" t="s">
        <v>86</v>
      </c>
      <c r="I5236" t="s">
        <v>57</v>
      </c>
    </row>
    <row r="5237" spans="1:9">
      <c r="A5237" s="4" t="s">
        <v>10522</v>
      </c>
      <c r="B5237" s="4" t="s">
        <v>10523</v>
      </c>
      <c r="C5237" s="4" t="s">
        <v>43</v>
      </c>
      <c r="D5237" s="2">
        <f>23969980/(10^6)</f>
        <v>23.96998</v>
      </c>
      <c r="E5237" s="5">
        <v>11.2195119857788</v>
      </c>
      <c r="F5237" s="5">
        <v>1.12204718589783</v>
      </c>
      <c r="G5237" s="5">
        <v>2.23674058914185</v>
      </c>
      <c r="H5237" s="5" t="s">
        <v>86</v>
      </c>
      <c r="I5237" t="s">
        <v>57</v>
      </c>
    </row>
    <row r="5238" spans="1:9">
      <c r="A5238" s="4" t="s">
        <v>10524</v>
      </c>
      <c r="B5238" s="4" t="s">
        <v>10525</v>
      </c>
      <c r="C5238" s="4" t="s">
        <v>27</v>
      </c>
      <c r="D5238" s="2">
        <f>23967878/(10^6)</f>
        <v>23.967878</v>
      </c>
      <c r="E5238" s="5" t="s">
        <v>86</v>
      </c>
      <c r="F5238" s="5">
        <v>0.137177899479866</v>
      </c>
      <c r="G5238" s="5">
        <v>0.141671925783157</v>
      </c>
      <c r="H5238" s="5" t="s">
        <v>86</v>
      </c>
      <c r="I5238" t="s">
        <v>57</v>
      </c>
    </row>
    <row r="5239" spans="1:9">
      <c r="A5239" s="4" t="s">
        <v>10526</v>
      </c>
      <c r="B5239" s="4" t="s">
        <v>10527</v>
      </c>
      <c r="C5239" s="4" t="s">
        <v>31</v>
      </c>
      <c r="D5239" s="2">
        <f>23960902/(10^6)</f>
        <v>23.960902</v>
      </c>
      <c r="E5239" s="5" t="s">
        <v>86</v>
      </c>
      <c r="F5239" s="5" t="s">
        <v>86</v>
      </c>
      <c r="G5239" s="5">
        <v>52.3918037414551</v>
      </c>
      <c r="H5239" s="5" t="s">
        <v>86</v>
      </c>
      <c r="I5239" t="s">
        <v>57</v>
      </c>
    </row>
    <row r="5240" spans="1:9">
      <c r="A5240" s="4" t="s">
        <v>10528</v>
      </c>
      <c r="B5240" s="4" t="s">
        <v>10529</v>
      </c>
      <c r="C5240" s="4" t="s">
        <v>47</v>
      </c>
      <c r="D5240" s="2">
        <f>23944638/(10^6)</f>
        <v>23.944638</v>
      </c>
      <c r="E5240" s="5" t="s">
        <v>86</v>
      </c>
      <c r="F5240" s="5">
        <v>101.047775268555</v>
      </c>
      <c r="G5240" s="5">
        <v>179.236602783203</v>
      </c>
      <c r="H5240" s="5" t="s">
        <v>86</v>
      </c>
      <c r="I5240" t="s">
        <v>57</v>
      </c>
    </row>
    <row r="5241" spans="1:9">
      <c r="A5241" s="4" t="s">
        <v>10530</v>
      </c>
      <c r="B5241" s="4" t="s">
        <v>10531</v>
      </c>
      <c r="C5241" s="4" t="s">
        <v>33</v>
      </c>
      <c r="D5241" s="2">
        <f>23881542/(10^6)</f>
        <v>23.881542</v>
      </c>
      <c r="E5241" s="5" t="s">
        <v>86</v>
      </c>
      <c r="F5241" s="5">
        <v>0.926682353019714</v>
      </c>
      <c r="G5241" s="5">
        <v>0.380610436201096</v>
      </c>
      <c r="H5241" s="5">
        <v>24.7559871673584</v>
      </c>
      <c r="I5241" t="s">
        <v>57</v>
      </c>
    </row>
    <row r="5242" spans="1:9">
      <c r="A5242" s="4" t="s">
        <v>10532</v>
      </c>
      <c r="B5242" s="4" t="s">
        <v>9534</v>
      </c>
      <c r="C5242" s="4" t="s">
        <v>49</v>
      </c>
      <c r="D5242" s="2">
        <f>23860572/(10^6)</f>
        <v>23.860572</v>
      </c>
      <c r="E5242" s="5">
        <v>686.932312011719</v>
      </c>
      <c r="F5242" s="5">
        <v>0.950535118579865</v>
      </c>
      <c r="G5242" s="5">
        <v>8.34090709686279</v>
      </c>
      <c r="H5242" s="5" t="s">
        <v>86</v>
      </c>
      <c r="I5242" t="s">
        <v>57</v>
      </c>
    </row>
    <row r="5243" spans="1:9">
      <c r="A5243" s="4" t="s">
        <v>10533</v>
      </c>
      <c r="B5243" s="4" t="s">
        <v>10534</v>
      </c>
      <c r="C5243" s="4" t="s">
        <v>43</v>
      </c>
      <c r="D5243" s="2">
        <f>23828500/(10^6)</f>
        <v>23.8285</v>
      </c>
      <c r="E5243" s="5" t="s">
        <v>86</v>
      </c>
      <c r="F5243" s="5" t="s">
        <v>86</v>
      </c>
      <c r="G5243" s="5" t="s">
        <v>86</v>
      </c>
      <c r="H5243" s="5" t="s">
        <v>86</v>
      </c>
      <c r="I5243" t="s">
        <v>57</v>
      </c>
    </row>
    <row r="5244" spans="1:9">
      <c r="A5244" s="4" t="s">
        <v>10535</v>
      </c>
      <c r="B5244" s="4" t="s">
        <v>10536</v>
      </c>
      <c r="C5244" s="4" t="s">
        <v>49</v>
      </c>
      <c r="D5244" s="2">
        <f>23737942/(10^6)</f>
        <v>23.737942</v>
      </c>
      <c r="E5244" s="5" t="s">
        <v>86</v>
      </c>
      <c r="F5244" s="5" t="s">
        <v>86</v>
      </c>
      <c r="G5244" s="5" t="s">
        <v>86</v>
      </c>
      <c r="H5244" s="5" t="s">
        <v>86</v>
      </c>
      <c r="I5244" t="s">
        <v>57</v>
      </c>
    </row>
    <row r="5245" spans="1:9">
      <c r="A5245" s="4" t="s">
        <v>10537</v>
      </c>
      <c r="B5245" s="4" t="s">
        <v>10538</v>
      </c>
      <c r="C5245" s="4" t="s">
        <v>49</v>
      </c>
      <c r="D5245" s="2">
        <f>23707040/(10^6)</f>
        <v>23.70704</v>
      </c>
      <c r="E5245" s="5" t="s">
        <v>86</v>
      </c>
      <c r="F5245" s="5" t="s">
        <v>86</v>
      </c>
      <c r="G5245" s="5" t="s">
        <v>86</v>
      </c>
      <c r="H5245" s="5" t="s">
        <v>86</v>
      </c>
      <c r="I5245" t="s">
        <v>57</v>
      </c>
    </row>
    <row r="5246" spans="1:9">
      <c r="A5246" s="4" t="s">
        <v>10539</v>
      </c>
      <c r="B5246" s="4" t="s">
        <v>10540</v>
      </c>
      <c r="C5246" s="4" t="s">
        <v>51</v>
      </c>
      <c r="D5246" s="2">
        <f>23694362/(10^6)</f>
        <v>23.694362</v>
      </c>
      <c r="E5246" s="5" t="s">
        <v>86</v>
      </c>
      <c r="F5246" s="5" t="s">
        <v>86</v>
      </c>
      <c r="G5246" s="5">
        <v>2.36866688728333</v>
      </c>
      <c r="H5246" s="5" t="s">
        <v>86</v>
      </c>
      <c r="I5246" t="s">
        <v>57</v>
      </c>
    </row>
    <row r="5247" spans="1:9">
      <c r="A5247" s="4" t="s">
        <v>10541</v>
      </c>
      <c r="B5247" s="4" t="s">
        <v>10542</v>
      </c>
      <c r="C5247" s="4" t="s">
        <v>41</v>
      </c>
      <c r="D5247" s="2">
        <f>23689644/(10^6)</f>
        <v>23.689644</v>
      </c>
      <c r="E5247" s="5" t="s">
        <v>86</v>
      </c>
      <c r="F5247" s="5" t="s">
        <v>86</v>
      </c>
      <c r="G5247" s="5" t="s">
        <v>86</v>
      </c>
      <c r="H5247" s="5" t="s">
        <v>86</v>
      </c>
      <c r="I5247" t="s">
        <v>57</v>
      </c>
    </row>
    <row r="5248" spans="1:9">
      <c r="A5248" s="4" t="s">
        <v>10543</v>
      </c>
      <c r="B5248" s="4" t="s">
        <v>10544</v>
      </c>
      <c r="C5248" s="4" t="s">
        <v>51</v>
      </c>
      <c r="D5248" s="2">
        <f>23677180/(10^6)</f>
        <v>23.67718</v>
      </c>
      <c r="E5248" s="5" t="s">
        <v>86</v>
      </c>
      <c r="F5248" s="5" t="s">
        <v>86</v>
      </c>
      <c r="G5248" s="5">
        <v>1.4262273311615</v>
      </c>
      <c r="H5248" s="5">
        <v>38.0913238525391</v>
      </c>
      <c r="I5248" t="s">
        <v>57</v>
      </c>
    </row>
    <row r="5249" spans="1:9">
      <c r="A5249" s="4" t="s">
        <v>10545</v>
      </c>
      <c r="B5249" s="4" t="s">
        <v>10546</v>
      </c>
      <c r="C5249" s="4" t="s">
        <v>41</v>
      </c>
      <c r="D5249" s="2">
        <f>23599500/(10^6)</f>
        <v>23.5995</v>
      </c>
      <c r="E5249" s="5" t="s">
        <v>86</v>
      </c>
      <c r="F5249" s="5">
        <v>2.08673548698425</v>
      </c>
      <c r="G5249" s="5">
        <v>2.85833597183227</v>
      </c>
      <c r="H5249" s="5" t="s">
        <v>86</v>
      </c>
      <c r="I5249" t="s">
        <v>57</v>
      </c>
    </row>
    <row r="5250" spans="1:9">
      <c r="A5250" s="4" t="s">
        <v>10547</v>
      </c>
      <c r="B5250" s="4" t="s">
        <v>10548</v>
      </c>
      <c r="C5250" s="4" t="s">
        <v>47</v>
      </c>
      <c r="D5250" s="2">
        <f>23597066/(10^6)</f>
        <v>23.597066</v>
      </c>
      <c r="E5250" s="5" t="s">
        <v>86</v>
      </c>
      <c r="F5250" s="5">
        <v>0.738839864730835</v>
      </c>
      <c r="G5250" s="5">
        <v>0.018713550642133</v>
      </c>
      <c r="H5250" s="5">
        <v>7.13655805587769</v>
      </c>
      <c r="I5250" t="s">
        <v>57</v>
      </c>
    </row>
    <row r="5251" spans="1:9">
      <c r="A5251" s="4" t="s">
        <v>10549</v>
      </c>
      <c r="B5251" s="4" t="s">
        <v>10550</v>
      </c>
      <c r="C5251" s="4" t="s">
        <v>49</v>
      </c>
      <c r="D5251" s="2">
        <f>23596196/(10^6)</f>
        <v>23.596196</v>
      </c>
      <c r="E5251" s="5" t="s">
        <v>86</v>
      </c>
      <c r="F5251" s="5" t="s">
        <v>86</v>
      </c>
      <c r="G5251" s="5" t="s">
        <v>86</v>
      </c>
      <c r="H5251" s="5" t="s">
        <v>86</v>
      </c>
      <c r="I5251" t="s">
        <v>57</v>
      </c>
    </row>
    <row r="5252" spans="1:9">
      <c r="A5252" s="4" t="s">
        <v>10551</v>
      </c>
      <c r="B5252" s="4" t="s">
        <v>10552</v>
      </c>
      <c r="C5252" s="4" t="s">
        <v>49</v>
      </c>
      <c r="D5252" s="2">
        <f>23564572/(10^6)</f>
        <v>23.564572</v>
      </c>
      <c r="E5252" s="5" t="s">
        <v>86</v>
      </c>
      <c r="F5252" s="5" t="s">
        <v>86</v>
      </c>
      <c r="G5252" s="5" t="s">
        <v>86</v>
      </c>
      <c r="H5252" s="5" t="s">
        <v>86</v>
      </c>
      <c r="I5252" t="s">
        <v>57</v>
      </c>
    </row>
    <row r="5253" spans="1:9">
      <c r="A5253" s="4" t="s">
        <v>10553</v>
      </c>
      <c r="B5253" s="4" t="s">
        <v>10554</v>
      </c>
      <c r="C5253" s="4" t="s">
        <v>27</v>
      </c>
      <c r="D5253" s="2">
        <f>23564402/(10^6)</f>
        <v>23.564402</v>
      </c>
      <c r="E5253" s="5" t="s">
        <v>86</v>
      </c>
      <c r="F5253" s="5">
        <v>0.625030159950256</v>
      </c>
      <c r="G5253" s="5">
        <v>0.030875047668815</v>
      </c>
      <c r="H5253" s="5">
        <v>7.07090091705322</v>
      </c>
      <c r="I5253" t="s">
        <v>57</v>
      </c>
    </row>
    <row r="5254" spans="1:9">
      <c r="A5254" s="4" t="s">
        <v>10555</v>
      </c>
      <c r="B5254" s="4" t="s">
        <v>10556</v>
      </c>
      <c r="C5254" s="4" t="s">
        <v>31</v>
      </c>
      <c r="D5254" s="2">
        <f>23527192/(10^6)</f>
        <v>23.527192</v>
      </c>
      <c r="E5254" s="5" t="s">
        <v>86</v>
      </c>
      <c r="F5254" s="5">
        <v>0.794922351837158</v>
      </c>
      <c r="G5254" s="5">
        <v>4.24578523635864</v>
      </c>
      <c r="H5254" s="5" t="s">
        <v>86</v>
      </c>
      <c r="I5254" t="s">
        <v>57</v>
      </c>
    </row>
    <row r="5255" spans="1:9">
      <c r="A5255" s="4" t="s">
        <v>10557</v>
      </c>
      <c r="B5255" s="4" t="s">
        <v>10558</v>
      </c>
      <c r="C5255" s="4" t="s">
        <v>41</v>
      </c>
      <c r="D5255" s="2">
        <f>23511168/(10^6)</f>
        <v>23.511168</v>
      </c>
      <c r="E5255" s="5" t="s">
        <v>86</v>
      </c>
      <c r="F5255" s="5" t="s">
        <v>86</v>
      </c>
      <c r="G5255" s="5">
        <v>2.45452547073364</v>
      </c>
      <c r="H5255" s="5">
        <v>288.069488525391</v>
      </c>
      <c r="I5255" t="s">
        <v>57</v>
      </c>
    </row>
    <row r="5256" spans="1:9">
      <c r="A5256" s="4" t="s">
        <v>10559</v>
      </c>
      <c r="B5256" s="4" t="s">
        <v>10560</v>
      </c>
      <c r="C5256" s="4" t="s">
        <v>43</v>
      </c>
      <c r="D5256" s="2">
        <f>23505320/(10^6)</f>
        <v>23.50532</v>
      </c>
      <c r="E5256" s="5" t="s">
        <v>86</v>
      </c>
      <c r="F5256" s="5">
        <v>0.192617237567902</v>
      </c>
      <c r="G5256" s="5">
        <v>2.21896004676819</v>
      </c>
      <c r="H5256" s="5" t="s">
        <v>86</v>
      </c>
      <c r="I5256" t="s">
        <v>57</v>
      </c>
    </row>
    <row r="5257" spans="1:9">
      <c r="A5257" s="4" t="s">
        <v>10561</v>
      </c>
      <c r="B5257" s="4" t="s">
        <v>10562</v>
      </c>
      <c r="C5257" s="4" t="s">
        <v>47</v>
      </c>
      <c r="D5257" s="2">
        <f>23481564/(10^6)</f>
        <v>23.481564</v>
      </c>
      <c r="E5257" s="5">
        <v>4.21663761138916</v>
      </c>
      <c r="F5257" s="5">
        <v>0.608882904052734</v>
      </c>
      <c r="G5257" s="5">
        <v>0.03354337438941</v>
      </c>
      <c r="H5257" s="5" t="s">
        <v>86</v>
      </c>
      <c r="I5257" t="s">
        <v>57</v>
      </c>
    </row>
    <row r="5258" spans="1:9">
      <c r="A5258" s="4" t="s">
        <v>10563</v>
      </c>
      <c r="B5258" s="4" t="s">
        <v>10564</v>
      </c>
      <c r="C5258" s="4" t="s">
        <v>41</v>
      </c>
      <c r="D5258" s="2">
        <f>23465670/(10^6)</f>
        <v>23.46567</v>
      </c>
      <c r="E5258" s="5" t="s">
        <v>86</v>
      </c>
      <c r="F5258" s="5">
        <v>1.59760355949402</v>
      </c>
      <c r="G5258" s="5" t="s">
        <v>86</v>
      </c>
      <c r="H5258" s="5" t="s">
        <v>86</v>
      </c>
      <c r="I5258" t="s">
        <v>57</v>
      </c>
    </row>
    <row r="5259" spans="1:9">
      <c r="A5259" s="4" t="s">
        <v>10565</v>
      </c>
      <c r="B5259" s="4" t="s">
        <v>10566</v>
      </c>
      <c r="C5259" s="4" t="s">
        <v>43</v>
      </c>
      <c r="D5259" s="2">
        <f>23435468/(10^6)</f>
        <v>23.435468</v>
      </c>
      <c r="E5259" s="5">
        <v>22.9508190155029</v>
      </c>
      <c r="F5259" s="5">
        <v>1.53634715080261</v>
      </c>
      <c r="G5259" s="5">
        <v>3.75222253799439</v>
      </c>
      <c r="H5259" s="5" t="s">
        <v>86</v>
      </c>
      <c r="I5259" t="s">
        <v>57</v>
      </c>
    </row>
    <row r="5260" spans="1:9">
      <c r="A5260" s="4" t="s">
        <v>10567</v>
      </c>
      <c r="B5260" s="4" t="s">
        <v>10568</v>
      </c>
      <c r="C5260" s="4" t="s">
        <v>37</v>
      </c>
      <c r="D5260" s="2">
        <f>23399272/(10^6)</f>
        <v>23.399272</v>
      </c>
      <c r="E5260" s="5" t="s">
        <v>86</v>
      </c>
      <c r="F5260" s="5" t="s">
        <v>86</v>
      </c>
      <c r="G5260" s="5" t="s">
        <v>86</v>
      </c>
      <c r="H5260" s="5" t="s">
        <v>86</v>
      </c>
      <c r="I5260" t="s">
        <v>57</v>
      </c>
    </row>
    <row r="5261" spans="1:9">
      <c r="A5261" s="4" t="s">
        <v>10569</v>
      </c>
      <c r="B5261" s="4" t="s">
        <v>10570</v>
      </c>
      <c r="C5261" s="4" t="s">
        <v>41</v>
      </c>
      <c r="D5261" s="2">
        <f>23366814/(10^6)</f>
        <v>23.366814</v>
      </c>
      <c r="E5261" s="5" t="s">
        <v>86</v>
      </c>
      <c r="F5261" s="5" t="s">
        <v>86</v>
      </c>
      <c r="G5261" s="5">
        <v>0.94514387845993</v>
      </c>
      <c r="H5261" s="5" t="s">
        <v>86</v>
      </c>
      <c r="I5261" t="s">
        <v>57</v>
      </c>
    </row>
    <row r="5262" spans="1:9">
      <c r="A5262" s="4" t="s">
        <v>10571</v>
      </c>
      <c r="B5262" s="4" t="s">
        <v>10572</v>
      </c>
      <c r="C5262" s="4" t="s">
        <v>41</v>
      </c>
      <c r="D5262" s="2">
        <f>23362798/(10^6)</f>
        <v>23.362798</v>
      </c>
      <c r="E5262" s="5" t="s">
        <v>86</v>
      </c>
      <c r="F5262" s="5" t="s">
        <v>86</v>
      </c>
      <c r="G5262" s="5" t="s">
        <v>86</v>
      </c>
      <c r="H5262" s="5" t="s">
        <v>86</v>
      </c>
      <c r="I5262" t="s">
        <v>57</v>
      </c>
    </row>
    <row r="5263" spans="1:9">
      <c r="A5263" s="4" t="s">
        <v>10573</v>
      </c>
      <c r="B5263" s="4" t="s">
        <v>10574</v>
      </c>
      <c r="C5263" s="4" t="s">
        <v>47</v>
      </c>
      <c r="D5263" s="2">
        <f>23357492/(10^6)</f>
        <v>23.357492</v>
      </c>
      <c r="E5263" s="5">
        <v>33.2340812683105</v>
      </c>
      <c r="F5263" s="5">
        <v>0.59192830324173</v>
      </c>
      <c r="G5263" s="5">
        <v>0.153174936771393</v>
      </c>
      <c r="H5263" s="5">
        <v>33.2981452941895</v>
      </c>
      <c r="I5263" t="s">
        <v>57</v>
      </c>
    </row>
    <row r="5264" spans="1:9">
      <c r="A5264" s="4" t="s">
        <v>10575</v>
      </c>
      <c r="B5264" s="4" t="s">
        <v>10576</v>
      </c>
      <c r="C5264" s="4" t="s">
        <v>43</v>
      </c>
      <c r="D5264" s="2">
        <f>23293572/(10^6)</f>
        <v>23.293572</v>
      </c>
      <c r="E5264" s="5" t="s">
        <v>86</v>
      </c>
      <c r="F5264" s="5" t="s">
        <v>86</v>
      </c>
      <c r="G5264" s="5" t="s">
        <v>86</v>
      </c>
      <c r="H5264" s="5" t="s">
        <v>86</v>
      </c>
      <c r="I5264" t="s">
        <v>57</v>
      </c>
    </row>
    <row r="5265" spans="1:9">
      <c r="A5265" s="4" t="s">
        <v>10577</v>
      </c>
      <c r="B5265" s="4" t="s">
        <v>10578</v>
      </c>
      <c r="C5265" s="4" t="s">
        <v>35</v>
      </c>
      <c r="D5265" s="2">
        <f>23215216/(10^6)</f>
        <v>23.215216</v>
      </c>
      <c r="E5265" s="5" t="s">
        <v>86</v>
      </c>
      <c r="F5265" s="5" t="s">
        <v>86</v>
      </c>
      <c r="G5265" s="5" t="s">
        <v>86</v>
      </c>
      <c r="H5265" s="5" t="s">
        <v>86</v>
      </c>
      <c r="I5265" t="s">
        <v>57</v>
      </c>
    </row>
    <row r="5266" spans="1:9">
      <c r="A5266" s="4" t="s">
        <v>10579</v>
      </c>
      <c r="B5266" s="4" t="s">
        <v>10580</v>
      </c>
      <c r="C5266" s="4" t="s">
        <v>51</v>
      </c>
      <c r="D5266" s="2">
        <f>23176950/(10^6)</f>
        <v>23.17695</v>
      </c>
      <c r="E5266" s="5" t="s">
        <v>86</v>
      </c>
      <c r="F5266" s="5" t="s">
        <v>86</v>
      </c>
      <c r="G5266" s="5" t="s">
        <v>86</v>
      </c>
      <c r="H5266" s="5" t="s">
        <v>86</v>
      </c>
      <c r="I5266" t="s">
        <v>57</v>
      </c>
    </row>
    <row r="5267" spans="1:9">
      <c r="A5267" s="4" t="s">
        <v>10581</v>
      </c>
      <c r="B5267" s="4" t="s">
        <v>10582</v>
      </c>
      <c r="C5267" s="4" t="s">
        <v>35</v>
      </c>
      <c r="D5267" s="2">
        <f>23089640/(10^6)</f>
        <v>23.08964</v>
      </c>
      <c r="E5267" s="5" t="s">
        <v>86</v>
      </c>
      <c r="F5267" s="5" t="s">
        <v>86</v>
      </c>
      <c r="G5267" s="5" t="s">
        <v>86</v>
      </c>
      <c r="H5267" s="5" t="s">
        <v>86</v>
      </c>
      <c r="I5267" t="s">
        <v>57</v>
      </c>
    </row>
    <row r="5268" spans="1:9">
      <c r="A5268" s="4" t="s">
        <v>10583</v>
      </c>
      <c r="B5268" s="4" t="s">
        <v>10584</v>
      </c>
      <c r="C5268" s="4" t="s">
        <v>49</v>
      </c>
      <c r="D5268" s="2">
        <f>23048510/(10^6)</f>
        <v>23.04851</v>
      </c>
      <c r="E5268" s="5" t="s">
        <v>86</v>
      </c>
      <c r="F5268" s="5" t="s">
        <v>86</v>
      </c>
      <c r="G5268" s="5" t="s">
        <v>86</v>
      </c>
      <c r="H5268" s="5" t="s">
        <v>86</v>
      </c>
      <c r="I5268" t="s">
        <v>57</v>
      </c>
    </row>
    <row r="5269" spans="1:9">
      <c r="A5269" s="4" t="s">
        <v>10585</v>
      </c>
      <c r="B5269" s="4" t="s">
        <v>10586</v>
      </c>
      <c r="C5269" s="4" t="s">
        <v>33</v>
      </c>
      <c r="D5269" s="2">
        <f>23042678/(10^6)</f>
        <v>23.042678</v>
      </c>
      <c r="E5269" s="5" t="s">
        <v>86</v>
      </c>
      <c r="F5269" s="5">
        <v>4.30080652236938</v>
      </c>
      <c r="G5269" s="5">
        <v>37.6647834777832</v>
      </c>
      <c r="H5269" s="5" t="s">
        <v>86</v>
      </c>
      <c r="I5269" t="s">
        <v>57</v>
      </c>
    </row>
    <row r="5270" spans="1:9">
      <c r="A5270" s="4" t="s">
        <v>10587</v>
      </c>
      <c r="B5270" s="4" t="s">
        <v>10588</v>
      </c>
      <c r="C5270" s="4" t="s">
        <v>43</v>
      </c>
      <c r="D5270" s="2">
        <f>23033340/(10^6)</f>
        <v>23.03334</v>
      </c>
      <c r="E5270" s="5" t="s">
        <v>86</v>
      </c>
      <c r="F5270" s="5" t="s">
        <v>86</v>
      </c>
      <c r="G5270" s="5" t="s">
        <v>86</v>
      </c>
      <c r="H5270" s="5" t="s">
        <v>86</v>
      </c>
      <c r="I5270" t="s">
        <v>57</v>
      </c>
    </row>
    <row r="5271" spans="1:9">
      <c r="A5271" s="4" t="s">
        <v>10589</v>
      </c>
      <c r="B5271" s="4" t="s">
        <v>10590</v>
      </c>
      <c r="C5271" s="4" t="s">
        <v>31</v>
      </c>
      <c r="D5271" s="2">
        <f>22970808/(10^6)</f>
        <v>22.970808</v>
      </c>
      <c r="E5271" s="5">
        <v>4.11613464355469</v>
      </c>
      <c r="F5271" s="5">
        <v>0.271461576223373</v>
      </c>
      <c r="G5271" s="5">
        <v>0.099773429334164</v>
      </c>
      <c r="H5271" s="5">
        <v>2.26211142539978</v>
      </c>
      <c r="I5271" t="s">
        <v>57</v>
      </c>
    </row>
    <row r="5272" spans="1:9">
      <c r="A5272" s="4" t="s">
        <v>10591</v>
      </c>
      <c r="B5272" s="4" t="s">
        <v>10592</v>
      </c>
      <c r="C5272" s="4" t="s">
        <v>31</v>
      </c>
      <c r="D5272" s="2">
        <f>22970808/(10^6)</f>
        <v>22.970808</v>
      </c>
      <c r="E5272" s="5">
        <v>4.11613464355469</v>
      </c>
      <c r="F5272" s="5">
        <v>0.271461576223373</v>
      </c>
      <c r="G5272" s="5">
        <v>0.099773429334164</v>
      </c>
      <c r="H5272" s="5">
        <v>2.26211142539978</v>
      </c>
      <c r="I5272" t="s">
        <v>57</v>
      </c>
    </row>
    <row r="5273" spans="1:9">
      <c r="A5273" s="4" t="s">
        <v>10593</v>
      </c>
      <c r="B5273" s="4" t="s">
        <v>10594</v>
      </c>
      <c r="C5273" s="4" t="s">
        <v>35</v>
      </c>
      <c r="D5273" s="2">
        <f>22845698/(10^6)</f>
        <v>22.845698</v>
      </c>
      <c r="E5273" s="5" t="s">
        <v>86</v>
      </c>
      <c r="F5273" s="5">
        <v>11.7296314239502</v>
      </c>
      <c r="G5273" s="5">
        <v>0.482345640659332</v>
      </c>
      <c r="H5273" s="5" t="s">
        <v>86</v>
      </c>
      <c r="I5273" t="s">
        <v>57</v>
      </c>
    </row>
    <row r="5274" spans="1:9">
      <c r="A5274" s="4" t="s">
        <v>10595</v>
      </c>
      <c r="B5274" s="4" t="s">
        <v>10596</v>
      </c>
      <c r="C5274" s="4" t="s">
        <v>43</v>
      </c>
      <c r="D5274" s="2">
        <f>22808500/(10^6)</f>
        <v>22.8085</v>
      </c>
      <c r="E5274" s="5">
        <v>6.95501375198364</v>
      </c>
      <c r="F5274" s="5">
        <v>0.733291864395142</v>
      </c>
      <c r="G5274" s="5">
        <v>1.56329560279846</v>
      </c>
      <c r="H5274" s="5" t="s">
        <v>86</v>
      </c>
      <c r="I5274" t="s">
        <v>57</v>
      </c>
    </row>
    <row r="5275" spans="1:9">
      <c r="A5275" s="4" t="s">
        <v>10597</v>
      </c>
      <c r="B5275" s="4" t="s">
        <v>10598</v>
      </c>
      <c r="C5275" s="4" t="s">
        <v>31</v>
      </c>
      <c r="D5275" s="2">
        <f>22763854/(10^6)</f>
        <v>22.763854</v>
      </c>
      <c r="E5275" s="5" t="s">
        <v>86</v>
      </c>
      <c r="F5275" s="5" t="s">
        <v>86</v>
      </c>
      <c r="G5275" s="5">
        <v>5.07424974441528</v>
      </c>
      <c r="H5275" s="5" t="s">
        <v>86</v>
      </c>
      <c r="I5275" t="s">
        <v>57</v>
      </c>
    </row>
    <row r="5276" spans="1:9">
      <c r="A5276" s="4" t="s">
        <v>10599</v>
      </c>
      <c r="B5276" s="4" t="s">
        <v>10600</v>
      </c>
      <c r="C5276" s="4" t="s">
        <v>27</v>
      </c>
      <c r="D5276" s="2">
        <f>22727680/(10^6)</f>
        <v>22.72768</v>
      </c>
      <c r="E5276" s="5" t="s">
        <v>86</v>
      </c>
      <c r="F5276" s="5">
        <v>0.334313422441483</v>
      </c>
      <c r="G5276" s="5">
        <v>0.084403805434704</v>
      </c>
      <c r="H5276" s="5">
        <v>7.95494699478149</v>
      </c>
      <c r="I5276" t="s">
        <v>57</v>
      </c>
    </row>
    <row r="5277" spans="1:9">
      <c r="A5277" s="4" t="s">
        <v>10601</v>
      </c>
      <c r="B5277" s="4" t="s">
        <v>10602</v>
      </c>
      <c r="C5277" s="4" t="s">
        <v>27</v>
      </c>
      <c r="D5277" s="2">
        <f>22709176/(10^6)</f>
        <v>22.709176</v>
      </c>
      <c r="E5277" s="5">
        <v>29.4787120819092</v>
      </c>
      <c r="F5277" s="5">
        <v>0.682583868503571</v>
      </c>
      <c r="G5277" s="5">
        <v>3.44685125350952</v>
      </c>
      <c r="H5277" s="5">
        <v>0.006988510023803</v>
      </c>
      <c r="I5277" t="s">
        <v>57</v>
      </c>
    </row>
    <row r="5278" spans="1:9">
      <c r="A5278" s="4" t="s">
        <v>10603</v>
      </c>
      <c r="B5278" s="4" t="s">
        <v>10604</v>
      </c>
      <c r="C5278" s="4" t="s">
        <v>41</v>
      </c>
      <c r="D5278" s="2">
        <f>22707524/(10^6)</f>
        <v>22.707524</v>
      </c>
      <c r="E5278" s="5" t="s">
        <v>86</v>
      </c>
      <c r="F5278" s="5" t="s">
        <v>86</v>
      </c>
      <c r="G5278" s="5">
        <v>38.5410346984863</v>
      </c>
      <c r="H5278" s="5" t="s">
        <v>86</v>
      </c>
      <c r="I5278" t="s">
        <v>57</v>
      </c>
    </row>
    <row r="5279" spans="1:9">
      <c r="A5279" s="4" t="s">
        <v>10605</v>
      </c>
      <c r="B5279" s="4" t="s">
        <v>10606</v>
      </c>
      <c r="C5279" s="4" t="s">
        <v>43</v>
      </c>
      <c r="D5279" s="2">
        <f>22626720/(10^6)</f>
        <v>22.62672</v>
      </c>
      <c r="E5279" s="5" t="s">
        <v>86</v>
      </c>
      <c r="F5279" s="5" t="s">
        <v>86</v>
      </c>
      <c r="G5279" s="5" t="s">
        <v>86</v>
      </c>
      <c r="H5279" s="5" t="s">
        <v>86</v>
      </c>
      <c r="I5279" t="s">
        <v>57</v>
      </c>
    </row>
    <row r="5280" spans="1:9">
      <c r="A5280" s="4" t="s">
        <v>10607</v>
      </c>
      <c r="B5280" s="4" t="s">
        <v>10608</v>
      </c>
      <c r="C5280" s="4" t="s">
        <v>49</v>
      </c>
      <c r="D5280" s="2">
        <f>22613978/(10^6)</f>
        <v>22.613978</v>
      </c>
      <c r="E5280" s="5">
        <v>9.29067325592041</v>
      </c>
      <c r="F5280" s="5">
        <v>0.856389105319977</v>
      </c>
      <c r="G5280" s="5">
        <v>2.2778046131134</v>
      </c>
      <c r="H5280" s="5" t="s">
        <v>86</v>
      </c>
      <c r="I5280" t="s">
        <v>57</v>
      </c>
    </row>
    <row r="5281" spans="1:9">
      <c r="A5281" s="4" t="s">
        <v>10609</v>
      </c>
      <c r="B5281" s="4" t="s">
        <v>10610</v>
      </c>
      <c r="C5281" s="4" t="s">
        <v>49</v>
      </c>
      <c r="D5281" s="2">
        <f>22580200/(10^6)</f>
        <v>22.5802</v>
      </c>
      <c r="E5281" s="5" t="s">
        <v>86</v>
      </c>
      <c r="F5281" s="5" t="s">
        <v>86</v>
      </c>
      <c r="G5281" s="5" t="s">
        <v>86</v>
      </c>
      <c r="H5281" s="5" t="s">
        <v>86</v>
      </c>
      <c r="I5281" t="s">
        <v>57</v>
      </c>
    </row>
    <row r="5282" spans="1:9">
      <c r="A5282" s="4" t="s">
        <v>10611</v>
      </c>
      <c r="B5282" s="4" t="s">
        <v>10612</v>
      </c>
      <c r="C5282" s="4" t="s">
        <v>49</v>
      </c>
      <c r="D5282" s="2">
        <f>22553586/(10^6)</f>
        <v>22.553586</v>
      </c>
      <c r="E5282" s="5">
        <v>7.5236496925354</v>
      </c>
      <c r="F5282" s="5">
        <v>0.731463730335236</v>
      </c>
      <c r="G5282" s="5">
        <v>0.114816196262836</v>
      </c>
      <c r="H5282" s="5">
        <v>3.88928461074829</v>
      </c>
      <c r="I5282" t="s">
        <v>57</v>
      </c>
    </row>
    <row r="5283" spans="1:9">
      <c r="A5283" s="4" t="s">
        <v>10613</v>
      </c>
      <c r="B5283" s="4" t="s">
        <v>10614</v>
      </c>
      <c r="C5283" s="4" t="s">
        <v>47</v>
      </c>
      <c r="D5283" s="2">
        <f>22525418/(10^6)</f>
        <v>22.525418</v>
      </c>
      <c r="E5283" s="5">
        <v>95.8860931396484</v>
      </c>
      <c r="F5283" s="5">
        <v>0.253862261772156</v>
      </c>
      <c r="G5283" s="5">
        <v>0.064313195645809</v>
      </c>
      <c r="H5283" s="5">
        <v>4.20325756072998</v>
      </c>
      <c r="I5283" t="s">
        <v>57</v>
      </c>
    </row>
    <row r="5284" spans="1:9">
      <c r="A5284" s="4" t="s">
        <v>10615</v>
      </c>
      <c r="B5284" s="4" t="s">
        <v>10616</v>
      </c>
      <c r="C5284" s="4" t="s">
        <v>33</v>
      </c>
      <c r="D5284" s="2">
        <f>22500914/(10^6)</f>
        <v>22.500914</v>
      </c>
      <c r="E5284" s="5">
        <v>1.57370173931122</v>
      </c>
      <c r="F5284" s="5" t="s">
        <v>86</v>
      </c>
      <c r="G5284" s="5">
        <v>0.250851511955261</v>
      </c>
      <c r="H5284" s="5">
        <v>2.27263903617859</v>
      </c>
      <c r="I5284" t="s">
        <v>57</v>
      </c>
    </row>
    <row r="5285" spans="1:9">
      <c r="A5285" s="4" t="s">
        <v>10617</v>
      </c>
      <c r="B5285" s="4" t="s">
        <v>10618</v>
      </c>
      <c r="C5285" s="4" t="s">
        <v>47</v>
      </c>
      <c r="D5285" s="2">
        <f>22417496/(10^6)</f>
        <v>22.417496</v>
      </c>
      <c r="E5285" s="5" t="s">
        <v>86</v>
      </c>
      <c r="F5285" s="5" t="s">
        <v>86</v>
      </c>
      <c r="G5285" s="5" t="s">
        <v>86</v>
      </c>
      <c r="H5285" s="5" t="s">
        <v>86</v>
      </c>
      <c r="I5285" t="s">
        <v>57</v>
      </c>
    </row>
    <row r="5286" spans="1:9">
      <c r="A5286" s="4" t="s">
        <v>10619</v>
      </c>
      <c r="B5286" s="4" t="s">
        <v>10620</v>
      </c>
      <c r="C5286" s="4" t="s">
        <v>27</v>
      </c>
      <c r="D5286" s="2">
        <f>22394634/(10^6)</f>
        <v>22.394634</v>
      </c>
      <c r="E5286" s="5" t="s">
        <v>86</v>
      </c>
      <c r="F5286" s="5" t="s">
        <v>86</v>
      </c>
      <c r="G5286" s="5" t="s">
        <v>86</v>
      </c>
      <c r="H5286" s="5" t="s">
        <v>86</v>
      </c>
      <c r="I5286" t="s">
        <v>57</v>
      </c>
    </row>
    <row r="5287" spans="1:9">
      <c r="A5287" s="4" t="s">
        <v>10621</v>
      </c>
      <c r="B5287" s="4" t="s">
        <v>10622</v>
      </c>
      <c r="C5287" s="4" t="s">
        <v>51</v>
      </c>
      <c r="D5287" s="2">
        <f>22365606/(10^6)</f>
        <v>22.365606</v>
      </c>
      <c r="E5287" s="5">
        <v>34.5</v>
      </c>
      <c r="F5287" s="5">
        <v>2.54665946960449</v>
      </c>
      <c r="G5287" s="5">
        <v>2.48262882232666</v>
      </c>
      <c r="H5287" s="5" t="s">
        <v>86</v>
      </c>
      <c r="I5287" t="s">
        <v>57</v>
      </c>
    </row>
    <row r="5288" spans="1:9">
      <c r="A5288" s="4" t="s">
        <v>10623</v>
      </c>
      <c r="B5288" s="4" t="s">
        <v>10624</v>
      </c>
      <c r="C5288" s="4" t="s">
        <v>37</v>
      </c>
      <c r="D5288" s="2">
        <f>22317342/(10^6)</f>
        <v>22.317342</v>
      </c>
      <c r="E5288" s="5" t="s">
        <v>86</v>
      </c>
      <c r="F5288" s="5">
        <v>0.237881049513817</v>
      </c>
      <c r="G5288" s="5" t="s">
        <v>86</v>
      </c>
      <c r="H5288" s="5" t="s">
        <v>86</v>
      </c>
      <c r="I5288" t="s">
        <v>57</v>
      </c>
    </row>
    <row r="5289" spans="1:9">
      <c r="A5289" s="4" t="s">
        <v>10625</v>
      </c>
      <c r="B5289" s="4" t="s">
        <v>10626</v>
      </c>
      <c r="C5289" s="4" t="s">
        <v>47</v>
      </c>
      <c r="D5289" s="2">
        <f>22257372/(10^6)</f>
        <v>22.257372</v>
      </c>
      <c r="E5289" s="5">
        <v>25.4974670410156</v>
      </c>
      <c r="F5289" s="5">
        <v>0.994671881198883</v>
      </c>
      <c r="G5289" s="5">
        <v>0.265524476766586</v>
      </c>
      <c r="H5289" s="5">
        <v>26.7957496643066</v>
      </c>
      <c r="I5289" t="s">
        <v>57</v>
      </c>
    </row>
    <row r="5290" spans="1:9">
      <c r="A5290" s="4" t="s">
        <v>10627</v>
      </c>
      <c r="B5290" s="4" t="s">
        <v>10628</v>
      </c>
      <c r="C5290" s="4" t="s">
        <v>27</v>
      </c>
      <c r="D5290" s="2">
        <f>22250632/(10^6)</f>
        <v>22.250632</v>
      </c>
      <c r="E5290" s="5" t="s">
        <v>86</v>
      </c>
      <c r="F5290" s="5">
        <v>0.190200731158257</v>
      </c>
      <c r="G5290" s="5">
        <v>0.031507562845945</v>
      </c>
      <c r="H5290" s="5">
        <v>4.66313743591309</v>
      </c>
      <c r="I5290" t="s">
        <v>57</v>
      </c>
    </row>
    <row r="5291" spans="1:9">
      <c r="A5291" s="4" t="s">
        <v>10629</v>
      </c>
      <c r="B5291" s="4" t="s">
        <v>10630</v>
      </c>
      <c r="C5291" s="4" t="s">
        <v>49</v>
      </c>
      <c r="D5291" s="2">
        <f>22236756/(10^6)</f>
        <v>22.236756</v>
      </c>
      <c r="E5291" s="5" t="s">
        <v>86</v>
      </c>
      <c r="F5291" s="5" t="s">
        <v>86</v>
      </c>
      <c r="G5291" s="5" t="s">
        <v>86</v>
      </c>
      <c r="H5291" s="5" t="s">
        <v>86</v>
      </c>
      <c r="I5291" t="s">
        <v>57</v>
      </c>
    </row>
    <row r="5292" spans="1:9">
      <c r="A5292" s="4" t="s">
        <v>10631</v>
      </c>
      <c r="B5292" s="4" t="s">
        <v>10632</v>
      </c>
      <c r="C5292" s="4" t="s">
        <v>43</v>
      </c>
      <c r="D5292" s="2">
        <f>22235674/(10^6)</f>
        <v>22.235674</v>
      </c>
      <c r="E5292" s="5" t="s">
        <v>86</v>
      </c>
      <c r="F5292" s="5" t="s">
        <v>86</v>
      </c>
      <c r="G5292" s="5" t="s">
        <v>86</v>
      </c>
      <c r="H5292" s="5" t="s">
        <v>86</v>
      </c>
      <c r="I5292" t="s">
        <v>57</v>
      </c>
    </row>
    <row r="5293" spans="1:9">
      <c r="A5293" s="4" t="s">
        <v>10633</v>
      </c>
      <c r="B5293" s="4" t="s">
        <v>10634</v>
      </c>
      <c r="C5293" s="4" t="s">
        <v>47</v>
      </c>
      <c r="D5293" s="2">
        <f>22177784/(10^6)</f>
        <v>22.177784</v>
      </c>
      <c r="E5293" s="5" t="s">
        <v>86</v>
      </c>
      <c r="F5293" s="5" t="s">
        <v>86</v>
      </c>
      <c r="G5293" s="5">
        <v>2.75322318077087</v>
      </c>
      <c r="H5293" s="5" t="s">
        <v>86</v>
      </c>
      <c r="I5293" t="s">
        <v>57</v>
      </c>
    </row>
    <row r="5294" spans="1:9">
      <c r="A5294" s="4" t="s">
        <v>10635</v>
      </c>
      <c r="B5294" s="4" t="s">
        <v>10636</v>
      </c>
      <c r="C5294" s="4" t="s">
        <v>43</v>
      </c>
      <c r="D5294" s="2">
        <f>22152534/(10^6)</f>
        <v>22.152534</v>
      </c>
      <c r="E5294" s="5">
        <v>5.81775665283203</v>
      </c>
      <c r="F5294" s="5">
        <v>1.53776073455811</v>
      </c>
      <c r="G5294" s="5">
        <v>2.10151410102844</v>
      </c>
      <c r="H5294" s="5" t="s">
        <v>86</v>
      </c>
      <c r="I5294" t="s">
        <v>57</v>
      </c>
    </row>
    <row r="5295" spans="1:9">
      <c r="A5295" s="4" t="s">
        <v>10637</v>
      </c>
      <c r="B5295" s="4" t="s">
        <v>10638</v>
      </c>
      <c r="C5295" s="4" t="s">
        <v>41</v>
      </c>
      <c r="D5295" s="2">
        <f>22148500/(10^6)</f>
        <v>22.1485</v>
      </c>
      <c r="E5295" s="5" t="s">
        <v>86</v>
      </c>
      <c r="F5295" s="5">
        <v>5.10701513290405</v>
      </c>
      <c r="G5295" s="5">
        <v>39.1459083557129</v>
      </c>
      <c r="H5295" s="5" t="s">
        <v>86</v>
      </c>
      <c r="I5295" t="s">
        <v>57</v>
      </c>
    </row>
    <row r="5296" spans="1:9">
      <c r="A5296" s="4" t="s">
        <v>10639</v>
      </c>
      <c r="B5296" s="4" t="s">
        <v>10640</v>
      </c>
      <c r="C5296" s="4" t="s">
        <v>33</v>
      </c>
      <c r="D5296" s="2">
        <f>22092756/(10^6)</f>
        <v>22.092756</v>
      </c>
      <c r="E5296" s="5" t="s">
        <v>86</v>
      </c>
      <c r="F5296" s="5" t="s">
        <v>86</v>
      </c>
      <c r="G5296" s="5" t="s">
        <v>86</v>
      </c>
      <c r="H5296" s="5" t="s">
        <v>86</v>
      </c>
      <c r="I5296" t="s">
        <v>57</v>
      </c>
    </row>
    <row r="5297" spans="1:9">
      <c r="A5297" s="4" t="s">
        <v>10641</v>
      </c>
      <c r="B5297" s="4" t="s">
        <v>10642</v>
      </c>
      <c r="C5297" s="4" t="s">
        <v>33</v>
      </c>
      <c r="D5297" s="2">
        <f>22045800/(10^6)</f>
        <v>22.0458</v>
      </c>
      <c r="E5297" s="5" t="s">
        <v>86</v>
      </c>
      <c r="F5297" s="5">
        <v>4.22949552536011</v>
      </c>
      <c r="G5297" s="5">
        <v>0.655611574649811</v>
      </c>
      <c r="H5297" s="5" t="s">
        <v>86</v>
      </c>
      <c r="I5297" t="s">
        <v>57</v>
      </c>
    </row>
    <row r="5298" spans="1:9">
      <c r="A5298" s="4" t="s">
        <v>10643</v>
      </c>
      <c r="B5298" s="4" t="s">
        <v>10644</v>
      </c>
      <c r="C5298" s="4" t="s">
        <v>47</v>
      </c>
      <c r="D5298" s="2">
        <f>22037478/(10^6)</f>
        <v>22.037478</v>
      </c>
      <c r="E5298" s="5" t="s">
        <v>86</v>
      </c>
      <c r="F5298" s="5" t="s">
        <v>86</v>
      </c>
      <c r="G5298" s="5">
        <v>0.34096485376358</v>
      </c>
      <c r="H5298" s="5" t="s">
        <v>86</v>
      </c>
      <c r="I5298" t="s">
        <v>57</v>
      </c>
    </row>
    <row r="5299" spans="1:9">
      <c r="A5299" s="4" t="s">
        <v>10645</v>
      </c>
      <c r="B5299" s="4" t="s">
        <v>10646</v>
      </c>
      <c r="C5299" s="4" t="s">
        <v>41</v>
      </c>
      <c r="D5299" s="2">
        <f>22002522/(10^6)</f>
        <v>22.002522</v>
      </c>
      <c r="E5299" s="5" t="s">
        <v>86</v>
      </c>
      <c r="F5299" s="5" t="s">
        <v>86</v>
      </c>
      <c r="G5299" s="5">
        <v>32.2102699279785</v>
      </c>
      <c r="H5299" s="5" t="s">
        <v>86</v>
      </c>
      <c r="I5299" t="s">
        <v>57</v>
      </c>
    </row>
    <row r="5300" spans="1:9">
      <c r="A5300" s="4" t="s">
        <v>10647</v>
      </c>
      <c r="B5300" s="4" t="s">
        <v>10648</v>
      </c>
      <c r="C5300" s="4" t="s">
        <v>27</v>
      </c>
      <c r="D5300" s="2">
        <f>21975882/(10^6)</f>
        <v>21.975882</v>
      </c>
      <c r="E5300" s="5" t="s">
        <v>86</v>
      </c>
      <c r="F5300" s="5">
        <v>0.050612784922123</v>
      </c>
      <c r="G5300" s="5">
        <v>0.093207895755768</v>
      </c>
      <c r="H5300" s="5" t="s">
        <v>86</v>
      </c>
      <c r="I5300" t="s">
        <v>57</v>
      </c>
    </row>
    <row r="5301" spans="1:9">
      <c r="A5301" s="4" t="s">
        <v>10649</v>
      </c>
      <c r="B5301" s="4" t="s">
        <v>10650</v>
      </c>
      <c r="C5301" s="4" t="s">
        <v>43</v>
      </c>
      <c r="D5301" s="2">
        <f>21966726/(10^6)</f>
        <v>21.966726</v>
      </c>
      <c r="E5301" s="5" t="s">
        <v>86</v>
      </c>
      <c r="F5301" s="5">
        <v>0.44160732626915</v>
      </c>
      <c r="G5301" s="5">
        <v>0.10272990912199</v>
      </c>
      <c r="H5301" s="5">
        <v>8.69458198547363</v>
      </c>
      <c r="I5301" t="s">
        <v>57</v>
      </c>
    </row>
    <row r="5302" spans="1:9">
      <c r="A5302" s="4" t="s">
        <v>10651</v>
      </c>
      <c r="B5302" s="4" t="s">
        <v>10652</v>
      </c>
      <c r="C5302" s="4" t="s">
        <v>27</v>
      </c>
      <c r="D5302" s="2">
        <f>21934986/(10^6)</f>
        <v>21.934986</v>
      </c>
      <c r="E5302" s="5" t="s">
        <v>86</v>
      </c>
      <c r="F5302" s="5">
        <v>1.56410479545593</v>
      </c>
      <c r="G5302" s="5">
        <v>0.388594448566437</v>
      </c>
      <c r="H5302" s="5">
        <v>7.80967855453491</v>
      </c>
      <c r="I5302" t="s">
        <v>57</v>
      </c>
    </row>
    <row r="5303" spans="1:9">
      <c r="A5303" s="4" t="s">
        <v>10653</v>
      </c>
      <c r="B5303" s="4" t="s">
        <v>10654</v>
      </c>
      <c r="C5303" s="4" t="s">
        <v>43</v>
      </c>
      <c r="D5303" s="2">
        <f>21831236/(10^6)</f>
        <v>21.831236</v>
      </c>
      <c r="E5303" s="5" t="s">
        <v>86</v>
      </c>
      <c r="F5303" s="5" t="s">
        <v>86</v>
      </c>
      <c r="G5303" s="5" t="s">
        <v>86</v>
      </c>
      <c r="H5303" s="5" t="s">
        <v>86</v>
      </c>
      <c r="I5303" t="s">
        <v>57</v>
      </c>
    </row>
    <row r="5304" spans="1:9">
      <c r="A5304" s="4" t="s">
        <v>10655</v>
      </c>
      <c r="B5304" s="4" t="s">
        <v>10656</v>
      </c>
      <c r="C5304" s="4" t="s">
        <v>41</v>
      </c>
      <c r="D5304" s="2">
        <f>21818680/(10^6)</f>
        <v>21.81868</v>
      </c>
      <c r="E5304" s="5" t="s">
        <v>86</v>
      </c>
      <c r="F5304" s="5" t="s">
        <v>86</v>
      </c>
      <c r="G5304" s="5" t="s">
        <v>86</v>
      </c>
      <c r="H5304" s="5" t="s">
        <v>86</v>
      </c>
      <c r="I5304" t="s">
        <v>57</v>
      </c>
    </row>
    <row r="5305" spans="1:9">
      <c r="A5305" s="4" t="s">
        <v>10657</v>
      </c>
      <c r="B5305" s="4" t="s">
        <v>10658</v>
      </c>
      <c r="C5305" s="4" t="s">
        <v>41</v>
      </c>
      <c r="D5305" s="2">
        <f>21800516/(10^6)</f>
        <v>21.800516</v>
      </c>
      <c r="E5305" s="5" t="s">
        <v>86</v>
      </c>
      <c r="F5305" s="5" t="s">
        <v>86</v>
      </c>
      <c r="G5305" s="5">
        <v>0.416080474853516</v>
      </c>
      <c r="H5305" s="5" t="s">
        <v>86</v>
      </c>
      <c r="I5305" t="s">
        <v>57</v>
      </c>
    </row>
    <row r="5306" spans="1:9">
      <c r="A5306" s="4" t="s">
        <v>10659</v>
      </c>
      <c r="B5306" s="4" t="s">
        <v>10660</v>
      </c>
      <c r="C5306" s="4" t="s">
        <v>33</v>
      </c>
      <c r="D5306" s="2">
        <f>21750000/(10^6)</f>
        <v>21.75</v>
      </c>
      <c r="E5306" s="5" t="s">
        <v>86</v>
      </c>
      <c r="F5306" s="5" t="s">
        <v>86</v>
      </c>
      <c r="G5306" s="5" t="s">
        <v>86</v>
      </c>
      <c r="H5306" s="5" t="s">
        <v>86</v>
      </c>
      <c r="I5306" t="s">
        <v>57</v>
      </c>
    </row>
    <row r="5307" spans="1:9">
      <c r="A5307" s="4" t="s">
        <v>10661</v>
      </c>
      <c r="B5307" s="4" t="s">
        <v>10662</v>
      </c>
      <c r="C5307" s="4" t="s">
        <v>41</v>
      </c>
      <c r="D5307" s="2">
        <f>21721766/(10^6)</f>
        <v>21.721766</v>
      </c>
      <c r="E5307" s="5" t="s">
        <v>86</v>
      </c>
      <c r="F5307" s="5">
        <v>3.16433691978455</v>
      </c>
      <c r="G5307" s="5">
        <v>1.28538262844086</v>
      </c>
      <c r="H5307" s="5" t="s">
        <v>86</v>
      </c>
      <c r="I5307" t="s">
        <v>57</v>
      </c>
    </row>
    <row r="5308" spans="1:9">
      <c r="A5308" s="4" t="s">
        <v>10663</v>
      </c>
      <c r="B5308" s="4" t="s">
        <v>6966</v>
      </c>
      <c r="C5308" s="4" t="s">
        <v>43</v>
      </c>
      <c r="D5308" s="2">
        <f>21711410/(10^6)</f>
        <v>21.71141</v>
      </c>
      <c r="E5308" s="5">
        <v>9.85915470123291</v>
      </c>
      <c r="F5308" s="5">
        <v>0.576398432254791</v>
      </c>
      <c r="G5308" s="5">
        <v>1.96525847911835</v>
      </c>
      <c r="H5308" s="5" t="s">
        <v>86</v>
      </c>
      <c r="I5308" t="s">
        <v>57</v>
      </c>
    </row>
    <row r="5309" spans="1:9">
      <c r="A5309" s="4" t="s">
        <v>10664</v>
      </c>
      <c r="B5309" s="4" t="s">
        <v>10665</v>
      </c>
      <c r="C5309" s="4" t="s">
        <v>49</v>
      </c>
      <c r="D5309" s="2">
        <f>21706768/(10^6)</f>
        <v>21.706768</v>
      </c>
      <c r="E5309" s="5" t="s">
        <v>86</v>
      </c>
      <c r="F5309" s="5" t="s">
        <v>86</v>
      </c>
      <c r="G5309" s="5" t="s">
        <v>86</v>
      </c>
      <c r="H5309" s="5" t="s">
        <v>86</v>
      </c>
      <c r="I5309" t="s">
        <v>57</v>
      </c>
    </row>
    <row r="5310" spans="1:9">
      <c r="A5310" s="4" t="s">
        <v>10666</v>
      </c>
      <c r="B5310" s="4" t="s">
        <v>10667</v>
      </c>
      <c r="C5310" s="4" t="s">
        <v>41</v>
      </c>
      <c r="D5310" s="2">
        <f>21689112/(10^6)</f>
        <v>21.689112</v>
      </c>
      <c r="E5310" s="5" t="s">
        <v>86</v>
      </c>
      <c r="F5310" s="5" t="s">
        <v>86</v>
      </c>
      <c r="G5310" s="5" t="s">
        <v>86</v>
      </c>
      <c r="H5310" s="5" t="s">
        <v>86</v>
      </c>
      <c r="I5310" t="s">
        <v>57</v>
      </c>
    </row>
    <row r="5311" spans="1:9">
      <c r="A5311" s="4" t="s">
        <v>10668</v>
      </c>
      <c r="B5311" s="4" t="s">
        <v>10669</v>
      </c>
      <c r="C5311" s="4" t="s">
        <v>37</v>
      </c>
      <c r="D5311" s="2">
        <f>21657290/(10^6)</f>
        <v>21.65729</v>
      </c>
      <c r="E5311" s="5" t="s">
        <v>86</v>
      </c>
      <c r="F5311" s="5" t="s">
        <v>86</v>
      </c>
      <c r="G5311" s="5" t="s">
        <v>86</v>
      </c>
      <c r="H5311" s="5" t="s">
        <v>86</v>
      </c>
      <c r="I5311" t="s">
        <v>57</v>
      </c>
    </row>
    <row r="5312" spans="1:9">
      <c r="A5312" s="4" t="s">
        <v>10670</v>
      </c>
      <c r="B5312" s="4" t="s">
        <v>10671</v>
      </c>
      <c r="C5312" s="4" t="s">
        <v>31</v>
      </c>
      <c r="D5312" s="2">
        <f>21503928/(10^6)</f>
        <v>21.503928</v>
      </c>
      <c r="E5312" s="5" t="s">
        <v>86</v>
      </c>
      <c r="F5312" s="5">
        <v>0.524941086769104</v>
      </c>
      <c r="G5312" s="5">
        <v>0.117017537355423</v>
      </c>
      <c r="H5312" s="5">
        <v>7.1235761642456</v>
      </c>
      <c r="I5312" t="s">
        <v>57</v>
      </c>
    </row>
    <row r="5313" spans="1:9">
      <c r="A5313" s="4" t="s">
        <v>10672</v>
      </c>
      <c r="B5313" s="4" t="s">
        <v>10673</v>
      </c>
      <c r="C5313" s="4" t="s">
        <v>43</v>
      </c>
      <c r="D5313" s="2">
        <f>21450000/(10^6)</f>
        <v>21.45</v>
      </c>
      <c r="E5313" s="5" t="s">
        <v>86</v>
      </c>
      <c r="F5313" s="5">
        <v>0.891928970813751</v>
      </c>
      <c r="G5313" s="5" t="s">
        <v>86</v>
      </c>
      <c r="H5313" s="5" t="s">
        <v>86</v>
      </c>
      <c r="I5313" t="s">
        <v>57</v>
      </c>
    </row>
    <row r="5314" spans="1:9">
      <c r="A5314" s="4" t="s">
        <v>10674</v>
      </c>
      <c r="B5314" s="4" t="s">
        <v>10675</v>
      </c>
      <c r="C5314" s="4" t="s">
        <v>27</v>
      </c>
      <c r="D5314" s="2">
        <f>21435712/(10^6)</f>
        <v>21.435712</v>
      </c>
      <c r="E5314" s="5" t="s">
        <v>86</v>
      </c>
      <c r="F5314" s="5">
        <v>0.055095944553614</v>
      </c>
      <c r="G5314" s="5">
        <v>0.024729998782277</v>
      </c>
      <c r="H5314" s="5" t="s">
        <v>86</v>
      </c>
      <c r="I5314" t="s">
        <v>57</v>
      </c>
    </row>
    <row r="5315" spans="1:9">
      <c r="A5315" s="4" t="s">
        <v>10676</v>
      </c>
      <c r="B5315" s="4" t="s">
        <v>10677</v>
      </c>
      <c r="C5315" s="4" t="s">
        <v>47</v>
      </c>
      <c r="D5315" s="2">
        <f>21413568/(10^6)</f>
        <v>21.413568</v>
      </c>
      <c r="E5315" s="5" t="s">
        <v>86</v>
      </c>
      <c r="F5315" s="5">
        <v>0.365850687026978</v>
      </c>
      <c r="G5315" s="5">
        <v>0.044608645141125</v>
      </c>
      <c r="H5315" s="5">
        <v>4.90964317321777</v>
      </c>
      <c r="I5315" t="s">
        <v>57</v>
      </c>
    </row>
    <row r="5316" spans="1:9">
      <c r="A5316" s="4" t="s">
        <v>10678</v>
      </c>
      <c r="B5316" s="4" t="s">
        <v>10679</v>
      </c>
      <c r="C5316" s="4" t="s">
        <v>43</v>
      </c>
      <c r="D5316" s="2">
        <f>21397222/(10^6)</f>
        <v>21.397222</v>
      </c>
      <c r="E5316" s="5" t="s">
        <v>86</v>
      </c>
      <c r="F5316" s="5" t="s">
        <v>86</v>
      </c>
      <c r="G5316" s="5" t="s">
        <v>86</v>
      </c>
      <c r="H5316" s="5" t="s">
        <v>86</v>
      </c>
      <c r="I5316" t="s">
        <v>57</v>
      </c>
    </row>
    <row r="5317" spans="1:9">
      <c r="A5317" s="4" t="s">
        <v>10680</v>
      </c>
      <c r="B5317" s="4" t="s">
        <v>10681</v>
      </c>
      <c r="C5317" s="4" t="s">
        <v>41</v>
      </c>
      <c r="D5317" s="2">
        <f>21288028/(10^6)</f>
        <v>21.288028</v>
      </c>
      <c r="E5317" s="5" t="s">
        <v>86</v>
      </c>
      <c r="F5317" s="5">
        <v>21.8221492767334</v>
      </c>
      <c r="G5317" s="5">
        <v>2.41313505172729</v>
      </c>
      <c r="H5317" s="5" t="s">
        <v>86</v>
      </c>
      <c r="I5317" t="s">
        <v>57</v>
      </c>
    </row>
    <row r="5318" spans="1:9">
      <c r="A5318" s="4" t="s">
        <v>10682</v>
      </c>
      <c r="B5318" s="4" t="s">
        <v>10683</v>
      </c>
      <c r="C5318" s="4" t="s">
        <v>49</v>
      </c>
      <c r="D5318" s="2">
        <f>21252760/(10^6)</f>
        <v>21.25276</v>
      </c>
      <c r="E5318" s="5" t="s">
        <v>86</v>
      </c>
      <c r="F5318" s="5">
        <v>2.60059690475464</v>
      </c>
      <c r="G5318" s="5">
        <v>89.7118606567383</v>
      </c>
      <c r="H5318" s="5" t="s">
        <v>86</v>
      </c>
      <c r="I5318" t="s">
        <v>57</v>
      </c>
    </row>
    <row r="5319" spans="1:9">
      <c r="A5319" s="4" t="s">
        <v>10684</v>
      </c>
      <c r="B5319" s="4" t="s">
        <v>10685</v>
      </c>
      <c r="C5319" s="4" t="s">
        <v>51</v>
      </c>
      <c r="D5319" s="2">
        <f>21241316/(10^6)</f>
        <v>21.241316</v>
      </c>
      <c r="E5319" s="5" t="s">
        <v>86</v>
      </c>
      <c r="F5319" s="5">
        <v>0.646992981433868</v>
      </c>
      <c r="G5319" s="5">
        <v>6.11595439910889</v>
      </c>
      <c r="H5319" s="5" t="s">
        <v>86</v>
      </c>
      <c r="I5319" t="s">
        <v>57</v>
      </c>
    </row>
    <row r="5320" spans="1:9">
      <c r="A5320" s="4" t="s">
        <v>10686</v>
      </c>
      <c r="B5320" s="4" t="s">
        <v>10687</v>
      </c>
      <c r="C5320" s="4" t="s">
        <v>43</v>
      </c>
      <c r="D5320" s="2">
        <f>21234322/(10^6)</f>
        <v>21.234322</v>
      </c>
      <c r="E5320" s="5">
        <v>13.4107151031494</v>
      </c>
      <c r="F5320" s="5">
        <v>0.595132350921631</v>
      </c>
      <c r="G5320" s="5">
        <v>1.34081554412842</v>
      </c>
      <c r="H5320" s="5" t="s">
        <v>86</v>
      </c>
      <c r="I5320" t="s">
        <v>57</v>
      </c>
    </row>
    <row r="5321" spans="1:9">
      <c r="A5321" s="4" t="s">
        <v>10688</v>
      </c>
      <c r="B5321" s="4" t="s">
        <v>10689</v>
      </c>
      <c r="C5321" s="4" t="s">
        <v>51</v>
      </c>
      <c r="D5321" s="2">
        <f>21206278/(10^6)</f>
        <v>21.206278</v>
      </c>
      <c r="E5321" s="5" t="s">
        <v>86</v>
      </c>
      <c r="F5321" s="5">
        <v>0.914624392986298</v>
      </c>
      <c r="G5321" s="5">
        <v>0.535537719726563</v>
      </c>
      <c r="H5321" s="5" t="s">
        <v>86</v>
      </c>
      <c r="I5321" t="s">
        <v>57</v>
      </c>
    </row>
    <row r="5322" spans="1:9">
      <c r="A5322" s="4" t="s">
        <v>10690</v>
      </c>
      <c r="B5322" s="4" t="s">
        <v>10691</v>
      </c>
      <c r="C5322" s="4" t="s">
        <v>51</v>
      </c>
      <c r="D5322" s="2">
        <f>21199094/(10^6)</f>
        <v>21.199094</v>
      </c>
      <c r="E5322" s="5">
        <v>11.7394514083862</v>
      </c>
      <c r="F5322" s="5">
        <v>0.799272298812866</v>
      </c>
      <c r="G5322" s="5">
        <v>0.236472100019455</v>
      </c>
      <c r="H5322" s="5" t="s">
        <v>86</v>
      </c>
      <c r="I5322" t="s">
        <v>57</v>
      </c>
    </row>
    <row r="5323" spans="1:9">
      <c r="A5323" s="4" t="s">
        <v>10692</v>
      </c>
      <c r="B5323" s="4" t="s">
        <v>10693</v>
      </c>
      <c r="C5323" s="4" t="s">
        <v>41</v>
      </c>
      <c r="D5323" s="2">
        <f>21188568/(10^6)</f>
        <v>21.188568</v>
      </c>
      <c r="E5323" s="5" t="s">
        <v>86</v>
      </c>
      <c r="F5323" s="5">
        <v>0.865994274616241</v>
      </c>
      <c r="G5323" s="5">
        <v>0.721405386924744</v>
      </c>
      <c r="H5323" s="5" t="s">
        <v>86</v>
      </c>
      <c r="I5323" t="s">
        <v>57</v>
      </c>
    </row>
    <row r="5324" spans="1:9">
      <c r="A5324" s="4" t="s">
        <v>10694</v>
      </c>
      <c r="B5324" s="4" t="s">
        <v>10695</v>
      </c>
      <c r="C5324" s="4" t="s">
        <v>49</v>
      </c>
      <c r="D5324" s="2">
        <f>21177490/(10^6)</f>
        <v>21.17749</v>
      </c>
      <c r="E5324" s="5" t="s">
        <v>86</v>
      </c>
      <c r="F5324" s="5" t="s">
        <v>86</v>
      </c>
      <c r="G5324" s="5" t="s">
        <v>86</v>
      </c>
      <c r="H5324" s="5" t="s">
        <v>86</v>
      </c>
      <c r="I5324" t="s">
        <v>57</v>
      </c>
    </row>
    <row r="5325" spans="1:9">
      <c r="A5325" s="4" t="s">
        <v>10696</v>
      </c>
      <c r="B5325" s="4" t="s">
        <v>10697</v>
      </c>
      <c r="C5325" s="4" t="s">
        <v>41</v>
      </c>
      <c r="D5325" s="2">
        <f>21105762/(10^6)</f>
        <v>21.105762</v>
      </c>
      <c r="E5325" s="5" t="s">
        <v>86</v>
      </c>
      <c r="F5325" s="5">
        <v>0.577680826187134</v>
      </c>
      <c r="G5325" s="5" t="s">
        <v>86</v>
      </c>
      <c r="H5325" s="5" t="s">
        <v>86</v>
      </c>
      <c r="I5325" t="s">
        <v>57</v>
      </c>
    </row>
    <row r="5326" spans="1:9">
      <c r="A5326" s="4" t="s">
        <v>10698</v>
      </c>
      <c r="B5326" s="4" t="s">
        <v>10699</v>
      </c>
      <c r="C5326" s="4" t="s">
        <v>37</v>
      </c>
      <c r="D5326" s="2">
        <f>21057836/(10^6)</f>
        <v>21.057836</v>
      </c>
      <c r="E5326" s="5" t="s">
        <v>86</v>
      </c>
      <c r="F5326" s="5" t="s">
        <v>86</v>
      </c>
      <c r="G5326" s="5" t="s">
        <v>86</v>
      </c>
      <c r="H5326" s="5" t="s">
        <v>86</v>
      </c>
      <c r="I5326" t="s">
        <v>57</v>
      </c>
    </row>
    <row r="5327" spans="1:9">
      <c r="A5327" s="4" t="s">
        <v>10700</v>
      </c>
      <c r="B5327" s="4" t="s">
        <v>10701</v>
      </c>
      <c r="C5327" s="4" t="s">
        <v>45</v>
      </c>
      <c r="D5327" s="2">
        <f>21054056/(10^6)</f>
        <v>21.054056</v>
      </c>
      <c r="E5327" s="5" t="s">
        <v>86</v>
      </c>
      <c r="F5327" s="5">
        <v>0.671160340309143</v>
      </c>
      <c r="G5327" s="5" t="s">
        <v>86</v>
      </c>
      <c r="H5327" s="5" t="s">
        <v>86</v>
      </c>
      <c r="I5327" t="s">
        <v>57</v>
      </c>
    </row>
    <row r="5328" spans="1:9">
      <c r="A5328" s="4" t="s">
        <v>10702</v>
      </c>
      <c r="B5328" s="4" t="s">
        <v>10703</v>
      </c>
      <c r="C5328" s="4" t="s">
        <v>51</v>
      </c>
      <c r="D5328" s="2">
        <f>21037596/(10^6)</f>
        <v>21.037596</v>
      </c>
      <c r="E5328" s="5" t="s">
        <v>86</v>
      </c>
      <c r="F5328" s="5" t="s">
        <v>86</v>
      </c>
      <c r="G5328" s="5">
        <v>0.542230486869812</v>
      </c>
      <c r="H5328" s="5" t="s">
        <v>86</v>
      </c>
      <c r="I5328" t="s">
        <v>57</v>
      </c>
    </row>
    <row r="5329" spans="1:9">
      <c r="A5329" s="4" t="s">
        <v>10704</v>
      </c>
      <c r="B5329" s="4" t="s">
        <v>10705</v>
      </c>
      <c r="C5329" s="4" t="s">
        <v>39</v>
      </c>
      <c r="D5329" s="2">
        <f>21034272/(10^6)</f>
        <v>21.034272</v>
      </c>
      <c r="E5329" s="5" t="s">
        <v>86</v>
      </c>
      <c r="F5329" s="5" t="s">
        <v>86</v>
      </c>
      <c r="G5329" s="5" t="s">
        <v>86</v>
      </c>
      <c r="H5329" s="5" t="s">
        <v>86</v>
      </c>
      <c r="I5329" t="s">
        <v>57</v>
      </c>
    </row>
    <row r="5330" spans="1:9">
      <c r="A5330" s="4" t="s">
        <v>10706</v>
      </c>
      <c r="B5330" s="4" t="s">
        <v>10707</v>
      </c>
      <c r="C5330" s="4" t="s">
        <v>47</v>
      </c>
      <c r="D5330" s="2">
        <f>21021298/(10^6)</f>
        <v>21.021298</v>
      </c>
      <c r="E5330" s="5">
        <v>6.07429695129395</v>
      </c>
      <c r="F5330" s="5">
        <v>0.541576683521271</v>
      </c>
      <c r="G5330" s="5">
        <v>0.176280707120895</v>
      </c>
      <c r="H5330" s="5">
        <v>2.61464738845825</v>
      </c>
      <c r="I5330" t="s">
        <v>57</v>
      </c>
    </row>
    <row r="5331" spans="1:9">
      <c r="A5331" s="4" t="s">
        <v>10708</v>
      </c>
      <c r="B5331" s="4" t="s">
        <v>10709</v>
      </c>
      <c r="C5331" s="4" t="s">
        <v>49</v>
      </c>
      <c r="D5331" s="2">
        <f>20888516/(10^6)</f>
        <v>20.888516</v>
      </c>
      <c r="E5331" s="5" t="s">
        <v>86</v>
      </c>
      <c r="F5331" s="5" t="s">
        <v>86</v>
      </c>
      <c r="G5331" s="5" t="s">
        <v>86</v>
      </c>
      <c r="H5331" s="5" t="s">
        <v>86</v>
      </c>
      <c r="I5331" t="s">
        <v>57</v>
      </c>
    </row>
    <row r="5332" spans="1:9">
      <c r="A5332" s="4" t="s">
        <v>10710</v>
      </c>
      <c r="B5332" s="4" t="s">
        <v>10711</v>
      </c>
      <c r="C5332" s="4" t="s">
        <v>27</v>
      </c>
      <c r="D5332" s="2">
        <f>20853924/(10^6)</f>
        <v>20.853924</v>
      </c>
      <c r="E5332" s="5" t="s">
        <v>86</v>
      </c>
      <c r="F5332" s="5">
        <v>0.391876757144928</v>
      </c>
      <c r="G5332" s="5">
        <v>0.012228852137923</v>
      </c>
      <c r="H5332" s="5">
        <v>4.09871435165405</v>
      </c>
      <c r="I5332" t="s">
        <v>57</v>
      </c>
    </row>
    <row r="5333" spans="1:9">
      <c r="A5333" s="4" t="s">
        <v>10712</v>
      </c>
      <c r="B5333" s="4" t="s">
        <v>10713</v>
      </c>
      <c r="C5333" s="4" t="s">
        <v>49</v>
      </c>
      <c r="D5333" s="2">
        <f>20802548/(10^6)</f>
        <v>20.802548</v>
      </c>
      <c r="E5333" s="5" t="s">
        <v>86</v>
      </c>
      <c r="F5333" s="5" t="s">
        <v>86</v>
      </c>
      <c r="G5333" s="5" t="s">
        <v>86</v>
      </c>
      <c r="H5333" s="5" t="s">
        <v>86</v>
      </c>
      <c r="I5333" t="s">
        <v>57</v>
      </c>
    </row>
    <row r="5334" spans="1:9">
      <c r="A5334" s="4" t="s">
        <v>10714</v>
      </c>
      <c r="B5334" s="4" t="s">
        <v>10715</v>
      </c>
      <c r="C5334" s="4" t="s">
        <v>45</v>
      </c>
      <c r="D5334" s="2">
        <f>20793688/(10^6)</f>
        <v>20.793688</v>
      </c>
      <c r="E5334" s="5" t="s">
        <v>86</v>
      </c>
      <c r="F5334" s="5" t="s">
        <v>86</v>
      </c>
      <c r="G5334" s="5" t="s">
        <v>86</v>
      </c>
      <c r="H5334" s="5" t="s">
        <v>86</v>
      </c>
      <c r="I5334" t="s">
        <v>57</v>
      </c>
    </row>
    <row r="5335" spans="1:9">
      <c r="A5335" s="4" t="s">
        <v>10716</v>
      </c>
      <c r="B5335" s="4" t="s">
        <v>10717</v>
      </c>
      <c r="C5335" s="4" t="s">
        <v>41</v>
      </c>
      <c r="D5335" s="2">
        <f>20774130/(10^6)</f>
        <v>20.77413</v>
      </c>
      <c r="E5335" s="5" t="s">
        <v>86</v>
      </c>
      <c r="F5335" s="5">
        <v>2.76472020149231</v>
      </c>
      <c r="G5335" s="5">
        <v>4.87696218490601</v>
      </c>
      <c r="H5335" s="5" t="s">
        <v>86</v>
      </c>
      <c r="I5335" t="s">
        <v>57</v>
      </c>
    </row>
    <row r="5336" spans="1:9">
      <c r="A5336" s="4" t="s">
        <v>10718</v>
      </c>
      <c r="B5336" s="4" t="s">
        <v>10719</v>
      </c>
      <c r="C5336" s="4" t="s">
        <v>47</v>
      </c>
      <c r="D5336" s="2">
        <f>20722590/(10^6)</f>
        <v>20.72259</v>
      </c>
      <c r="E5336" s="5" t="s">
        <v>86</v>
      </c>
      <c r="F5336" s="5">
        <v>0.216365367174149</v>
      </c>
      <c r="G5336" s="5">
        <v>0.063979782164097</v>
      </c>
      <c r="H5336" s="5">
        <v>23.9472675323486</v>
      </c>
      <c r="I5336" t="s">
        <v>57</v>
      </c>
    </row>
    <row r="5337" spans="1:9">
      <c r="A5337" s="4" t="s">
        <v>10720</v>
      </c>
      <c r="B5337" s="4" t="s">
        <v>10721</v>
      </c>
      <c r="C5337" s="4" t="s">
        <v>41</v>
      </c>
      <c r="D5337" s="2">
        <f>20684370/(10^6)</f>
        <v>20.68437</v>
      </c>
      <c r="E5337" s="5" t="s">
        <v>86</v>
      </c>
      <c r="F5337" s="5">
        <v>0.485064595937729</v>
      </c>
      <c r="G5337" s="5">
        <v>0.139652714133263</v>
      </c>
      <c r="H5337" s="5">
        <v>19.2545070648193</v>
      </c>
      <c r="I5337" t="s">
        <v>57</v>
      </c>
    </row>
    <row r="5338" spans="1:9">
      <c r="A5338" s="4" t="s">
        <v>10722</v>
      </c>
      <c r="B5338" s="4" t="s">
        <v>10723</v>
      </c>
      <c r="C5338" s="4" t="s">
        <v>31</v>
      </c>
      <c r="D5338" s="2">
        <f>20683298/(10^6)</f>
        <v>20.683298</v>
      </c>
      <c r="E5338" s="5">
        <v>3.67415571212769</v>
      </c>
      <c r="F5338" s="5">
        <v>0.45992523431778</v>
      </c>
      <c r="G5338" s="5">
        <v>0.035955987870693</v>
      </c>
      <c r="H5338" s="5">
        <v>4.02106380462646</v>
      </c>
      <c r="I5338" t="s">
        <v>57</v>
      </c>
    </row>
    <row r="5339" spans="1:9">
      <c r="A5339" s="4" t="s">
        <v>10724</v>
      </c>
      <c r="B5339" s="4" t="s">
        <v>10725</v>
      </c>
      <c r="C5339" s="4" t="s">
        <v>51</v>
      </c>
      <c r="D5339" s="2">
        <f>20578164/(10^6)</f>
        <v>20.578164</v>
      </c>
      <c r="E5339" s="5">
        <v>5.40000057220459</v>
      </c>
      <c r="F5339" s="5">
        <v>0.620440781116486</v>
      </c>
      <c r="G5339" s="5">
        <v>0.323822945356369</v>
      </c>
      <c r="H5339" s="5" t="s">
        <v>86</v>
      </c>
      <c r="I5339" t="s">
        <v>57</v>
      </c>
    </row>
    <row r="5340" spans="1:9">
      <c r="A5340" s="4" t="s">
        <v>10726</v>
      </c>
      <c r="B5340" s="4" t="s">
        <v>10727</v>
      </c>
      <c r="C5340" s="4" t="s">
        <v>41</v>
      </c>
      <c r="D5340" s="2">
        <f>20563734/(10^6)</f>
        <v>20.563734</v>
      </c>
      <c r="E5340" s="5" t="s">
        <v>86</v>
      </c>
      <c r="F5340" s="5">
        <v>1.82965981960297</v>
      </c>
      <c r="G5340" s="5">
        <v>2.07917380332947</v>
      </c>
      <c r="H5340" s="5" t="s">
        <v>86</v>
      </c>
      <c r="I5340" t="s">
        <v>57</v>
      </c>
    </row>
    <row r="5341" spans="1:9">
      <c r="A5341" s="4" t="s">
        <v>10728</v>
      </c>
      <c r="B5341" s="4" t="s">
        <v>10729</v>
      </c>
      <c r="C5341" s="4" t="s">
        <v>41</v>
      </c>
      <c r="D5341" s="2">
        <f>20486512/(10^6)</f>
        <v>20.486512</v>
      </c>
      <c r="E5341" s="5" t="s">
        <v>86</v>
      </c>
      <c r="F5341" s="5">
        <v>2.56333494186401</v>
      </c>
      <c r="G5341" s="5">
        <v>64.6383819580078</v>
      </c>
      <c r="H5341" s="5" t="s">
        <v>86</v>
      </c>
      <c r="I5341" t="s">
        <v>57</v>
      </c>
    </row>
    <row r="5342" spans="1:9">
      <c r="A5342" s="4" t="s">
        <v>10730</v>
      </c>
      <c r="B5342" s="4" t="s">
        <v>10731</v>
      </c>
      <c r="C5342" s="4" t="s">
        <v>43</v>
      </c>
      <c r="D5342" s="2">
        <f>20453024/(10^6)</f>
        <v>20.453024</v>
      </c>
      <c r="E5342" s="5">
        <v>12.9328918457031</v>
      </c>
      <c r="F5342" s="5" t="s">
        <v>86</v>
      </c>
      <c r="G5342" s="5" t="s">
        <v>86</v>
      </c>
      <c r="H5342" s="5" t="s">
        <v>86</v>
      </c>
      <c r="I5342" t="s">
        <v>57</v>
      </c>
    </row>
    <row r="5343" spans="1:9">
      <c r="A5343" s="4" t="s">
        <v>10732</v>
      </c>
      <c r="B5343" s="4" t="s">
        <v>10733</v>
      </c>
      <c r="C5343" s="4" t="s">
        <v>41</v>
      </c>
      <c r="D5343" s="2">
        <f>20445172/(10^6)</f>
        <v>20.445172</v>
      </c>
      <c r="E5343" s="5" t="s">
        <v>86</v>
      </c>
      <c r="F5343" s="5">
        <v>0.822082757949829</v>
      </c>
      <c r="G5343" s="5">
        <v>298.570220947266</v>
      </c>
      <c r="H5343" s="5" t="s">
        <v>86</v>
      </c>
      <c r="I5343" t="s">
        <v>57</v>
      </c>
    </row>
    <row r="5344" spans="1:9">
      <c r="A5344" s="4" t="s">
        <v>10734</v>
      </c>
      <c r="B5344" s="4" t="s">
        <v>10735</v>
      </c>
      <c r="C5344" s="4" t="s">
        <v>31</v>
      </c>
      <c r="D5344" s="2">
        <f>20370430/(10^6)</f>
        <v>20.37043</v>
      </c>
      <c r="E5344" s="5" t="s">
        <v>86</v>
      </c>
      <c r="F5344" s="5">
        <v>0.599778234958649</v>
      </c>
      <c r="G5344" s="5">
        <v>0.258072525262833</v>
      </c>
      <c r="H5344" s="5" t="s">
        <v>86</v>
      </c>
      <c r="I5344" t="s">
        <v>57</v>
      </c>
    </row>
    <row r="5345" spans="1:9">
      <c r="A5345" s="4" t="s">
        <v>10736</v>
      </c>
      <c r="B5345" s="4" t="s">
        <v>10737</v>
      </c>
      <c r="C5345" s="4" t="s">
        <v>41</v>
      </c>
      <c r="D5345" s="2">
        <f>20315852/(10^6)</f>
        <v>20.315852</v>
      </c>
      <c r="E5345" s="5" t="s">
        <v>86</v>
      </c>
      <c r="F5345" s="5" t="s">
        <v>86</v>
      </c>
      <c r="G5345" s="5" t="s">
        <v>86</v>
      </c>
      <c r="H5345" s="5" t="s">
        <v>86</v>
      </c>
      <c r="I5345" t="s">
        <v>57</v>
      </c>
    </row>
    <row r="5346" spans="1:9">
      <c r="A5346" s="4" t="s">
        <v>10738</v>
      </c>
      <c r="B5346" s="4" t="s">
        <v>10739</v>
      </c>
      <c r="C5346" s="4" t="s">
        <v>35</v>
      </c>
      <c r="D5346" s="2">
        <f>20305512/(10^6)</f>
        <v>20.305512</v>
      </c>
      <c r="E5346" s="5" t="s">
        <v>86</v>
      </c>
      <c r="F5346" s="5" t="s">
        <v>86</v>
      </c>
      <c r="G5346" s="5" t="s">
        <v>86</v>
      </c>
      <c r="H5346" s="5" t="s">
        <v>86</v>
      </c>
      <c r="I5346" t="s">
        <v>57</v>
      </c>
    </row>
    <row r="5347" spans="1:9">
      <c r="A5347" s="4" t="s">
        <v>10740</v>
      </c>
      <c r="B5347" s="4" t="s">
        <v>10741</v>
      </c>
      <c r="C5347" s="4" t="s">
        <v>43</v>
      </c>
      <c r="D5347" s="2">
        <f>20267312/(10^6)</f>
        <v>20.267312</v>
      </c>
      <c r="E5347" s="5" t="s">
        <v>86</v>
      </c>
      <c r="F5347" s="5">
        <v>0.816771805286407</v>
      </c>
      <c r="G5347" s="5">
        <v>1.42981016635895</v>
      </c>
      <c r="H5347" s="5" t="s">
        <v>86</v>
      </c>
      <c r="I5347" t="s">
        <v>57</v>
      </c>
    </row>
    <row r="5348" spans="1:9">
      <c r="A5348" s="4" t="s">
        <v>10742</v>
      </c>
      <c r="B5348" s="4" t="s">
        <v>10743</v>
      </c>
      <c r="C5348" s="4" t="s">
        <v>41</v>
      </c>
      <c r="D5348" s="2">
        <f>20223848/(10^6)</f>
        <v>20.223848</v>
      </c>
      <c r="E5348" s="5" t="s">
        <v>86</v>
      </c>
      <c r="F5348" s="5" t="s">
        <v>86</v>
      </c>
      <c r="G5348" s="5">
        <v>20.6316261291504</v>
      </c>
      <c r="H5348" s="5" t="s">
        <v>86</v>
      </c>
      <c r="I5348" t="s">
        <v>57</v>
      </c>
    </row>
    <row r="5349" spans="1:9">
      <c r="A5349" s="4" t="s">
        <v>10744</v>
      </c>
      <c r="B5349" s="4" t="s">
        <v>10745</v>
      </c>
      <c r="C5349" s="4" t="s">
        <v>43</v>
      </c>
      <c r="D5349" s="2">
        <f>20072472/(10^6)</f>
        <v>20.072472</v>
      </c>
      <c r="E5349" s="5">
        <v>10.0687618255615</v>
      </c>
      <c r="F5349" s="5">
        <v>0.545995235443115</v>
      </c>
      <c r="G5349" s="5">
        <v>1.1873584985733</v>
      </c>
      <c r="H5349" s="5" t="s">
        <v>86</v>
      </c>
      <c r="I5349" t="s">
        <v>57</v>
      </c>
    </row>
    <row r="5350" spans="1:9">
      <c r="A5350" s="4" t="s">
        <v>10746</v>
      </c>
      <c r="B5350" s="4" t="s">
        <v>10747</v>
      </c>
      <c r="C5350" s="4" t="s">
        <v>51</v>
      </c>
      <c r="D5350" s="2">
        <f>20054204/(10^6)</f>
        <v>20.054204</v>
      </c>
      <c r="E5350" s="5" t="s">
        <v>86</v>
      </c>
      <c r="F5350" s="5">
        <v>0.762245118618011</v>
      </c>
      <c r="G5350" s="5">
        <v>0.378422737121582</v>
      </c>
      <c r="H5350" s="5">
        <v>3.37124371528625</v>
      </c>
      <c r="I5350" t="s">
        <v>57</v>
      </c>
    </row>
    <row r="5351" spans="1:9">
      <c r="A5351" s="4" t="s">
        <v>10748</v>
      </c>
      <c r="B5351" s="4" t="s">
        <v>10749</v>
      </c>
      <c r="C5351" s="4" t="s">
        <v>41</v>
      </c>
      <c r="D5351" s="2">
        <f>19968318/(10^6)</f>
        <v>19.968318</v>
      </c>
      <c r="E5351" s="5" t="s">
        <v>86</v>
      </c>
      <c r="F5351" s="5">
        <v>0.463367015123367</v>
      </c>
      <c r="G5351" s="5">
        <v>0.697564303874969</v>
      </c>
      <c r="H5351" s="5" t="s">
        <v>86</v>
      </c>
      <c r="I5351" t="s">
        <v>57</v>
      </c>
    </row>
    <row r="5352" spans="1:9">
      <c r="A5352" s="4" t="s">
        <v>10750</v>
      </c>
      <c r="B5352" s="4" t="s">
        <v>10751</v>
      </c>
      <c r="C5352" s="4" t="s">
        <v>49</v>
      </c>
      <c r="D5352" s="2">
        <f>19951640/(10^6)</f>
        <v>19.95164</v>
      </c>
      <c r="E5352" s="5" t="s">
        <v>86</v>
      </c>
      <c r="F5352" s="5" t="s">
        <v>86</v>
      </c>
      <c r="G5352" s="5" t="s">
        <v>86</v>
      </c>
      <c r="H5352" s="5" t="s">
        <v>86</v>
      </c>
      <c r="I5352" t="s">
        <v>57</v>
      </c>
    </row>
    <row r="5353" spans="1:9">
      <c r="A5353" s="4" t="s">
        <v>10752</v>
      </c>
      <c r="B5353" s="4" t="s">
        <v>10753</v>
      </c>
      <c r="C5353" s="4" t="s">
        <v>47</v>
      </c>
      <c r="D5353" s="2">
        <f>19832322/(10^6)</f>
        <v>19.832322</v>
      </c>
      <c r="E5353" s="5">
        <v>7.60333347320557</v>
      </c>
      <c r="F5353" s="5">
        <v>0.408757209777832</v>
      </c>
      <c r="G5353" s="5">
        <v>0.512128174304962</v>
      </c>
      <c r="H5353" s="5">
        <v>2.73739099502564</v>
      </c>
      <c r="I5353" t="s">
        <v>57</v>
      </c>
    </row>
    <row r="5354" spans="1:9">
      <c r="A5354" s="4" t="s">
        <v>10754</v>
      </c>
      <c r="B5354" s="4" t="s">
        <v>10755</v>
      </c>
      <c r="C5354" s="4" t="s">
        <v>43</v>
      </c>
      <c r="D5354" s="2">
        <f>19814102/(10^6)</f>
        <v>19.814102</v>
      </c>
      <c r="E5354" s="5">
        <v>26.6870956420898</v>
      </c>
      <c r="F5354" s="5">
        <v>0.408686280250549</v>
      </c>
      <c r="G5354" s="5">
        <v>0.52175098657608</v>
      </c>
      <c r="H5354" s="5" t="s">
        <v>86</v>
      </c>
      <c r="I5354" t="s">
        <v>57</v>
      </c>
    </row>
    <row r="5355" spans="1:9">
      <c r="A5355" s="4" t="s">
        <v>10756</v>
      </c>
      <c r="B5355" s="4" t="s">
        <v>10757</v>
      </c>
      <c r="C5355" s="4" t="s">
        <v>27</v>
      </c>
      <c r="D5355" s="2">
        <f>19794100/(10^6)</f>
        <v>19.7941</v>
      </c>
      <c r="E5355" s="5" t="s">
        <v>86</v>
      </c>
      <c r="F5355" s="5">
        <v>0.063292764127254</v>
      </c>
      <c r="G5355" s="5">
        <v>0.03261736780405</v>
      </c>
      <c r="H5355" s="5" t="s">
        <v>86</v>
      </c>
      <c r="I5355" t="s">
        <v>57</v>
      </c>
    </row>
    <row r="5356" spans="1:9">
      <c r="A5356" s="4" t="s">
        <v>10758</v>
      </c>
      <c r="B5356" s="4" t="s">
        <v>10759</v>
      </c>
      <c r="C5356" s="4" t="s">
        <v>41</v>
      </c>
      <c r="D5356" s="2">
        <f>19749612/(10^6)</f>
        <v>19.749612</v>
      </c>
      <c r="E5356" s="5" t="s">
        <v>86</v>
      </c>
      <c r="F5356" s="5" t="s">
        <v>86</v>
      </c>
      <c r="G5356" s="5">
        <v>0.010103389620781</v>
      </c>
      <c r="H5356" s="5">
        <v>24.9605522155762</v>
      </c>
      <c r="I5356" t="s">
        <v>57</v>
      </c>
    </row>
    <row r="5357" spans="1:9">
      <c r="A5357" s="4" t="s">
        <v>10760</v>
      </c>
      <c r="B5357" s="4" t="s">
        <v>10761</v>
      </c>
      <c r="C5357" s="4" t="s">
        <v>33</v>
      </c>
      <c r="D5357" s="2">
        <f>19720020/(10^6)</f>
        <v>19.72002</v>
      </c>
      <c r="E5357" s="5" t="s">
        <v>86</v>
      </c>
      <c r="F5357" s="5">
        <v>1.46693587303162</v>
      </c>
      <c r="G5357" s="5">
        <v>16.4875736236572</v>
      </c>
      <c r="H5357" s="5" t="s">
        <v>86</v>
      </c>
      <c r="I5357" t="s">
        <v>57</v>
      </c>
    </row>
    <row r="5358" spans="1:9">
      <c r="A5358" s="4" t="s">
        <v>10762</v>
      </c>
      <c r="B5358" s="4" t="s">
        <v>10763</v>
      </c>
      <c r="C5358" s="4" t="s">
        <v>31</v>
      </c>
      <c r="D5358" s="2">
        <f>19709092/(10^6)</f>
        <v>19.709092</v>
      </c>
      <c r="E5358" s="5">
        <v>36.9214057922363</v>
      </c>
      <c r="F5358" s="5">
        <v>0.675940573215485</v>
      </c>
      <c r="G5358" s="5">
        <v>0.599552571773529</v>
      </c>
      <c r="H5358" s="5">
        <v>6.24694156646729</v>
      </c>
      <c r="I5358" t="s">
        <v>57</v>
      </c>
    </row>
    <row r="5359" spans="1:9">
      <c r="A5359" s="4" t="s">
        <v>10764</v>
      </c>
      <c r="B5359" s="4" t="s">
        <v>10765</v>
      </c>
      <c r="C5359" s="4" t="s">
        <v>49</v>
      </c>
      <c r="D5359" s="2">
        <f>19687844/(10^6)</f>
        <v>19.687844</v>
      </c>
      <c r="E5359" s="5">
        <v>61.2531547546387</v>
      </c>
      <c r="F5359" s="5">
        <v>1.19231832027435</v>
      </c>
      <c r="G5359" s="5">
        <v>3.0446891784668</v>
      </c>
      <c r="H5359" s="5" t="s">
        <v>86</v>
      </c>
      <c r="I5359" t="s">
        <v>57</v>
      </c>
    </row>
    <row r="5360" spans="1:9">
      <c r="A5360" s="4" t="s">
        <v>10766</v>
      </c>
      <c r="B5360" s="4" t="s">
        <v>10767</v>
      </c>
      <c r="C5360" s="4" t="s">
        <v>43</v>
      </c>
      <c r="D5360" s="2">
        <f>19658832/(10^6)</f>
        <v>19.658832</v>
      </c>
      <c r="E5360" s="5">
        <v>9.625</v>
      </c>
      <c r="F5360" s="5">
        <v>0.914845287799835</v>
      </c>
      <c r="G5360" s="5" t="s">
        <v>86</v>
      </c>
      <c r="H5360" s="5" t="s">
        <v>86</v>
      </c>
      <c r="I5360" t="s">
        <v>57</v>
      </c>
    </row>
    <row r="5361" spans="1:9">
      <c r="A5361" s="4" t="s">
        <v>10768</v>
      </c>
      <c r="B5361" s="4" t="s">
        <v>10769</v>
      </c>
      <c r="C5361" s="4" t="s">
        <v>41</v>
      </c>
      <c r="D5361" s="2">
        <f>19628724/(10^6)</f>
        <v>19.628724</v>
      </c>
      <c r="E5361" s="5" t="s">
        <v>86</v>
      </c>
      <c r="F5361" s="5" t="s">
        <v>86</v>
      </c>
      <c r="G5361" s="5">
        <v>43.7017974853516</v>
      </c>
      <c r="H5361" s="5" t="s">
        <v>86</v>
      </c>
      <c r="I5361" t="s">
        <v>57</v>
      </c>
    </row>
    <row r="5362" spans="1:9">
      <c r="A5362" s="4" t="s">
        <v>10770</v>
      </c>
      <c r="B5362" s="4" t="s">
        <v>10771</v>
      </c>
      <c r="C5362" s="4" t="s">
        <v>27</v>
      </c>
      <c r="D5362" s="2">
        <f>19626400/(10^6)</f>
        <v>19.6264</v>
      </c>
      <c r="E5362" s="5" t="s">
        <v>86</v>
      </c>
      <c r="F5362" s="5">
        <v>16.4011249542236</v>
      </c>
      <c r="G5362" s="5">
        <v>18.8526802062988</v>
      </c>
      <c r="H5362" s="5" t="s">
        <v>86</v>
      </c>
      <c r="I5362" t="s">
        <v>57</v>
      </c>
    </row>
    <row r="5363" spans="1:9">
      <c r="A5363" s="4" t="s">
        <v>10772</v>
      </c>
      <c r="B5363" s="4" t="s">
        <v>10773</v>
      </c>
      <c r="C5363" s="4" t="s">
        <v>51</v>
      </c>
      <c r="D5363" s="2">
        <f>19593494/(10^6)</f>
        <v>19.593494</v>
      </c>
      <c r="E5363" s="5" t="s">
        <v>86</v>
      </c>
      <c r="F5363" s="5" t="s">
        <v>86</v>
      </c>
      <c r="G5363" s="5">
        <v>14.2287197113037</v>
      </c>
      <c r="H5363" s="5" t="s">
        <v>86</v>
      </c>
      <c r="I5363" t="s">
        <v>57</v>
      </c>
    </row>
    <row r="5364" spans="1:9">
      <c r="A5364" s="4" t="s">
        <v>10774</v>
      </c>
      <c r="B5364" s="4" t="s">
        <v>10775</v>
      </c>
      <c r="C5364" s="4" t="s">
        <v>27</v>
      </c>
      <c r="D5364" s="2">
        <f>19466998/(10^6)</f>
        <v>19.466998</v>
      </c>
      <c r="E5364" s="5">
        <v>1.64302563667297</v>
      </c>
      <c r="F5364" s="5">
        <v>0.113461919128895</v>
      </c>
      <c r="G5364" s="5">
        <v>0.149936318397522</v>
      </c>
      <c r="H5364" s="5">
        <v>2.84339380264282</v>
      </c>
      <c r="I5364" t="s">
        <v>57</v>
      </c>
    </row>
    <row r="5365" spans="1:9">
      <c r="A5365" s="4" t="s">
        <v>10776</v>
      </c>
      <c r="B5365" s="4" t="s">
        <v>10777</v>
      </c>
      <c r="C5365" s="4" t="s">
        <v>51</v>
      </c>
      <c r="D5365" s="2">
        <f>19429704/(10^6)</f>
        <v>19.429704</v>
      </c>
      <c r="E5365" s="5" t="s">
        <v>86</v>
      </c>
      <c r="F5365" s="5">
        <v>1.64416003227234</v>
      </c>
      <c r="G5365" s="5" t="s">
        <v>86</v>
      </c>
      <c r="H5365" s="5" t="s">
        <v>86</v>
      </c>
      <c r="I5365" t="s">
        <v>57</v>
      </c>
    </row>
    <row r="5366" spans="1:9">
      <c r="A5366" s="4" t="s">
        <v>10778</v>
      </c>
      <c r="B5366" s="4" t="s">
        <v>10779</v>
      </c>
      <c r="C5366" s="4" t="s">
        <v>41</v>
      </c>
      <c r="D5366" s="2">
        <f>19422738/(10^6)</f>
        <v>19.422738</v>
      </c>
      <c r="E5366" s="5" t="s">
        <v>86</v>
      </c>
      <c r="F5366" s="5" t="s">
        <v>86</v>
      </c>
      <c r="G5366" s="5" t="s">
        <v>86</v>
      </c>
      <c r="H5366" s="5" t="s">
        <v>86</v>
      </c>
      <c r="I5366" t="s">
        <v>57</v>
      </c>
    </row>
    <row r="5367" spans="1:9">
      <c r="A5367" s="4" t="s">
        <v>10780</v>
      </c>
      <c r="B5367" s="4" t="s">
        <v>10781</v>
      </c>
      <c r="C5367" s="4" t="s">
        <v>41</v>
      </c>
      <c r="D5367" s="2">
        <f>19419768/(10^6)</f>
        <v>19.419768</v>
      </c>
      <c r="E5367" s="5" t="s">
        <v>86</v>
      </c>
      <c r="F5367" s="5" t="s">
        <v>86</v>
      </c>
      <c r="G5367" s="5" t="s">
        <v>86</v>
      </c>
      <c r="H5367" s="5" t="s">
        <v>86</v>
      </c>
      <c r="I5367" t="s">
        <v>57</v>
      </c>
    </row>
    <row r="5368" spans="1:9">
      <c r="A5368" s="4" t="s">
        <v>10782</v>
      </c>
      <c r="B5368" s="4" t="s">
        <v>10783</v>
      </c>
      <c r="C5368" s="4" t="s">
        <v>41</v>
      </c>
      <c r="D5368" s="2">
        <f>19376842/(10^6)</f>
        <v>19.376842</v>
      </c>
      <c r="E5368" s="5" t="s">
        <v>86</v>
      </c>
      <c r="F5368" s="5">
        <v>1.75284540653229</v>
      </c>
      <c r="G5368" s="5">
        <v>1.0132999420166</v>
      </c>
      <c r="H5368" s="5" t="s">
        <v>86</v>
      </c>
      <c r="I5368" t="s">
        <v>57</v>
      </c>
    </row>
    <row r="5369" spans="1:9">
      <c r="A5369" s="4" t="s">
        <v>10784</v>
      </c>
      <c r="B5369" s="4" t="s">
        <v>10785</v>
      </c>
      <c r="C5369" s="4" t="s">
        <v>31</v>
      </c>
      <c r="D5369" s="2">
        <f>19222732/(10^6)</f>
        <v>19.222732</v>
      </c>
      <c r="E5369" s="5" t="s">
        <v>86</v>
      </c>
      <c r="F5369" s="5" t="s">
        <v>86</v>
      </c>
      <c r="G5369" s="5" t="s">
        <v>86</v>
      </c>
      <c r="H5369" s="5" t="s">
        <v>86</v>
      </c>
      <c r="I5369" t="s">
        <v>57</v>
      </c>
    </row>
    <row r="5370" spans="1:9">
      <c r="A5370" s="4" t="s">
        <v>10786</v>
      </c>
      <c r="B5370" s="4" t="s">
        <v>10787</v>
      </c>
      <c r="C5370" s="4" t="s">
        <v>41</v>
      </c>
      <c r="D5370" s="2">
        <f>19191270/(10^6)</f>
        <v>19.19127</v>
      </c>
      <c r="E5370" s="5" t="s">
        <v>86</v>
      </c>
      <c r="F5370" s="5">
        <v>6.05432653427124</v>
      </c>
      <c r="G5370" s="5">
        <v>2.05173110961914</v>
      </c>
      <c r="H5370" s="5" t="s">
        <v>86</v>
      </c>
      <c r="I5370" t="s">
        <v>57</v>
      </c>
    </row>
    <row r="5371" spans="1:9">
      <c r="A5371" s="4" t="s">
        <v>10788</v>
      </c>
      <c r="B5371" s="4" t="s">
        <v>10789</v>
      </c>
      <c r="C5371" s="4" t="s">
        <v>41</v>
      </c>
      <c r="D5371" s="2">
        <f>19135784/(10^6)</f>
        <v>19.135784</v>
      </c>
      <c r="E5371" s="5" t="s">
        <v>86</v>
      </c>
      <c r="F5371" s="5">
        <v>3.8287353515625</v>
      </c>
      <c r="G5371" s="5" t="s">
        <v>86</v>
      </c>
      <c r="H5371" s="5" t="s">
        <v>86</v>
      </c>
      <c r="I5371" t="s">
        <v>57</v>
      </c>
    </row>
    <row r="5372" spans="1:9">
      <c r="A5372" s="4" t="s">
        <v>10790</v>
      </c>
      <c r="B5372" s="4" t="s">
        <v>10791</v>
      </c>
      <c r="C5372" s="4" t="s">
        <v>27</v>
      </c>
      <c r="D5372" s="2">
        <f>19074046/(10^6)</f>
        <v>19.074046</v>
      </c>
      <c r="E5372" s="5" t="s">
        <v>86</v>
      </c>
      <c r="F5372" s="5">
        <v>0.227540284395218</v>
      </c>
      <c r="G5372" s="5">
        <v>0.084718018770218</v>
      </c>
      <c r="H5372" s="5">
        <v>3.24876308441162</v>
      </c>
      <c r="I5372" t="s">
        <v>57</v>
      </c>
    </row>
    <row r="5373" spans="1:9">
      <c r="A5373" s="4" t="s">
        <v>10792</v>
      </c>
      <c r="B5373" s="4" t="s">
        <v>10793</v>
      </c>
      <c r="C5373" s="4" t="s">
        <v>35</v>
      </c>
      <c r="D5373" s="2">
        <f>18984500/(10^6)</f>
        <v>18.9845</v>
      </c>
      <c r="E5373" s="5" t="s">
        <v>86</v>
      </c>
      <c r="F5373" s="5">
        <v>0.535636186599731</v>
      </c>
      <c r="G5373" s="5">
        <v>0.343165904283524</v>
      </c>
      <c r="H5373" s="5">
        <v>4.82256078720093</v>
      </c>
      <c r="I5373" t="s">
        <v>57</v>
      </c>
    </row>
    <row r="5374" spans="1:9">
      <c r="A5374" s="4" t="s">
        <v>10794</v>
      </c>
      <c r="B5374" s="4" t="s">
        <v>10795</v>
      </c>
      <c r="C5374" s="4" t="s">
        <v>27</v>
      </c>
      <c r="D5374" s="2">
        <f>18918966/(10^6)</f>
        <v>18.918966</v>
      </c>
      <c r="E5374" s="5" t="s">
        <v>86</v>
      </c>
      <c r="F5374" s="5" t="s">
        <v>86</v>
      </c>
      <c r="G5374" s="5">
        <v>0.107633806765079</v>
      </c>
      <c r="H5374" s="5">
        <v>4.98991298675537</v>
      </c>
      <c r="I5374" t="s">
        <v>57</v>
      </c>
    </row>
    <row r="5375" spans="1:9">
      <c r="A5375" s="4" t="s">
        <v>10796</v>
      </c>
      <c r="B5375" s="4" t="s">
        <v>10797</v>
      </c>
      <c r="C5375" s="4" t="s">
        <v>31</v>
      </c>
      <c r="D5375" s="2">
        <f>18907084/(10^6)</f>
        <v>18.907084</v>
      </c>
      <c r="E5375" s="5" t="s">
        <v>86</v>
      </c>
      <c r="F5375" s="5">
        <v>0.43324089050293</v>
      </c>
      <c r="G5375" s="5">
        <v>0.022031489759684</v>
      </c>
      <c r="H5375" s="5">
        <v>17.5184898376465</v>
      </c>
      <c r="I5375" t="s">
        <v>57</v>
      </c>
    </row>
    <row r="5376" spans="1:9">
      <c r="A5376" s="4" t="s">
        <v>10798</v>
      </c>
      <c r="B5376" s="4" t="s">
        <v>10799</v>
      </c>
      <c r="C5376" s="4" t="s">
        <v>49</v>
      </c>
      <c r="D5376" s="2">
        <f>18889000/(10^6)</f>
        <v>18.889</v>
      </c>
      <c r="E5376" s="5" t="s">
        <v>86</v>
      </c>
      <c r="F5376" s="5" t="s">
        <v>86</v>
      </c>
      <c r="G5376" s="5" t="s">
        <v>86</v>
      </c>
      <c r="H5376" s="5" t="s">
        <v>86</v>
      </c>
      <c r="I5376" t="s">
        <v>57</v>
      </c>
    </row>
    <row r="5377" spans="1:9">
      <c r="A5377" s="4" t="s">
        <v>10800</v>
      </c>
      <c r="B5377" s="4" t="s">
        <v>10801</v>
      </c>
      <c r="C5377" s="4" t="s">
        <v>41</v>
      </c>
      <c r="D5377" s="2">
        <f>18883818/(10^6)</f>
        <v>18.883818</v>
      </c>
      <c r="E5377" s="5" t="s">
        <v>86</v>
      </c>
      <c r="F5377" s="5">
        <v>0.897791862487793</v>
      </c>
      <c r="G5377" s="5" t="s">
        <v>86</v>
      </c>
      <c r="H5377" s="5" t="s">
        <v>86</v>
      </c>
      <c r="I5377" t="s">
        <v>57</v>
      </c>
    </row>
    <row r="5378" spans="1:9">
      <c r="A5378" s="4" t="s">
        <v>10802</v>
      </c>
      <c r="B5378" s="4" t="s">
        <v>10803</v>
      </c>
      <c r="C5378" s="4" t="s">
        <v>41</v>
      </c>
      <c r="D5378" s="2">
        <f>18878026/(10^6)</f>
        <v>18.878026</v>
      </c>
      <c r="E5378" s="5" t="s">
        <v>86</v>
      </c>
      <c r="F5378" s="5">
        <v>5.88523817062378</v>
      </c>
      <c r="G5378" s="5">
        <v>0.03988940641284</v>
      </c>
      <c r="H5378" s="5">
        <v>8.80014705657959</v>
      </c>
      <c r="I5378" t="s">
        <v>57</v>
      </c>
    </row>
    <row r="5379" spans="1:9">
      <c r="A5379" s="4" t="s">
        <v>10804</v>
      </c>
      <c r="B5379" s="4" t="s">
        <v>10805</v>
      </c>
      <c r="C5379" s="4" t="s">
        <v>43</v>
      </c>
      <c r="D5379" s="2">
        <f>18844390/(10^6)</f>
        <v>18.84439</v>
      </c>
      <c r="E5379" s="5">
        <v>8.23650360107422</v>
      </c>
      <c r="F5379" s="5">
        <v>1.30033814907074</v>
      </c>
      <c r="G5379" s="5" t="s">
        <v>86</v>
      </c>
      <c r="H5379" s="5" t="s">
        <v>86</v>
      </c>
      <c r="I5379" t="s">
        <v>57</v>
      </c>
    </row>
    <row r="5380" spans="1:9">
      <c r="A5380" s="4" t="s">
        <v>10806</v>
      </c>
      <c r="B5380" s="4" t="s">
        <v>10807</v>
      </c>
      <c r="C5380" s="4" t="s">
        <v>51</v>
      </c>
      <c r="D5380" s="2">
        <f>18842268/(10^6)</f>
        <v>18.842268</v>
      </c>
      <c r="E5380" s="5" t="s">
        <v>86</v>
      </c>
      <c r="F5380" s="5">
        <v>1.84553778171539</v>
      </c>
      <c r="G5380" s="5">
        <v>0.563995897769928</v>
      </c>
      <c r="H5380" s="5" t="s">
        <v>86</v>
      </c>
      <c r="I5380" t="s">
        <v>57</v>
      </c>
    </row>
    <row r="5381" spans="1:9">
      <c r="A5381" s="4" t="s">
        <v>10808</v>
      </c>
      <c r="B5381" s="4" t="s">
        <v>10809</v>
      </c>
      <c r="C5381" s="4" t="s">
        <v>41</v>
      </c>
      <c r="D5381" s="2">
        <f>18837506/(10^6)</f>
        <v>18.837506</v>
      </c>
      <c r="E5381" s="5" t="s">
        <v>86</v>
      </c>
      <c r="F5381" s="5">
        <v>3.6267831325531</v>
      </c>
      <c r="G5381" s="5">
        <v>23.312780380249</v>
      </c>
      <c r="H5381" s="5" t="s">
        <v>86</v>
      </c>
      <c r="I5381" t="s">
        <v>57</v>
      </c>
    </row>
    <row r="5382" spans="1:9">
      <c r="A5382" s="4" t="s">
        <v>10810</v>
      </c>
      <c r="B5382" s="4" t="s">
        <v>10811</v>
      </c>
      <c r="C5382" s="4" t="s">
        <v>51</v>
      </c>
      <c r="D5382" s="2">
        <f>18826856/(10^6)</f>
        <v>18.826856</v>
      </c>
      <c r="E5382" s="5" t="s">
        <v>86</v>
      </c>
      <c r="F5382" s="5">
        <v>1.75672912597656</v>
      </c>
      <c r="G5382" s="5" t="s">
        <v>86</v>
      </c>
      <c r="H5382" s="5" t="s">
        <v>86</v>
      </c>
      <c r="I5382" t="s">
        <v>57</v>
      </c>
    </row>
    <row r="5383" spans="1:9">
      <c r="A5383" s="4" t="s">
        <v>10812</v>
      </c>
      <c r="B5383" s="4" t="s">
        <v>10813</v>
      </c>
      <c r="C5383" s="4" t="s">
        <v>51</v>
      </c>
      <c r="D5383" s="2">
        <f>18769504/(10^6)</f>
        <v>18.769504</v>
      </c>
      <c r="E5383" s="5" t="s">
        <v>86</v>
      </c>
      <c r="F5383" s="5">
        <v>3.62557148933411</v>
      </c>
      <c r="G5383" s="5">
        <v>0.29828730225563</v>
      </c>
      <c r="H5383" s="5">
        <v>109.292915344238</v>
      </c>
      <c r="I5383" t="s">
        <v>57</v>
      </c>
    </row>
    <row r="5384" spans="1:9">
      <c r="A5384" s="4" t="s">
        <v>10814</v>
      </c>
      <c r="B5384" s="4" t="s">
        <v>10815</v>
      </c>
      <c r="C5384" s="4" t="s">
        <v>51</v>
      </c>
      <c r="D5384" s="2">
        <f>18766608/(10^6)</f>
        <v>18.766608</v>
      </c>
      <c r="E5384" s="5" t="s">
        <v>86</v>
      </c>
      <c r="F5384" s="5">
        <v>2.13931369781494</v>
      </c>
      <c r="G5384" s="5">
        <v>0.517916202545166</v>
      </c>
      <c r="H5384" s="5" t="s">
        <v>86</v>
      </c>
      <c r="I5384" t="s">
        <v>57</v>
      </c>
    </row>
    <row r="5385" spans="1:9">
      <c r="A5385" s="4" t="s">
        <v>10816</v>
      </c>
      <c r="B5385" s="4" t="s">
        <v>10817</v>
      </c>
      <c r="C5385" s="4" t="s">
        <v>41</v>
      </c>
      <c r="D5385" s="2">
        <f>18757462/(10^6)</f>
        <v>18.757462</v>
      </c>
      <c r="E5385" s="5" t="s">
        <v>86</v>
      </c>
      <c r="F5385" s="5">
        <v>0.882073760032654</v>
      </c>
      <c r="G5385" s="5" t="s">
        <v>86</v>
      </c>
      <c r="H5385" s="5" t="s">
        <v>86</v>
      </c>
      <c r="I5385" t="s">
        <v>57</v>
      </c>
    </row>
    <row r="5386" spans="1:9">
      <c r="A5386" s="4" t="s">
        <v>10818</v>
      </c>
      <c r="B5386" s="4" t="s">
        <v>10819</v>
      </c>
      <c r="C5386" s="4" t="s">
        <v>41</v>
      </c>
      <c r="D5386" s="2">
        <f>18717714/(10^6)</f>
        <v>18.717714</v>
      </c>
      <c r="E5386" s="5" t="s">
        <v>86</v>
      </c>
      <c r="F5386" s="5">
        <v>0.887718856334686</v>
      </c>
      <c r="G5386" s="5" t="s">
        <v>86</v>
      </c>
      <c r="H5386" s="5" t="s">
        <v>86</v>
      </c>
      <c r="I5386" t="s">
        <v>57</v>
      </c>
    </row>
    <row r="5387" spans="1:9">
      <c r="A5387" s="4" t="s">
        <v>10820</v>
      </c>
      <c r="B5387" s="4" t="s">
        <v>10821</v>
      </c>
      <c r="C5387" s="4" t="s">
        <v>41</v>
      </c>
      <c r="D5387" s="2">
        <f>18676076/(10^6)</f>
        <v>18.676076</v>
      </c>
      <c r="E5387" s="5" t="s">
        <v>86</v>
      </c>
      <c r="F5387" s="5">
        <v>1.01664435863495</v>
      </c>
      <c r="G5387" s="5" t="s">
        <v>86</v>
      </c>
      <c r="H5387" s="5" t="s">
        <v>86</v>
      </c>
      <c r="I5387" t="s">
        <v>57</v>
      </c>
    </row>
    <row r="5388" spans="1:9">
      <c r="A5388" s="4" t="s">
        <v>10822</v>
      </c>
      <c r="B5388" s="4" t="s">
        <v>10823</v>
      </c>
      <c r="C5388" s="4" t="s">
        <v>33</v>
      </c>
      <c r="D5388" s="2">
        <f>18633916/(10^6)</f>
        <v>18.633916</v>
      </c>
      <c r="E5388" s="5">
        <v>2.40528631210327</v>
      </c>
      <c r="F5388" s="5">
        <v>0.993279039859772</v>
      </c>
      <c r="G5388" s="5">
        <v>0.296756893396378</v>
      </c>
      <c r="H5388" s="5">
        <v>3.04314208030701</v>
      </c>
      <c r="I5388" t="s">
        <v>57</v>
      </c>
    </row>
    <row r="5389" spans="1:9">
      <c r="A5389" s="4" t="s">
        <v>10824</v>
      </c>
      <c r="B5389" s="4" t="s">
        <v>10825</v>
      </c>
      <c r="C5389" s="4" t="s">
        <v>49</v>
      </c>
      <c r="D5389" s="2">
        <f>18630000/(10^6)</f>
        <v>18.63</v>
      </c>
      <c r="E5389" s="5" t="s">
        <v>86</v>
      </c>
      <c r="F5389" s="5" t="s">
        <v>86</v>
      </c>
      <c r="G5389" s="5">
        <v>372.619384765625</v>
      </c>
      <c r="H5389" s="5" t="s">
        <v>86</v>
      </c>
      <c r="I5389" t="s">
        <v>57</v>
      </c>
    </row>
    <row r="5390" spans="1:9">
      <c r="A5390" s="4" t="s">
        <v>10826</v>
      </c>
      <c r="B5390" s="4" t="s">
        <v>10827</v>
      </c>
      <c r="C5390" s="4" t="s">
        <v>49</v>
      </c>
      <c r="D5390" s="2">
        <f>18536616/(10^6)</f>
        <v>18.536616</v>
      </c>
      <c r="E5390" s="5">
        <v>10.8808288574219</v>
      </c>
      <c r="F5390" s="5">
        <v>0.671795189380646</v>
      </c>
      <c r="G5390" s="5">
        <v>1.07307147979736</v>
      </c>
      <c r="H5390" s="5" t="s">
        <v>86</v>
      </c>
      <c r="I5390" t="s">
        <v>57</v>
      </c>
    </row>
    <row r="5391" spans="1:9">
      <c r="A5391" s="4" t="s">
        <v>10828</v>
      </c>
      <c r="B5391" s="4" t="s">
        <v>10829</v>
      </c>
      <c r="C5391" s="4" t="s">
        <v>51</v>
      </c>
      <c r="D5391" s="2">
        <f>18486572/(10^6)</f>
        <v>18.486572</v>
      </c>
      <c r="E5391" s="5">
        <v>42.8661270141602</v>
      </c>
      <c r="F5391" s="5">
        <v>0.556421101093292</v>
      </c>
      <c r="G5391" s="5">
        <v>0.366339296102524</v>
      </c>
      <c r="H5391" s="5">
        <v>13.417631149292</v>
      </c>
      <c r="I5391" t="s">
        <v>57</v>
      </c>
    </row>
    <row r="5392" spans="1:9">
      <c r="A5392" s="4" t="s">
        <v>10830</v>
      </c>
      <c r="B5392" s="4" t="s">
        <v>10831</v>
      </c>
      <c r="C5392" s="4" t="s">
        <v>37</v>
      </c>
      <c r="D5392" s="2">
        <f>18448010/(10^6)</f>
        <v>18.44801</v>
      </c>
      <c r="E5392" s="5" t="s">
        <v>86</v>
      </c>
      <c r="F5392" s="5">
        <v>3.26332187652588</v>
      </c>
      <c r="G5392" s="5">
        <v>3.0053653717041</v>
      </c>
      <c r="H5392" s="5" t="s">
        <v>86</v>
      </c>
      <c r="I5392" t="s">
        <v>57</v>
      </c>
    </row>
    <row r="5393" spans="1:9">
      <c r="A5393" s="4" t="s">
        <v>10832</v>
      </c>
      <c r="B5393" s="4" t="s">
        <v>10833</v>
      </c>
      <c r="C5393" s="4" t="s">
        <v>31</v>
      </c>
      <c r="D5393" s="2">
        <f>18447486/(10^6)</f>
        <v>18.447486</v>
      </c>
      <c r="E5393" s="5" t="s">
        <v>86</v>
      </c>
      <c r="F5393" s="5">
        <v>0.299258172512054</v>
      </c>
      <c r="G5393" s="5">
        <v>0.186053186655045</v>
      </c>
      <c r="H5393" s="5">
        <v>8.72047519683838</v>
      </c>
      <c r="I5393" t="s">
        <v>57</v>
      </c>
    </row>
    <row r="5394" spans="1:9">
      <c r="A5394" s="4" t="s">
        <v>10834</v>
      </c>
      <c r="B5394" s="4" t="s">
        <v>10835</v>
      </c>
      <c r="C5394" s="4" t="s">
        <v>49</v>
      </c>
      <c r="D5394" s="2">
        <f>18392000/(10^6)</f>
        <v>18.392</v>
      </c>
      <c r="E5394" s="5" t="s">
        <v>86</v>
      </c>
      <c r="F5394" s="5" t="s">
        <v>86</v>
      </c>
      <c r="G5394" s="5" t="s">
        <v>86</v>
      </c>
      <c r="H5394" s="5" t="s">
        <v>86</v>
      </c>
      <c r="I5394" t="s">
        <v>57</v>
      </c>
    </row>
    <row r="5395" spans="1:9">
      <c r="A5395" s="4" t="s">
        <v>10836</v>
      </c>
      <c r="B5395" s="4" t="s">
        <v>10837</v>
      </c>
      <c r="C5395" s="4" t="s">
        <v>31</v>
      </c>
      <c r="D5395" s="2">
        <f>18380536/(10^6)</f>
        <v>18.380536</v>
      </c>
      <c r="E5395" s="5">
        <v>13.2409143447876</v>
      </c>
      <c r="F5395" s="5">
        <v>1.02664124965668</v>
      </c>
      <c r="G5395" s="5">
        <v>0.504980385303497</v>
      </c>
      <c r="H5395" s="5">
        <v>3.86220693588257</v>
      </c>
      <c r="I5395" t="s">
        <v>57</v>
      </c>
    </row>
    <row r="5396" spans="1:9">
      <c r="A5396" s="4" t="s">
        <v>10838</v>
      </c>
      <c r="B5396" s="4" t="s">
        <v>10839</v>
      </c>
      <c r="C5396" s="4" t="s">
        <v>51</v>
      </c>
      <c r="D5396" s="2">
        <f>18363830/(10^6)</f>
        <v>18.36383</v>
      </c>
      <c r="E5396" s="5">
        <v>2.61510062217712</v>
      </c>
      <c r="F5396" s="5">
        <v>1.02402448654175</v>
      </c>
      <c r="G5396" s="5">
        <v>1.22821867465973</v>
      </c>
      <c r="H5396" s="5">
        <v>4.86836910247803</v>
      </c>
      <c r="I5396" t="s">
        <v>57</v>
      </c>
    </row>
    <row r="5397" spans="1:9">
      <c r="A5397" s="4" t="s">
        <v>10840</v>
      </c>
      <c r="B5397" s="4" t="s">
        <v>10841</v>
      </c>
      <c r="C5397" s="4" t="s">
        <v>51</v>
      </c>
      <c r="D5397" s="2">
        <f>18361122/(10^6)</f>
        <v>18.361122</v>
      </c>
      <c r="E5397" s="5" t="s">
        <v>86</v>
      </c>
      <c r="F5397" s="5" t="s">
        <v>86</v>
      </c>
      <c r="G5397" s="5" t="s">
        <v>86</v>
      </c>
      <c r="H5397" s="5" t="s">
        <v>86</v>
      </c>
      <c r="I5397" t="s">
        <v>57</v>
      </c>
    </row>
    <row r="5398" spans="1:9">
      <c r="A5398" s="4" t="s">
        <v>10842</v>
      </c>
      <c r="B5398" s="4" t="s">
        <v>10843</v>
      </c>
      <c r="C5398" s="4" t="s">
        <v>37</v>
      </c>
      <c r="D5398" s="2">
        <f>18333454/(10^6)</f>
        <v>18.333454</v>
      </c>
      <c r="E5398" s="5" t="s">
        <v>86</v>
      </c>
      <c r="F5398" s="5">
        <v>0.404898315668106</v>
      </c>
      <c r="G5398" s="5">
        <v>32.213981628418</v>
      </c>
      <c r="H5398" s="5" t="s">
        <v>86</v>
      </c>
      <c r="I5398" t="s">
        <v>57</v>
      </c>
    </row>
    <row r="5399" spans="1:9">
      <c r="A5399" s="4" t="s">
        <v>10844</v>
      </c>
      <c r="B5399" s="4" t="s">
        <v>10845</v>
      </c>
      <c r="C5399" s="4" t="s">
        <v>43</v>
      </c>
      <c r="D5399" s="2">
        <f>18322920/(10^6)</f>
        <v>18.32292</v>
      </c>
      <c r="E5399" s="5" t="s">
        <v>86</v>
      </c>
      <c r="F5399" s="5">
        <v>1.06333541870117</v>
      </c>
      <c r="G5399" s="5">
        <v>1.77929770946503</v>
      </c>
      <c r="H5399" s="5" t="s">
        <v>86</v>
      </c>
      <c r="I5399" t="s">
        <v>57</v>
      </c>
    </row>
    <row r="5400" spans="1:9">
      <c r="A5400" s="4" t="s">
        <v>10846</v>
      </c>
      <c r="B5400" s="4" t="s">
        <v>10847</v>
      </c>
      <c r="C5400" s="4" t="s">
        <v>31</v>
      </c>
      <c r="D5400" s="2">
        <f>18303300/(10^6)</f>
        <v>18.3033</v>
      </c>
      <c r="E5400" s="5">
        <v>24.0284843444824</v>
      </c>
      <c r="F5400" s="5">
        <v>0.981057643890381</v>
      </c>
      <c r="G5400" s="5">
        <v>0.456237554550171</v>
      </c>
      <c r="H5400" s="5">
        <v>7.01366662979126</v>
      </c>
      <c r="I5400" t="s">
        <v>57</v>
      </c>
    </row>
    <row r="5401" spans="1:9">
      <c r="A5401" s="4" t="s">
        <v>10848</v>
      </c>
      <c r="B5401" s="4" t="s">
        <v>10849</v>
      </c>
      <c r="C5401" s="4" t="s">
        <v>43</v>
      </c>
      <c r="D5401" s="2">
        <f>18276554/(10^6)</f>
        <v>18.276554</v>
      </c>
      <c r="E5401" s="5">
        <v>10.1847133636475</v>
      </c>
      <c r="F5401" s="5">
        <v>1.00520038604736</v>
      </c>
      <c r="G5401" s="5">
        <v>2.41501021385193</v>
      </c>
      <c r="H5401" s="5" t="s">
        <v>86</v>
      </c>
      <c r="I5401" t="s">
        <v>57</v>
      </c>
    </row>
    <row r="5402" spans="1:9">
      <c r="A5402" s="4" t="s">
        <v>10850</v>
      </c>
      <c r="B5402" s="4" t="s">
        <v>10851</v>
      </c>
      <c r="C5402" s="4" t="s">
        <v>31</v>
      </c>
      <c r="D5402" s="2">
        <f>18273506/(10^6)</f>
        <v>18.273506</v>
      </c>
      <c r="E5402" s="5" t="s">
        <v>86</v>
      </c>
      <c r="F5402" s="5" t="s">
        <v>86</v>
      </c>
      <c r="G5402" s="5">
        <v>319.727874755859</v>
      </c>
      <c r="H5402" s="5" t="s">
        <v>86</v>
      </c>
      <c r="I5402" t="s">
        <v>57</v>
      </c>
    </row>
    <row r="5403" spans="1:9">
      <c r="A5403" s="4" t="s">
        <v>10852</v>
      </c>
      <c r="B5403" s="4" t="s">
        <v>10853</v>
      </c>
      <c r="C5403" s="4" t="s">
        <v>31</v>
      </c>
      <c r="D5403" s="2">
        <f>18198618/(10^6)</f>
        <v>18.198618</v>
      </c>
      <c r="E5403" s="5" t="s">
        <v>86</v>
      </c>
      <c r="F5403" s="5">
        <v>6.24372577667236</v>
      </c>
      <c r="G5403" s="5">
        <v>0.545935034751892</v>
      </c>
      <c r="H5403" s="5">
        <v>8.14722347259521</v>
      </c>
      <c r="I5403" t="s">
        <v>57</v>
      </c>
    </row>
    <row r="5404" spans="1:9">
      <c r="A5404" s="4" t="s">
        <v>10854</v>
      </c>
      <c r="B5404" s="4" t="s">
        <v>10855</v>
      </c>
      <c r="C5404" s="4" t="s">
        <v>31</v>
      </c>
      <c r="D5404" s="2">
        <f>18197360/(10^6)</f>
        <v>18.19736</v>
      </c>
      <c r="E5404" s="5" t="s">
        <v>86</v>
      </c>
      <c r="F5404" s="5">
        <v>0.375474214553833</v>
      </c>
      <c r="G5404" s="5">
        <v>0.018738945946097</v>
      </c>
      <c r="H5404" s="5" t="s">
        <v>86</v>
      </c>
      <c r="I5404" t="s">
        <v>57</v>
      </c>
    </row>
    <row r="5405" spans="1:9">
      <c r="A5405" s="4" t="s">
        <v>10856</v>
      </c>
      <c r="B5405" s="4" t="s">
        <v>10857</v>
      </c>
      <c r="C5405" s="4" t="s">
        <v>41</v>
      </c>
      <c r="D5405" s="2">
        <f>18120052/(10^6)</f>
        <v>18.120052</v>
      </c>
      <c r="E5405" s="5" t="s">
        <v>86</v>
      </c>
      <c r="F5405" s="5">
        <v>27.531530380249</v>
      </c>
      <c r="G5405" s="5">
        <v>1.97657704353333</v>
      </c>
      <c r="H5405" s="5">
        <v>47.7870330810547</v>
      </c>
      <c r="I5405" t="s">
        <v>57</v>
      </c>
    </row>
    <row r="5406" spans="1:9">
      <c r="A5406" s="4" t="s">
        <v>10858</v>
      </c>
      <c r="B5406" s="4" t="s">
        <v>10859</v>
      </c>
      <c r="C5406" s="4" t="s">
        <v>33</v>
      </c>
      <c r="D5406" s="2">
        <f>18031850/(10^6)</f>
        <v>18.03185</v>
      </c>
      <c r="E5406" s="5" t="s">
        <v>86</v>
      </c>
      <c r="F5406" s="5">
        <v>0.055736519396305</v>
      </c>
      <c r="G5406" s="5">
        <v>3.60668182373047</v>
      </c>
      <c r="H5406" s="5" t="s">
        <v>86</v>
      </c>
      <c r="I5406" t="s">
        <v>57</v>
      </c>
    </row>
    <row r="5407" spans="1:9">
      <c r="A5407" s="4" t="s">
        <v>10860</v>
      </c>
      <c r="B5407" s="4" t="s">
        <v>10861</v>
      </c>
      <c r="C5407" s="4" t="s">
        <v>43</v>
      </c>
      <c r="D5407" s="2">
        <f>18000000/(10^6)</f>
        <v>18</v>
      </c>
      <c r="E5407" s="5" t="s">
        <v>86</v>
      </c>
      <c r="F5407" s="5" t="s">
        <v>86</v>
      </c>
      <c r="G5407" s="5" t="s">
        <v>86</v>
      </c>
      <c r="H5407" s="5" t="s">
        <v>86</v>
      </c>
      <c r="I5407" t="s">
        <v>57</v>
      </c>
    </row>
    <row r="5408" spans="1:9">
      <c r="A5408" s="4" t="s">
        <v>10862</v>
      </c>
      <c r="B5408" s="4" t="s">
        <v>10863</v>
      </c>
      <c r="C5408" s="4" t="s">
        <v>43</v>
      </c>
      <c r="D5408" s="2">
        <f>17999188/(10^6)</f>
        <v>17.999188</v>
      </c>
      <c r="E5408" s="5">
        <v>22.4137916564941</v>
      </c>
      <c r="F5408" s="5">
        <v>1.11502957344055</v>
      </c>
      <c r="G5408" s="5">
        <v>3.08855366706848</v>
      </c>
      <c r="H5408" s="5" t="s">
        <v>86</v>
      </c>
      <c r="I5408" t="s">
        <v>57</v>
      </c>
    </row>
    <row r="5409" spans="1:9">
      <c r="A5409" s="4" t="s">
        <v>10864</v>
      </c>
      <c r="B5409" s="4" t="s">
        <v>10865</v>
      </c>
      <c r="C5409" s="4" t="s">
        <v>43</v>
      </c>
      <c r="D5409" s="2">
        <f>17856152/(10^6)</f>
        <v>17.856152</v>
      </c>
      <c r="E5409" s="5" t="s">
        <v>86</v>
      </c>
      <c r="F5409" s="5">
        <v>0.431192368268967</v>
      </c>
      <c r="G5409" s="5">
        <v>0.066000796854496</v>
      </c>
      <c r="H5409" s="5">
        <v>19.9120407104492</v>
      </c>
      <c r="I5409" t="s">
        <v>57</v>
      </c>
    </row>
    <row r="5410" spans="1:9">
      <c r="A5410" s="4" t="s">
        <v>10866</v>
      </c>
      <c r="B5410" s="4" t="s">
        <v>10867</v>
      </c>
      <c r="C5410" s="4" t="s">
        <v>49</v>
      </c>
      <c r="D5410" s="2">
        <f>17833176/(10^6)</f>
        <v>17.833176</v>
      </c>
      <c r="E5410" s="5" t="s">
        <v>86</v>
      </c>
      <c r="F5410" s="5">
        <v>15.272421836853</v>
      </c>
      <c r="G5410" s="5" t="s">
        <v>86</v>
      </c>
      <c r="H5410" s="5" t="s">
        <v>86</v>
      </c>
      <c r="I5410" t="s">
        <v>57</v>
      </c>
    </row>
    <row r="5411" spans="1:9">
      <c r="A5411" s="4" t="s">
        <v>10868</v>
      </c>
      <c r="B5411" s="4" t="s">
        <v>10869</v>
      </c>
      <c r="C5411" s="4" t="s">
        <v>27</v>
      </c>
      <c r="D5411" s="2">
        <f>17831256/(10^6)</f>
        <v>17.831256</v>
      </c>
      <c r="E5411" s="5" t="s">
        <v>86</v>
      </c>
      <c r="F5411" s="5">
        <v>0.036418046802282</v>
      </c>
      <c r="G5411" s="5">
        <v>0.01841146312654</v>
      </c>
      <c r="H5411" s="5" t="s">
        <v>86</v>
      </c>
      <c r="I5411" t="s">
        <v>57</v>
      </c>
    </row>
    <row r="5412" spans="1:9">
      <c r="A5412" s="4" t="s">
        <v>10870</v>
      </c>
      <c r="B5412" s="4" t="s">
        <v>10871</v>
      </c>
      <c r="C5412" s="4" t="s">
        <v>41</v>
      </c>
      <c r="D5412" s="2">
        <f>17807922/(10^6)</f>
        <v>17.807922</v>
      </c>
      <c r="E5412" s="5" t="s">
        <v>86</v>
      </c>
      <c r="F5412" s="5" t="s">
        <v>86</v>
      </c>
      <c r="G5412" s="5">
        <v>51.353588104248</v>
      </c>
      <c r="H5412" s="5" t="s">
        <v>86</v>
      </c>
      <c r="I5412" t="s">
        <v>57</v>
      </c>
    </row>
    <row r="5413" spans="1:9">
      <c r="A5413" s="4" t="s">
        <v>10872</v>
      </c>
      <c r="B5413" s="4" t="s">
        <v>10873</v>
      </c>
      <c r="C5413" s="4" t="s">
        <v>49</v>
      </c>
      <c r="D5413" s="2">
        <f>17789992/(10^6)</f>
        <v>17.789992</v>
      </c>
      <c r="E5413" s="5" t="s">
        <v>86</v>
      </c>
      <c r="F5413" s="5" t="s">
        <v>86</v>
      </c>
      <c r="G5413" s="5" t="s">
        <v>86</v>
      </c>
      <c r="H5413" s="5" t="s">
        <v>86</v>
      </c>
      <c r="I5413" t="s">
        <v>57</v>
      </c>
    </row>
    <row r="5414" spans="1:9">
      <c r="A5414" s="4" t="s">
        <v>10874</v>
      </c>
      <c r="B5414" s="4" t="s">
        <v>10875</v>
      </c>
      <c r="C5414" s="4" t="s">
        <v>41</v>
      </c>
      <c r="D5414" s="2">
        <f>17781432/(10^6)</f>
        <v>17.781432</v>
      </c>
      <c r="E5414" s="5" t="s">
        <v>86</v>
      </c>
      <c r="F5414" s="5">
        <v>0.143741860985756</v>
      </c>
      <c r="G5414" s="5">
        <v>0.775128364562988</v>
      </c>
      <c r="H5414" s="5" t="s">
        <v>86</v>
      </c>
      <c r="I5414" t="s">
        <v>57</v>
      </c>
    </row>
    <row r="5415" spans="1:9">
      <c r="A5415" s="4" t="s">
        <v>10876</v>
      </c>
      <c r="B5415" s="4" t="s">
        <v>10877</v>
      </c>
      <c r="C5415" s="4" t="s">
        <v>51</v>
      </c>
      <c r="D5415" s="2">
        <f>17484444/(10^6)</f>
        <v>17.484444</v>
      </c>
      <c r="E5415" s="5">
        <v>12.9973630905151</v>
      </c>
      <c r="F5415" s="5">
        <v>1.7764310836792</v>
      </c>
      <c r="G5415" s="5">
        <v>1.8750342130661</v>
      </c>
      <c r="H5415" s="5" t="s">
        <v>86</v>
      </c>
      <c r="I5415" t="s">
        <v>57</v>
      </c>
    </row>
    <row r="5416" spans="1:9">
      <c r="A5416" s="4" t="s">
        <v>10878</v>
      </c>
      <c r="B5416" s="4" t="s">
        <v>10879</v>
      </c>
      <c r="C5416" s="4" t="s">
        <v>49</v>
      </c>
      <c r="D5416" s="2">
        <f>17478614/(10^6)</f>
        <v>17.478614</v>
      </c>
      <c r="E5416" s="5" t="s">
        <v>86</v>
      </c>
      <c r="F5416" s="5" t="s">
        <v>86</v>
      </c>
      <c r="G5416" s="5">
        <v>7.35331392288208</v>
      </c>
      <c r="H5416" s="5" t="s">
        <v>86</v>
      </c>
      <c r="I5416" t="s">
        <v>57</v>
      </c>
    </row>
    <row r="5417" spans="1:9">
      <c r="A5417" s="4" t="s">
        <v>10880</v>
      </c>
      <c r="B5417" s="4" t="s">
        <v>10881</v>
      </c>
      <c r="C5417" s="4" t="s">
        <v>49</v>
      </c>
      <c r="D5417" s="2">
        <f>17469104/(10^6)</f>
        <v>17.469104</v>
      </c>
      <c r="E5417" s="5" t="s">
        <v>86</v>
      </c>
      <c r="F5417" s="5" t="s">
        <v>86</v>
      </c>
      <c r="G5417" s="5" t="s">
        <v>86</v>
      </c>
      <c r="H5417" s="5" t="s">
        <v>86</v>
      </c>
      <c r="I5417" t="s">
        <v>57</v>
      </c>
    </row>
    <row r="5418" spans="1:9">
      <c r="A5418" s="4" t="s">
        <v>10882</v>
      </c>
      <c r="B5418" s="4" t="s">
        <v>10883</v>
      </c>
      <c r="C5418" s="4" t="s">
        <v>51</v>
      </c>
      <c r="D5418" s="2">
        <f>17447208/(10^6)</f>
        <v>17.447208</v>
      </c>
      <c r="E5418" s="5" t="s">
        <v>86</v>
      </c>
      <c r="F5418" s="5">
        <v>0.933936357498169</v>
      </c>
      <c r="G5418" s="5">
        <v>0.253883451223373</v>
      </c>
      <c r="H5418" s="5" t="s">
        <v>86</v>
      </c>
      <c r="I5418" t="s">
        <v>57</v>
      </c>
    </row>
    <row r="5419" spans="1:9">
      <c r="A5419" s="4" t="s">
        <v>10884</v>
      </c>
      <c r="B5419" s="4" t="s">
        <v>10885</v>
      </c>
      <c r="C5419" s="4" t="s">
        <v>51</v>
      </c>
      <c r="D5419" s="2">
        <f>17421940/(10^6)</f>
        <v>17.42194</v>
      </c>
      <c r="E5419" s="5" t="s">
        <v>86</v>
      </c>
      <c r="F5419" s="5" t="s">
        <v>86</v>
      </c>
      <c r="G5419" s="5" t="s">
        <v>86</v>
      </c>
      <c r="H5419" s="5" t="s">
        <v>86</v>
      </c>
      <c r="I5419" t="s">
        <v>57</v>
      </c>
    </row>
    <row r="5420" spans="1:9">
      <c r="A5420" s="4" t="s">
        <v>10886</v>
      </c>
      <c r="B5420" s="4" t="s">
        <v>10887</v>
      </c>
      <c r="C5420" s="4" t="s">
        <v>31</v>
      </c>
      <c r="D5420" s="2">
        <f>17416936/(10^6)</f>
        <v>17.416936</v>
      </c>
      <c r="E5420" s="5" t="s">
        <v>86</v>
      </c>
      <c r="F5420" s="5" t="s">
        <v>86</v>
      </c>
      <c r="G5420" s="5" t="s">
        <v>86</v>
      </c>
      <c r="H5420" s="5" t="s">
        <v>86</v>
      </c>
      <c r="I5420" t="s">
        <v>57</v>
      </c>
    </row>
    <row r="5421" spans="1:9">
      <c r="A5421" s="4" t="s">
        <v>10888</v>
      </c>
      <c r="B5421" s="4" t="s">
        <v>10889</v>
      </c>
      <c r="C5421" s="4" t="s">
        <v>49</v>
      </c>
      <c r="D5421" s="2">
        <f>17286816/(10^6)</f>
        <v>17.286816</v>
      </c>
      <c r="E5421" s="5">
        <v>22.279411315918</v>
      </c>
      <c r="F5421" s="5">
        <v>1.37475550174713</v>
      </c>
      <c r="G5421" s="5">
        <v>4.24948596954346</v>
      </c>
      <c r="H5421" s="5" t="s">
        <v>86</v>
      </c>
      <c r="I5421" t="s">
        <v>57</v>
      </c>
    </row>
    <row r="5422" spans="1:9">
      <c r="A5422" s="4" t="s">
        <v>10890</v>
      </c>
      <c r="B5422" s="4" t="s">
        <v>10891</v>
      </c>
      <c r="C5422" s="4" t="s">
        <v>27</v>
      </c>
      <c r="D5422" s="2">
        <f>17246466/(10^6)</f>
        <v>17.246466</v>
      </c>
      <c r="E5422" s="5" t="s">
        <v>86</v>
      </c>
      <c r="F5422" s="5" t="s">
        <v>86</v>
      </c>
      <c r="G5422" s="5">
        <v>0.216535225510597</v>
      </c>
      <c r="H5422" s="5" t="s">
        <v>86</v>
      </c>
      <c r="I5422" t="s">
        <v>57</v>
      </c>
    </row>
    <row r="5423" spans="1:9">
      <c r="A5423" s="4" t="s">
        <v>10892</v>
      </c>
      <c r="B5423" s="4" t="s">
        <v>10893</v>
      </c>
      <c r="C5423" s="4" t="s">
        <v>49</v>
      </c>
      <c r="D5423" s="2">
        <f>17215264/(10^6)</f>
        <v>17.215264</v>
      </c>
      <c r="E5423" s="5" t="s">
        <v>86</v>
      </c>
      <c r="F5423" s="5" t="s">
        <v>86</v>
      </c>
      <c r="G5423" s="5" t="s">
        <v>86</v>
      </c>
      <c r="H5423" s="5" t="s">
        <v>86</v>
      </c>
      <c r="I5423" t="s">
        <v>57</v>
      </c>
    </row>
    <row r="5424" spans="1:9">
      <c r="A5424" s="4" t="s">
        <v>10894</v>
      </c>
      <c r="B5424" s="4" t="s">
        <v>10895</v>
      </c>
      <c r="C5424" s="4" t="s">
        <v>31</v>
      </c>
      <c r="D5424" s="2">
        <f>17196290/(10^6)</f>
        <v>17.19629</v>
      </c>
      <c r="E5424" s="5">
        <v>119.628234863281</v>
      </c>
      <c r="F5424" s="5">
        <v>1.6890242099762</v>
      </c>
      <c r="G5424" s="5">
        <v>0.91921067237854</v>
      </c>
      <c r="H5424" s="5">
        <v>14.1553783416748</v>
      </c>
      <c r="I5424" t="s">
        <v>57</v>
      </c>
    </row>
    <row r="5425" spans="1:9">
      <c r="A5425" s="4" t="s">
        <v>10896</v>
      </c>
      <c r="B5425" s="4" t="s">
        <v>10897</v>
      </c>
      <c r="C5425" s="4" t="s">
        <v>27</v>
      </c>
      <c r="D5425" s="2">
        <f>17180604/(10^6)</f>
        <v>17.180604</v>
      </c>
      <c r="E5425" s="5" t="s">
        <v>86</v>
      </c>
      <c r="F5425" s="5">
        <v>1.63759016990662</v>
      </c>
      <c r="G5425" s="5" t="s">
        <v>86</v>
      </c>
      <c r="H5425" s="5" t="s">
        <v>86</v>
      </c>
      <c r="I5425" t="s">
        <v>57</v>
      </c>
    </row>
    <row r="5426" spans="1:9">
      <c r="A5426" s="4" t="s">
        <v>10898</v>
      </c>
      <c r="B5426" s="4" t="s">
        <v>10899</v>
      </c>
      <c r="C5426" s="4" t="s">
        <v>49</v>
      </c>
      <c r="D5426" s="2">
        <f>17174886/(10^6)</f>
        <v>17.174886</v>
      </c>
      <c r="E5426" s="5" t="s">
        <v>86</v>
      </c>
      <c r="F5426" s="5" t="s">
        <v>86</v>
      </c>
      <c r="G5426" s="5">
        <v>2.20502948760986</v>
      </c>
      <c r="H5426" s="5" t="s">
        <v>86</v>
      </c>
      <c r="I5426" t="s">
        <v>57</v>
      </c>
    </row>
    <row r="5427" spans="1:9">
      <c r="A5427" s="4" t="s">
        <v>10900</v>
      </c>
      <c r="B5427" s="4" t="s">
        <v>10901</v>
      </c>
      <c r="C5427" s="4" t="s">
        <v>51</v>
      </c>
      <c r="D5427" s="2">
        <f>17169320/(10^6)</f>
        <v>17.16932</v>
      </c>
      <c r="E5427" s="5" t="s">
        <v>86</v>
      </c>
      <c r="F5427" s="5">
        <v>0.672647178173065</v>
      </c>
      <c r="G5427" s="5">
        <v>0.132062435150146</v>
      </c>
      <c r="H5427" s="5" t="s">
        <v>86</v>
      </c>
      <c r="I5427" t="s">
        <v>57</v>
      </c>
    </row>
    <row r="5428" spans="1:9">
      <c r="A5428" s="4" t="s">
        <v>10902</v>
      </c>
      <c r="B5428" s="4" t="s">
        <v>10903</v>
      </c>
      <c r="C5428" s="4" t="s">
        <v>27</v>
      </c>
      <c r="D5428" s="2">
        <f>17155938/(10^6)</f>
        <v>17.155938</v>
      </c>
      <c r="E5428" s="5" t="s">
        <v>86</v>
      </c>
      <c r="F5428" s="5" t="s">
        <v>86</v>
      </c>
      <c r="G5428" s="5" t="s">
        <v>86</v>
      </c>
      <c r="H5428" s="5" t="s">
        <v>86</v>
      </c>
      <c r="I5428" t="s">
        <v>57</v>
      </c>
    </row>
    <row r="5429" spans="1:9">
      <c r="A5429" s="4" t="s">
        <v>10904</v>
      </c>
      <c r="B5429" s="4" t="s">
        <v>10905</v>
      </c>
      <c r="C5429" s="4" t="s">
        <v>47</v>
      </c>
      <c r="D5429" s="2">
        <f>17147562/(10^6)</f>
        <v>17.147562</v>
      </c>
      <c r="E5429" s="5" t="s">
        <v>86</v>
      </c>
      <c r="F5429" s="5" t="s">
        <v>86</v>
      </c>
      <c r="G5429" s="5">
        <v>0.033047500997782</v>
      </c>
      <c r="H5429" s="5">
        <v>5.3737473487854</v>
      </c>
      <c r="I5429" t="s">
        <v>57</v>
      </c>
    </row>
    <row r="5430" spans="1:9">
      <c r="A5430" s="4" t="s">
        <v>10906</v>
      </c>
      <c r="B5430" s="4" t="s">
        <v>10907</v>
      </c>
      <c r="C5430" s="4" t="s">
        <v>37</v>
      </c>
      <c r="D5430" s="2">
        <f>17125234/(10^6)</f>
        <v>17.125234</v>
      </c>
      <c r="E5430" s="5" t="s">
        <v>86</v>
      </c>
      <c r="F5430" s="5">
        <v>2.24343872070312</v>
      </c>
      <c r="G5430" s="5" t="s">
        <v>86</v>
      </c>
      <c r="H5430" s="5" t="s">
        <v>86</v>
      </c>
      <c r="I5430" t="s">
        <v>57</v>
      </c>
    </row>
    <row r="5431" spans="1:9">
      <c r="A5431" s="4" t="s">
        <v>10908</v>
      </c>
      <c r="B5431" s="4" t="s">
        <v>10055</v>
      </c>
      <c r="C5431" s="4" t="s">
        <v>35</v>
      </c>
      <c r="D5431" s="2">
        <f>17070278/(10^6)</f>
        <v>17.070278</v>
      </c>
      <c r="E5431" s="5" t="s">
        <v>86</v>
      </c>
      <c r="F5431" s="5" t="s">
        <v>86</v>
      </c>
      <c r="G5431" s="5">
        <v>33.9904823303223</v>
      </c>
      <c r="H5431" s="5" t="s">
        <v>86</v>
      </c>
      <c r="I5431" t="s">
        <v>57</v>
      </c>
    </row>
    <row r="5432" spans="1:9">
      <c r="A5432" s="4" t="s">
        <v>10909</v>
      </c>
      <c r="B5432" s="4" t="s">
        <v>10910</v>
      </c>
      <c r="C5432" s="4" t="s">
        <v>51</v>
      </c>
      <c r="D5432" s="2">
        <f>17055630/(10^6)</f>
        <v>17.05563</v>
      </c>
      <c r="E5432" s="5" t="s">
        <v>86</v>
      </c>
      <c r="F5432" s="5">
        <v>6.23832607269287</v>
      </c>
      <c r="G5432" s="5">
        <v>4.27696990966797</v>
      </c>
      <c r="H5432" s="5" t="s">
        <v>86</v>
      </c>
      <c r="I5432" t="s">
        <v>57</v>
      </c>
    </row>
    <row r="5433" spans="1:9">
      <c r="A5433" s="4" t="s">
        <v>10911</v>
      </c>
      <c r="B5433" s="4" t="s">
        <v>10912</v>
      </c>
      <c r="C5433" s="4" t="s">
        <v>43</v>
      </c>
      <c r="D5433" s="2">
        <f>17039526/(10^6)</f>
        <v>17.039526</v>
      </c>
      <c r="E5433" s="5">
        <v>12.9638557434082</v>
      </c>
      <c r="F5433" s="5">
        <v>0.969698190689087</v>
      </c>
      <c r="G5433" s="5">
        <v>1.53746008872986</v>
      </c>
      <c r="H5433" s="5" t="s">
        <v>86</v>
      </c>
      <c r="I5433" t="s">
        <v>57</v>
      </c>
    </row>
    <row r="5434" spans="1:9">
      <c r="A5434" s="4" t="s">
        <v>10913</v>
      </c>
      <c r="B5434" s="4" t="s">
        <v>10914</v>
      </c>
      <c r="C5434" s="4" t="s">
        <v>51</v>
      </c>
      <c r="D5434" s="2">
        <f>17031620/(10^6)</f>
        <v>17.03162</v>
      </c>
      <c r="E5434" s="5" t="s">
        <v>86</v>
      </c>
      <c r="F5434" s="5">
        <v>8.15784168243408</v>
      </c>
      <c r="G5434" s="5">
        <v>1.58653390407562</v>
      </c>
      <c r="H5434" s="5">
        <v>115.193710327148</v>
      </c>
      <c r="I5434" t="s">
        <v>57</v>
      </c>
    </row>
    <row r="5435" spans="1:9">
      <c r="A5435" s="4" t="s">
        <v>10915</v>
      </c>
      <c r="B5435" s="4" t="s">
        <v>10916</v>
      </c>
      <c r="C5435" s="4" t="s">
        <v>37</v>
      </c>
      <c r="D5435" s="2">
        <f>17019258/(10^6)</f>
        <v>17.019258</v>
      </c>
      <c r="E5435" s="5" t="s">
        <v>86</v>
      </c>
      <c r="F5435" s="5">
        <v>0.193155497312546</v>
      </c>
      <c r="G5435" s="5">
        <v>0.056995287537575</v>
      </c>
      <c r="H5435" s="5">
        <v>108.720092773438</v>
      </c>
      <c r="I5435" t="s">
        <v>57</v>
      </c>
    </row>
    <row r="5436" spans="1:9">
      <c r="A5436" s="4" t="s">
        <v>10917</v>
      </c>
      <c r="B5436" s="4" t="s">
        <v>10918</v>
      </c>
      <c r="C5436" s="4" t="s">
        <v>47</v>
      </c>
      <c r="D5436" s="2">
        <f>17013332/(10^6)</f>
        <v>17.013332</v>
      </c>
      <c r="E5436" s="5">
        <v>8.33868408203125</v>
      </c>
      <c r="F5436" s="5">
        <v>0.239406540989876</v>
      </c>
      <c r="G5436" s="5">
        <v>0.030335519462824</v>
      </c>
      <c r="H5436" s="5">
        <v>12.2286443710327</v>
      </c>
      <c r="I5436" t="s">
        <v>57</v>
      </c>
    </row>
    <row r="5437" spans="1:9">
      <c r="A5437" s="4" t="s">
        <v>10919</v>
      </c>
      <c r="B5437" s="4" t="s">
        <v>10920</v>
      </c>
      <c r="C5437" s="4" t="s">
        <v>51</v>
      </c>
      <c r="D5437" s="2">
        <f>17002226/(10^6)</f>
        <v>17.002226</v>
      </c>
      <c r="E5437" s="5" t="s">
        <v>86</v>
      </c>
      <c r="F5437" s="5">
        <v>0.512716054916382</v>
      </c>
      <c r="G5437" s="5">
        <v>0.901569187641144</v>
      </c>
      <c r="H5437" s="5" t="s">
        <v>86</v>
      </c>
      <c r="I5437" t="s">
        <v>57</v>
      </c>
    </row>
    <row r="5438" spans="1:9">
      <c r="A5438" s="4" t="s">
        <v>10921</v>
      </c>
      <c r="B5438" s="4" t="s">
        <v>10922</v>
      </c>
      <c r="C5438" s="4" t="s">
        <v>31</v>
      </c>
      <c r="D5438" s="2">
        <f>16991656/(10^6)</f>
        <v>16.991656</v>
      </c>
      <c r="E5438" s="5">
        <v>4.046875</v>
      </c>
      <c r="F5438" s="5">
        <v>0.519699156284332</v>
      </c>
      <c r="G5438" s="5">
        <v>0.08747623115778</v>
      </c>
      <c r="H5438" s="5">
        <v>5.39402532577515</v>
      </c>
      <c r="I5438" t="s">
        <v>57</v>
      </c>
    </row>
    <row r="5439" spans="1:9">
      <c r="A5439" s="4" t="s">
        <v>10923</v>
      </c>
      <c r="B5439" s="4" t="s">
        <v>10924</v>
      </c>
      <c r="C5439" s="4" t="s">
        <v>41</v>
      </c>
      <c r="D5439" s="2">
        <f>16983562/(10^6)</f>
        <v>16.983562</v>
      </c>
      <c r="E5439" s="5" t="s">
        <v>86</v>
      </c>
      <c r="F5439" s="5">
        <v>0.645195186138153</v>
      </c>
      <c r="G5439" s="5" t="s">
        <v>86</v>
      </c>
      <c r="H5439" s="5" t="s">
        <v>86</v>
      </c>
      <c r="I5439" t="s">
        <v>57</v>
      </c>
    </row>
    <row r="5440" spans="1:9">
      <c r="A5440" s="4" t="s">
        <v>10925</v>
      </c>
      <c r="B5440" s="4" t="s">
        <v>10926</v>
      </c>
      <c r="C5440" s="4" t="s">
        <v>27</v>
      </c>
      <c r="D5440" s="2">
        <f>16934800/(10^6)</f>
        <v>16.9348</v>
      </c>
      <c r="E5440" s="5">
        <v>4.61361026763916</v>
      </c>
      <c r="F5440" s="5">
        <v>0.748770713806152</v>
      </c>
      <c r="G5440" s="5">
        <v>6.42480754852295</v>
      </c>
      <c r="H5440" s="5" t="s">
        <v>86</v>
      </c>
      <c r="I5440" t="s">
        <v>57</v>
      </c>
    </row>
    <row r="5441" spans="1:9">
      <c r="A5441" s="4" t="s">
        <v>10927</v>
      </c>
      <c r="B5441" s="4" t="s">
        <v>10928</v>
      </c>
      <c r="C5441" s="4" t="s">
        <v>49</v>
      </c>
      <c r="D5441" s="2">
        <f>16927012/(10^6)</f>
        <v>16.927012</v>
      </c>
      <c r="E5441" s="5" t="s">
        <v>86</v>
      </c>
      <c r="F5441" s="5" t="s">
        <v>86</v>
      </c>
      <c r="G5441" s="5" t="s">
        <v>86</v>
      </c>
      <c r="H5441" s="5" t="s">
        <v>86</v>
      </c>
      <c r="I5441" t="s">
        <v>57</v>
      </c>
    </row>
    <row r="5442" spans="1:9">
      <c r="A5442" s="4" t="s">
        <v>10929</v>
      </c>
      <c r="B5442" s="4" t="s">
        <v>10930</v>
      </c>
      <c r="C5442" s="4" t="s">
        <v>41</v>
      </c>
      <c r="D5442" s="2">
        <f>16905498/(10^6)</f>
        <v>16.905498</v>
      </c>
      <c r="E5442" s="5" t="s">
        <v>86</v>
      </c>
      <c r="F5442" s="5">
        <v>22.3952598571777</v>
      </c>
      <c r="G5442" s="5">
        <v>0.640294373035431</v>
      </c>
      <c r="H5442" s="5" t="s">
        <v>86</v>
      </c>
      <c r="I5442" t="s">
        <v>57</v>
      </c>
    </row>
    <row r="5443" spans="1:9">
      <c r="A5443" s="4" t="s">
        <v>10931</v>
      </c>
      <c r="B5443" s="4" t="s">
        <v>10932</v>
      </c>
      <c r="C5443" s="4" t="s">
        <v>41</v>
      </c>
      <c r="D5443" s="2">
        <f>16894230/(10^6)</f>
        <v>16.89423</v>
      </c>
      <c r="E5443" s="5" t="s">
        <v>86</v>
      </c>
      <c r="F5443" s="5">
        <v>3.32241940498352</v>
      </c>
      <c r="G5443" s="5">
        <v>0.565741717815399</v>
      </c>
      <c r="H5443" s="5" t="s">
        <v>86</v>
      </c>
      <c r="I5443" t="s">
        <v>57</v>
      </c>
    </row>
    <row r="5444" spans="1:9">
      <c r="A5444" s="4" t="s">
        <v>10933</v>
      </c>
      <c r="B5444" s="4" t="s">
        <v>10934</v>
      </c>
      <c r="C5444" s="4" t="s">
        <v>47</v>
      </c>
      <c r="D5444" s="2">
        <f>16860724/(10^6)</f>
        <v>16.860724</v>
      </c>
      <c r="E5444" s="5">
        <v>14.3750019073486</v>
      </c>
      <c r="F5444" s="5">
        <v>0.235355660319328</v>
      </c>
      <c r="G5444" s="5">
        <v>0.002506744582206</v>
      </c>
      <c r="H5444" s="5">
        <v>33.744140625</v>
      </c>
      <c r="I5444" t="s">
        <v>57</v>
      </c>
    </row>
    <row r="5445" spans="1:9">
      <c r="A5445" s="4" t="s">
        <v>10935</v>
      </c>
      <c r="B5445" s="4" t="s">
        <v>10936</v>
      </c>
      <c r="C5445" s="4" t="s">
        <v>49</v>
      </c>
      <c r="D5445" s="2">
        <f>16830000/(10^6)</f>
        <v>16.83</v>
      </c>
      <c r="E5445" s="5" t="s">
        <v>86</v>
      </c>
      <c r="F5445" s="5" t="s">
        <v>86</v>
      </c>
      <c r="G5445" s="5" t="s">
        <v>86</v>
      </c>
      <c r="H5445" s="5" t="s">
        <v>86</v>
      </c>
      <c r="I5445" t="s">
        <v>57</v>
      </c>
    </row>
    <row r="5446" spans="1:9">
      <c r="A5446" s="4" t="s">
        <v>10937</v>
      </c>
      <c r="B5446" s="4" t="s">
        <v>10938</v>
      </c>
      <c r="C5446" s="4" t="s">
        <v>43</v>
      </c>
      <c r="D5446" s="2">
        <f>16816822/(10^6)</f>
        <v>16.816822</v>
      </c>
      <c r="E5446" s="5">
        <v>38.8386306762695</v>
      </c>
      <c r="F5446" s="5">
        <v>1.16556513309479</v>
      </c>
      <c r="G5446" s="5">
        <v>1.90924119949341</v>
      </c>
      <c r="H5446" s="5" t="s">
        <v>86</v>
      </c>
      <c r="I5446" t="s">
        <v>57</v>
      </c>
    </row>
    <row r="5447" spans="1:9">
      <c r="A5447" s="4" t="s">
        <v>10939</v>
      </c>
      <c r="B5447" s="4" t="s">
        <v>10940</v>
      </c>
      <c r="C5447" s="4" t="s">
        <v>43</v>
      </c>
      <c r="D5447" s="2">
        <f>16800000/(10^6)</f>
        <v>16.8</v>
      </c>
      <c r="E5447" s="5">
        <v>6.16740083694458</v>
      </c>
      <c r="F5447" s="5">
        <v>0.787166476249695</v>
      </c>
      <c r="G5447" s="5">
        <v>1.32821249961853</v>
      </c>
      <c r="H5447" s="5" t="s">
        <v>86</v>
      </c>
      <c r="I5447" t="s">
        <v>57</v>
      </c>
    </row>
    <row r="5448" spans="1:9">
      <c r="A5448" s="4" t="s">
        <v>10941</v>
      </c>
      <c r="B5448" s="4" t="s">
        <v>10942</v>
      </c>
      <c r="C5448" s="4" t="s">
        <v>43</v>
      </c>
      <c r="D5448" s="2">
        <f>16785606/(10^6)</f>
        <v>16.785606</v>
      </c>
      <c r="E5448" s="5">
        <v>20.7142848968506</v>
      </c>
      <c r="F5448" s="5">
        <v>0.817498028278351</v>
      </c>
      <c r="G5448" s="5">
        <v>2.36914968490601</v>
      </c>
      <c r="H5448" s="5" t="s">
        <v>86</v>
      </c>
      <c r="I5448" t="s">
        <v>57</v>
      </c>
    </row>
    <row r="5449" spans="1:9">
      <c r="A5449" s="4" t="s">
        <v>10943</v>
      </c>
      <c r="B5449" s="4" t="s">
        <v>10944</v>
      </c>
      <c r="C5449" s="4" t="s">
        <v>41</v>
      </c>
      <c r="D5449" s="2">
        <f>16777984/(10^6)</f>
        <v>16.777984</v>
      </c>
      <c r="E5449" s="5" t="s">
        <v>86</v>
      </c>
      <c r="F5449" s="5">
        <v>10.3182783126831</v>
      </c>
      <c r="G5449" s="5">
        <v>20.3644638061523</v>
      </c>
      <c r="H5449" s="5" t="s">
        <v>86</v>
      </c>
      <c r="I5449" t="s">
        <v>57</v>
      </c>
    </row>
    <row r="5450" spans="1:9">
      <c r="A5450" s="4" t="s">
        <v>10945</v>
      </c>
      <c r="B5450" s="4" t="s">
        <v>10946</v>
      </c>
      <c r="C5450" s="4" t="s">
        <v>31</v>
      </c>
      <c r="D5450" s="2">
        <f>16763247/(10^6)</f>
        <v>16.763247</v>
      </c>
      <c r="E5450" s="5" t="s">
        <v>86</v>
      </c>
      <c r="F5450" s="5">
        <v>0.753468036651611</v>
      </c>
      <c r="G5450" s="5">
        <v>0.280905038118362</v>
      </c>
      <c r="H5450" s="5" t="s">
        <v>86</v>
      </c>
      <c r="I5450" t="s">
        <v>57</v>
      </c>
    </row>
    <row r="5451" spans="1:9">
      <c r="A5451" s="4" t="s">
        <v>10947</v>
      </c>
      <c r="B5451" s="4" t="s">
        <v>10948</v>
      </c>
      <c r="C5451" s="4" t="s">
        <v>49</v>
      </c>
      <c r="D5451" s="2">
        <f>16675582/(10^6)</f>
        <v>16.675582</v>
      </c>
      <c r="E5451" s="5">
        <v>9.63320446014404</v>
      </c>
      <c r="F5451" s="5">
        <v>0.624310731887817</v>
      </c>
      <c r="G5451" s="5">
        <v>0.755238354206085</v>
      </c>
      <c r="H5451" s="5" t="s">
        <v>86</v>
      </c>
      <c r="I5451" t="s">
        <v>57</v>
      </c>
    </row>
    <row r="5452" spans="1:9">
      <c r="A5452" s="4" t="s">
        <v>10949</v>
      </c>
      <c r="B5452" s="4" t="s">
        <v>10950</v>
      </c>
      <c r="C5452" s="4" t="s">
        <v>51</v>
      </c>
      <c r="D5452" s="2">
        <f>16658124/(10^6)</f>
        <v>16.658124</v>
      </c>
      <c r="E5452" s="5" t="s">
        <v>86</v>
      </c>
      <c r="F5452" s="5" t="s">
        <v>86</v>
      </c>
      <c r="G5452" s="5" t="s">
        <v>86</v>
      </c>
      <c r="H5452" s="5" t="s">
        <v>86</v>
      </c>
      <c r="I5452" t="s">
        <v>57</v>
      </c>
    </row>
    <row r="5453" spans="1:9">
      <c r="A5453" s="4" t="s">
        <v>10951</v>
      </c>
      <c r="B5453" s="4" t="s">
        <v>10952</v>
      </c>
      <c r="C5453" s="4" t="s">
        <v>33</v>
      </c>
      <c r="D5453" s="2">
        <f>16631756/(10^6)</f>
        <v>16.631756</v>
      </c>
      <c r="E5453" s="5" t="s">
        <v>86</v>
      </c>
      <c r="F5453" s="5" t="s">
        <v>86</v>
      </c>
      <c r="G5453" s="5" t="s">
        <v>86</v>
      </c>
      <c r="H5453" s="5" t="s">
        <v>86</v>
      </c>
      <c r="I5453" t="s">
        <v>57</v>
      </c>
    </row>
    <row r="5454" spans="1:9">
      <c r="A5454" s="4" t="s">
        <v>10953</v>
      </c>
      <c r="B5454" s="4" t="s">
        <v>10954</v>
      </c>
      <c r="C5454" s="4" t="s">
        <v>49</v>
      </c>
      <c r="D5454" s="2">
        <f>16605750/(10^6)</f>
        <v>16.60575</v>
      </c>
      <c r="E5454" s="5" t="s">
        <v>86</v>
      </c>
      <c r="F5454" s="5" t="s">
        <v>86</v>
      </c>
      <c r="G5454" s="5" t="s">
        <v>86</v>
      </c>
      <c r="H5454" s="5" t="s">
        <v>86</v>
      </c>
      <c r="I5454" t="s">
        <v>57</v>
      </c>
    </row>
    <row r="5455" spans="1:9">
      <c r="A5455" s="4" t="s">
        <v>10955</v>
      </c>
      <c r="B5455" s="4" t="s">
        <v>10956</v>
      </c>
      <c r="C5455" s="4" t="s">
        <v>41</v>
      </c>
      <c r="D5455" s="2">
        <f>16599074/(10^6)</f>
        <v>16.599074</v>
      </c>
      <c r="E5455" s="5" t="s">
        <v>86</v>
      </c>
      <c r="F5455" s="5" t="s">
        <v>86</v>
      </c>
      <c r="G5455" s="5">
        <v>0.656070113182068</v>
      </c>
      <c r="H5455" s="5" t="s">
        <v>86</v>
      </c>
      <c r="I5455" t="s">
        <v>57</v>
      </c>
    </row>
    <row r="5456" spans="1:9">
      <c r="A5456" s="4" t="s">
        <v>10957</v>
      </c>
      <c r="B5456" s="4" t="s">
        <v>10958</v>
      </c>
      <c r="C5456" s="4" t="s">
        <v>31</v>
      </c>
      <c r="D5456" s="2">
        <f>16588941/(10^6)</f>
        <v>16.588941</v>
      </c>
      <c r="E5456" s="5" t="s">
        <v>86</v>
      </c>
      <c r="F5456" s="5" t="s">
        <v>86</v>
      </c>
      <c r="G5456" s="5">
        <v>2.74798965454102</v>
      </c>
      <c r="H5456" s="5" t="s">
        <v>86</v>
      </c>
      <c r="I5456" t="s">
        <v>57</v>
      </c>
    </row>
    <row r="5457" spans="1:9">
      <c r="A5457" s="4" t="s">
        <v>10959</v>
      </c>
      <c r="B5457" s="4" t="s">
        <v>10960</v>
      </c>
      <c r="C5457" s="4" t="s">
        <v>49</v>
      </c>
      <c r="D5457" s="2">
        <f>16563319/(10^6)</f>
        <v>16.563319</v>
      </c>
      <c r="E5457" s="5" t="s">
        <v>86</v>
      </c>
      <c r="F5457" s="5" t="s">
        <v>86</v>
      </c>
      <c r="G5457" s="5" t="s">
        <v>86</v>
      </c>
      <c r="H5457" s="5" t="s">
        <v>86</v>
      </c>
      <c r="I5457" t="s">
        <v>57</v>
      </c>
    </row>
    <row r="5458" spans="1:9">
      <c r="A5458" s="4" t="s">
        <v>10961</v>
      </c>
      <c r="B5458" s="4" t="s">
        <v>10962</v>
      </c>
      <c r="C5458" s="4" t="s">
        <v>43</v>
      </c>
      <c r="D5458" s="2">
        <f>16542191/(10^6)</f>
        <v>16.542191</v>
      </c>
      <c r="E5458" s="5">
        <v>8.65853595733643</v>
      </c>
      <c r="F5458" s="5">
        <v>0.619534850120544</v>
      </c>
      <c r="G5458" s="5" t="s">
        <v>86</v>
      </c>
      <c r="H5458" s="5" t="s">
        <v>86</v>
      </c>
      <c r="I5458" t="s">
        <v>57</v>
      </c>
    </row>
    <row r="5459" spans="1:9">
      <c r="A5459" s="4" t="s">
        <v>10963</v>
      </c>
      <c r="B5459" s="4" t="s">
        <v>10964</v>
      </c>
      <c r="C5459" s="4" t="s">
        <v>41</v>
      </c>
      <c r="D5459" s="2">
        <f>16513763/(10^6)</f>
        <v>16.513763</v>
      </c>
      <c r="E5459" s="5" t="s">
        <v>86</v>
      </c>
      <c r="F5459" s="5">
        <v>0.464836090803146</v>
      </c>
      <c r="G5459" s="5" t="s">
        <v>86</v>
      </c>
      <c r="H5459" s="5" t="s">
        <v>86</v>
      </c>
      <c r="I5459" t="s">
        <v>57</v>
      </c>
    </row>
    <row r="5460" spans="1:9">
      <c r="A5460" s="4" t="s">
        <v>10965</v>
      </c>
      <c r="B5460" s="4" t="s">
        <v>10966</v>
      </c>
      <c r="C5460" s="4" t="s">
        <v>45</v>
      </c>
      <c r="D5460" s="2">
        <f>16511208/(10^6)</f>
        <v>16.511208</v>
      </c>
      <c r="E5460" s="5">
        <v>105.587432861328</v>
      </c>
      <c r="F5460" s="5">
        <v>1.06886267662048</v>
      </c>
      <c r="G5460" s="5">
        <v>20.3523101806641</v>
      </c>
      <c r="H5460" s="5">
        <v>68.2122192382812</v>
      </c>
      <c r="I5460" t="s">
        <v>57</v>
      </c>
    </row>
    <row r="5461" spans="1:9">
      <c r="A5461" s="4" t="s">
        <v>10967</v>
      </c>
      <c r="B5461" s="4" t="s">
        <v>10968</v>
      </c>
      <c r="C5461" s="4" t="s">
        <v>41</v>
      </c>
      <c r="D5461" s="2">
        <f>16455874/(10^6)</f>
        <v>16.455874</v>
      </c>
      <c r="E5461" s="5" t="s">
        <v>86</v>
      </c>
      <c r="F5461" s="5" t="s">
        <v>86</v>
      </c>
      <c r="G5461" s="5">
        <v>14.2075643539429</v>
      </c>
      <c r="H5461" s="5" t="s">
        <v>86</v>
      </c>
      <c r="I5461" t="s">
        <v>57</v>
      </c>
    </row>
    <row r="5462" spans="1:9">
      <c r="A5462" s="4" t="s">
        <v>10969</v>
      </c>
      <c r="B5462" s="4" t="s">
        <v>10970</v>
      </c>
      <c r="C5462" s="4" t="s">
        <v>41</v>
      </c>
      <c r="D5462" s="2">
        <f>16436960/(10^6)</f>
        <v>16.43696</v>
      </c>
      <c r="E5462" s="5" t="s">
        <v>86</v>
      </c>
      <c r="F5462" s="5">
        <v>0.425632506608963</v>
      </c>
      <c r="G5462" s="5">
        <v>0.450090110301971</v>
      </c>
      <c r="H5462" s="5">
        <v>13.4223966598511</v>
      </c>
      <c r="I5462" t="s">
        <v>57</v>
      </c>
    </row>
    <row r="5463" spans="1:9">
      <c r="A5463" s="4" t="s">
        <v>10971</v>
      </c>
      <c r="B5463" s="4" t="s">
        <v>10972</v>
      </c>
      <c r="C5463" s="4" t="s">
        <v>51</v>
      </c>
      <c r="D5463" s="2">
        <f>16435238/(10^6)</f>
        <v>16.435238</v>
      </c>
      <c r="E5463" s="5" t="s">
        <v>86</v>
      </c>
      <c r="F5463" s="5" t="s">
        <v>86</v>
      </c>
      <c r="G5463" s="5">
        <v>4.04451751708984</v>
      </c>
      <c r="H5463" s="5" t="s">
        <v>86</v>
      </c>
      <c r="I5463" t="s">
        <v>57</v>
      </c>
    </row>
    <row r="5464" spans="1:9">
      <c r="A5464" s="4" t="s">
        <v>10973</v>
      </c>
      <c r="B5464" s="4" t="s">
        <v>10974</v>
      </c>
      <c r="C5464" s="4" t="s">
        <v>49</v>
      </c>
      <c r="D5464" s="2">
        <f>16425000/(10^6)</f>
        <v>16.425</v>
      </c>
      <c r="E5464" s="5" t="s">
        <v>86</v>
      </c>
      <c r="F5464" s="5" t="s">
        <v>86</v>
      </c>
      <c r="G5464" s="5" t="s">
        <v>86</v>
      </c>
      <c r="H5464" s="5" t="s">
        <v>86</v>
      </c>
      <c r="I5464" t="s">
        <v>57</v>
      </c>
    </row>
    <row r="5465" spans="1:9">
      <c r="A5465" s="4" t="s">
        <v>10975</v>
      </c>
      <c r="B5465" s="4" t="s">
        <v>10976</v>
      </c>
      <c r="C5465" s="4" t="s">
        <v>43</v>
      </c>
      <c r="D5465" s="2">
        <f>16395843/(10^6)</f>
        <v>16.395843</v>
      </c>
      <c r="E5465" s="5">
        <v>9.25</v>
      </c>
      <c r="F5465" s="5">
        <v>0.625087022781372</v>
      </c>
      <c r="G5465" s="5">
        <v>1.37027132511139</v>
      </c>
      <c r="H5465" s="5" t="s">
        <v>86</v>
      </c>
      <c r="I5465" t="s">
        <v>57</v>
      </c>
    </row>
    <row r="5466" spans="1:9">
      <c r="A5466" s="4" t="s">
        <v>10977</v>
      </c>
      <c r="B5466" s="4" t="s">
        <v>10978</v>
      </c>
      <c r="C5466" s="4" t="s">
        <v>47</v>
      </c>
      <c r="D5466" s="2">
        <f>16277869/(10^6)</f>
        <v>16.277869</v>
      </c>
      <c r="E5466" s="5" t="s">
        <v>86</v>
      </c>
      <c r="F5466" s="5">
        <v>0.212495818734169</v>
      </c>
      <c r="G5466" s="5">
        <v>0.003090140409768</v>
      </c>
      <c r="H5466" s="5" t="s">
        <v>86</v>
      </c>
      <c r="I5466" t="s">
        <v>57</v>
      </c>
    </row>
    <row r="5467" spans="1:9">
      <c r="A5467" s="4" t="s">
        <v>10979</v>
      </c>
      <c r="B5467" s="4" t="s">
        <v>10980</v>
      </c>
      <c r="C5467" s="4" t="s">
        <v>47</v>
      </c>
      <c r="D5467" s="2">
        <f>16216150/(10^6)</f>
        <v>16.21615</v>
      </c>
      <c r="E5467" s="5">
        <v>7.73561382293701</v>
      </c>
      <c r="F5467" s="5" t="s">
        <v>86</v>
      </c>
      <c r="G5467" s="5">
        <v>1.18098139762878</v>
      </c>
      <c r="H5467" s="5">
        <v>9.03801155090332</v>
      </c>
      <c r="I5467" t="s">
        <v>57</v>
      </c>
    </row>
    <row r="5468" spans="1:9">
      <c r="A5468" s="4" t="s">
        <v>10981</v>
      </c>
      <c r="B5468" s="4" t="s">
        <v>10982</v>
      </c>
      <c r="C5468" s="4" t="s">
        <v>35</v>
      </c>
      <c r="D5468" s="2">
        <f>16200552/(10^6)</f>
        <v>16.200552</v>
      </c>
      <c r="E5468" s="5" t="s">
        <v>86</v>
      </c>
      <c r="F5468" s="5">
        <v>0.685972034931183</v>
      </c>
      <c r="G5468" s="5">
        <v>0.568582653999329</v>
      </c>
      <c r="H5468" s="5">
        <v>64.3804702758789</v>
      </c>
      <c r="I5468" t="s">
        <v>57</v>
      </c>
    </row>
    <row r="5469" spans="1:9">
      <c r="A5469" s="4" t="s">
        <v>10983</v>
      </c>
      <c r="B5469" s="4" t="s">
        <v>10984</v>
      </c>
      <c r="C5469" s="4" t="s">
        <v>41</v>
      </c>
      <c r="D5469" s="2">
        <f>16189322/(10^6)</f>
        <v>16.189322</v>
      </c>
      <c r="E5469" s="5" t="s">
        <v>86</v>
      </c>
      <c r="F5469" s="5" t="s">
        <v>86</v>
      </c>
      <c r="G5469" s="5" t="s">
        <v>86</v>
      </c>
      <c r="H5469" s="5" t="s">
        <v>86</v>
      </c>
      <c r="I5469" t="s">
        <v>57</v>
      </c>
    </row>
    <row r="5470" spans="1:9">
      <c r="A5470" s="4" t="s">
        <v>10985</v>
      </c>
      <c r="B5470" s="4" t="s">
        <v>10986</v>
      </c>
      <c r="C5470" s="4" t="s">
        <v>49</v>
      </c>
      <c r="D5470" s="2">
        <f>16151869/(10^6)</f>
        <v>16.151869</v>
      </c>
      <c r="E5470" s="5" t="s">
        <v>86</v>
      </c>
      <c r="F5470" s="5" t="s">
        <v>86</v>
      </c>
      <c r="G5470" s="5">
        <v>0.022812495008111</v>
      </c>
      <c r="H5470" s="5" t="s">
        <v>86</v>
      </c>
      <c r="I5470" t="s">
        <v>57</v>
      </c>
    </row>
    <row r="5471" spans="1:9">
      <c r="A5471" s="4" t="s">
        <v>10987</v>
      </c>
      <c r="B5471" s="4" t="s">
        <v>10988</v>
      </c>
      <c r="C5471" s="4" t="s">
        <v>27</v>
      </c>
      <c r="D5471" s="2">
        <f>16102350/(10^6)</f>
        <v>16.10235</v>
      </c>
      <c r="E5471" s="5" t="s">
        <v>86</v>
      </c>
      <c r="F5471" s="5">
        <v>0.072714135050774</v>
      </c>
      <c r="G5471" s="5">
        <v>0.009567292407155</v>
      </c>
      <c r="H5471" s="5" t="s">
        <v>86</v>
      </c>
      <c r="I5471" t="s">
        <v>57</v>
      </c>
    </row>
    <row r="5472" spans="1:9">
      <c r="A5472" s="4" t="s">
        <v>10989</v>
      </c>
      <c r="B5472" s="4" t="s">
        <v>10990</v>
      </c>
      <c r="C5472" s="4" t="s">
        <v>43</v>
      </c>
      <c r="D5472" s="2">
        <f>16035253/(10^6)</f>
        <v>16.035253</v>
      </c>
      <c r="E5472" s="5" t="s">
        <v>86</v>
      </c>
      <c r="F5472" s="5">
        <v>0.572090923786163</v>
      </c>
      <c r="G5472" s="5">
        <v>2.90326118469238</v>
      </c>
      <c r="H5472" s="5" t="s">
        <v>86</v>
      </c>
      <c r="I5472" t="s">
        <v>57</v>
      </c>
    </row>
    <row r="5473" spans="1:9">
      <c r="A5473" s="4" t="s">
        <v>10991</v>
      </c>
      <c r="B5473" s="4" t="s">
        <v>10992</v>
      </c>
      <c r="C5473" s="4" t="s">
        <v>41</v>
      </c>
      <c r="D5473" s="2">
        <f>16031272/(10^6)</f>
        <v>16.031272</v>
      </c>
      <c r="E5473" s="5" t="s">
        <v>86</v>
      </c>
      <c r="F5473" s="5" t="s">
        <v>86</v>
      </c>
      <c r="G5473" s="5">
        <v>0.240199565887451</v>
      </c>
      <c r="H5473" s="5" t="s">
        <v>86</v>
      </c>
      <c r="I5473" t="s">
        <v>57</v>
      </c>
    </row>
    <row r="5474" spans="1:9">
      <c r="A5474" s="4" t="s">
        <v>10993</v>
      </c>
      <c r="B5474" s="4" t="s">
        <v>10994</v>
      </c>
      <c r="C5474" s="4" t="s">
        <v>49</v>
      </c>
      <c r="D5474" s="2">
        <f>16025015/(10^6)</f>
        <v>16.025015</v>
      </c>
      <c r="E5474" s="5" t="s">
        <v>86</v>
      </c>
      <c r="F5474" s="5" t="s">
        <v>86</v>
      </c>
      <c r="G5474" s="5" t="s">
        <v>86</v>
      </c>
      <c r="H5474" s="5" t="s">
        <v>86</v>
      </c>
      <c r="I5474" t="s">
        <v>57</v>
      </c>
    </row>
    <row r="5475" spans="1:9">
      <c r="A5475" s="4" t="s">
        <v>10995</v>
      </c>
      <c r="B5475" s="4" t="s">
        <v>10996</v>
      </c>
      <c r="C5475" s="4" t="s">
        <v>31</v>
      </c>
      <c r="D5475" s="2">
        <f>15988700/(10^6)</f>
        <v>15.9887</v>
      </c>
      <c r="E5475" s="5" t="s">
        <v>86</v>
      </c>
      <c r="F5475" s="5" t="s">
        <v>86</v>
      </c>
      <c r="G5475" s="5" t="s">
        <v>86</v>
      </c>
      <c r="H5475" s="5" t="s">
        <v>86</v>
      </c>
      <c r="I5475" t="s">
        <v>57</v>
      </c>
    </row>
    <row r="5476" spans="1:9">
      <c r="A5476" s="4" t="s">
        <v>10997</v>
      </c>
      <c r="B5476" s="4" t="s">
        <v>10998</v>
      </c>
      <c r="C5476" s="4" t="s">
        <v>45</v>
      </c>
      <c r="D5476" s="2">
        <f>15929410/(10^6)</f>
        <v>15.92941</v>
      </c>
      <c r="E5476" s="5" t="s">
        <v>86</v>
      </c>
      <c r="F5476" s="5" t="s">
        <v>86</v>
      </c>
      <c r="G5476" s="5">
        <v>28.3988151550293</v>
      </c>
      <c r="H5476" s="5" t="s">
        <v>86</v>
      </c>
      <c r="I5476" t="s">
        <v>57</v>
      </c>
    </row>
    <row r="5477" spans="1:9">
      <c r="A5477" s="4" t="s">
        <v>10999</v>
      </c>
      <c r="B5477" s="4" t="s">
        <v>11000</v>
      </c>
      <c r="C5477" s="4" t="s">
        <v>41</v>
      </c>
      <c r="D5477" s="2">
        <f>15929186/(10^6)</f>
        <v>15.929186</v>
      </c>
      <c r="E5477" s="5" t="s">
        <v>86</v>
      </c>
      <c r="F5477" s="5" t="s">
        <v>86</v>
      </c>
      <c r="G5477" s="5" t="s">
        <v>86</v>
      </c>
      <c r="H5477" s="5" t="s">
        <v>86</v>
      </c>
      <c r="I5477" t="s">
        <v>57</v>
      </c>
    </row>
    <row r="5478" spans="1:9">
      <c r="A5478" s="4" t="s">
        <v>11001</v>
      </c>
      <c r="B5478" s="4" t="s">
        <v>11002</v>
      </c>
      <c r="C5478" s="4" t="s">
        <v>49</v>
      </c>
      <c r="D5478" s="2">
        <f>15909450/(10^6)</f>
        <v>15.90945</v>
      </c>
      <c r="E5478" s="5" t="s">
        <v>86</v>
      </c>
      <c r="F5478" s="5">
        <v>329.244659423828</v>
      </c>
      <c r="G5478" s="5">
        <v>15.085186958313</v>
      </c>
      <c r="H5478" s="5" t="s">
        <v>86</v>
      </c>
      <c r="I5478" t="s">
        <v>57</v>
      </c>
    </row>
    <row r="5479" spans="1:9">
      <c r="A5479" s="4" t="s">
        <v>11003</v>
      </c>
      <c r="B5479" s="4" t="s">
        <v>11004</v>
      </c>
      <c r="C5479" s="4" t="s">
        <v>43</v>
      </c>
      <c r="D5479" s="2">
        <f>15895224/(10^6)</f>
        <v>15.895224</v>
      </c>
      <c r="E5479" s="5">
        <v>7.80346822738647</v>
      </c>
      <c r="F5479" s="5">
        <v>0.823764801025391</v>
      </c>
      <c r="G5479" s="5">
        <v>1.74570274353027</v>
      </c>
      <c r="H5479" s="5" t="s">
        <v>86</v>
      </c>
      <c r="I5479" t="s">
        <v>57</v>
      </c>
    </row>
    <row r="5480" spans="1:9">
      <c r="A5480" s="4" t="s">
        <v>11005</v>
      </c>
      <c r="B5480" s="4" t="s">
        <v>11006</v>
      </c>
      <c r="C5480" s="4" t="s">
        <v>43</v>
      </c>
      <c r="D5480" s="2">
        <f>15884005/(10^6)</f>
        <v>15.884005</v>
      </c>
      <c r="E5480" s="5" t="s">
        <v>86</v>
      </c>
      <c r="F5480" s="5" t="s">
        <v>86</v>
      </c>
      <c r="G5480" s="5" t="s">
        <v>86</v>
      </c>
      <c r="H5480" s="5" t="s">
        <v>86</v>
      </c>
      <c r="I5480" t="s">
        <v>57</v>
      </c>
    </row>
    <row r="5481" spans="1:9">
      <c r="A5481" s="4" t="s">
        <v>11007</v>
      </c>
      <c r="B5481" s="4" t="s">
        <v>11008</v>
      </c>
      <c r="C5481" s="4" t="s">
        <v>27</v>
      </c>
      <c r="D5481" s="2">
        <f>15846774/(10^6)</f>
        <v>15.846774</v>
      </c>
      <c r="E5481" s="5" t="s">
        <v>86</v>
      </c>
      <c r="F5481" s="5" t="s">
        <v>86</v>
      </c>
      <c r="G5481" s="5" t="s">
        <v>86</v>
      </c>
      <c r="H5481" s="5" t="s">
        <v>86</v>
      </c>
      <c r="I5481" t="s">
        <v>57</v>
      </c>
    </row>
    <row r="5482" spans="1:9">
      <c r="A5482" s="4" t="s">
        <v>11009</v>
      </c>
      <c r="B5482" s="4" t="s">
        <v>11010</v>
      </c>
      <c r="C5482" s="4" t="s">
        <v>51</v>
      </c>
      <c r="D5482" s="2">
        <f>15821669/(10^6)</f>
        <v>15.821669</v>
      </c>
      <c r="E5482" s="5" t="s">
        <v>86</v>
      </c>
      <c r="F5482" s="5" t="s">
        <v>86</v>
      </c>
      <c r="G5482" s="5">
        <v>0.693114042282104</v>
      </c>
      <c r="H5482" s="5" t="s">
        <v>86</v>
      </c>
      <c r="I5482" t="s">
        <v>57</v>
      </c>
    </row>
    <row r="5483" spans="1:9">
      <c r="A5483" s="4" t="s">
        <v>11011</v>
      </c>
      <c r="B5483" s="4" t="s">
        <v>11012</v>
      </c>
      <c r="C5483" s="4" t="s">
        <v>41</v>
      </c>
      <c r="D5483" s="2">
        <f>15782306/(10^6)</f>
        <v>15.782306</v>
      </c>
      <c r="E5483" s="5" t="s">
        <v>86</v>
      </c>
      <c r="F5483" s="5">
        <v>1.4323582649231</v>
      </c>
      <c r="G5483" s="5" t="s">
        <v>86</v>
      </c>
      <c r="H5483" s="5" t="s">
        <v>86</v>
      </c>
      <c r="I5483" t="s">
        <v>57</v>
      </c>
    </row>
    <row r="5484" spans="1:9">
      <c r="A5484" s="4" t="s">
        <v>11013</v>
      </c>
      <c r="B5484" s="4" t="s">
        <v>11014</v>
      </c>
      <c r="C5484" s="4" t="s">
        <v>43</v>
      </c>
      <c r="D5484" s="2">
        <f>15781875/(10^6)</f>
        <v>15.781875</v>
      </c>
      <c r="E5484" s="5">
        <v>3.95652198791504</v>
      </c>
      <c r="F5484" s="5">
        <v>0.678316950798035</v>
      </c>
      <c r="G5484" s="5" t="s">
        <v>86</v>
      </c>
      <c r="H5484" s="5" t="s">
        <v>86</v>
      </c>
      <c r="I5484" t="s">
        <v>57</v>
      </c>
    </row>
    <row r="5485" spans="1:9">
      <c r="A5485" s="4" t="s">
        <v>11015</v>
      </c>
      <c r="B5485" s="4" t="s">
        <v>11016</v>
      </c>
      <c r="C5485" s="4" t="s">
        <v>37</v>
      </c>
      <c r="D5485" s="2">
        <f>15681800/(10^6)</f>
        <v>15.6818</v>
      </c>
      <c r="E5485" s="5">
        <v>7.37314558029175</v>
      </c>
      <c r="F5485" s="5">
        <v>2.11154341697693</v>
      </c>
      <c r="G5485" s="5">
        <v>0.345355093479156</v>
      </c>
      <c r="H5485" s="5">
        <v>5.87374925613403</v>
      </c>
      <c r="I5485" t="s">
        <v>57</v>
      </c>
    </row>
    <row r="5486" spans="1:9">
      <c r="A5486" s="4" t="s">
        <v>11017</v>
      </c>
      <c r="B5486" s="4" t="s">
        <v>11018</v>
      </c>
      <c r="C5486" s="4" t="s">
        <v>43</v>
      </c>
      <c r="D5486" s="2">
        <f>15618015/(10^6)</f>
        <v>15.618015</v>
      </c>
      <c r="E5486" s="5">
        <v>18.1451606750488</v>
      </c>
      <c r="F5486" s="5">
        <v>0.989601612091064</v>
      </c>
      <c r="G5486" s="5">
        <v>1.63871192932129</v>
      </c>
      <c r="H5486" s="5" t="s">
        <v>86</v>
      </c>
      <c r="I5486" t="s">
        <v>57</v>
      </c>
    </row>
    <row r="5487" spans="1:9">
      <c r="A5487" s="4" t="s">
        <v>11019</v>
      </c>
      <c r="B5487" s="4" t="s">
        <v>11020</v>
      </c>
      <c r="C5487" s="4" t="s">
        <v>43</v>
      </c>
      <c r="D5487" s="2">
        <f>15604160/(10^6)</f>
        <v>15.60416</v>
      </c>
      <c r="E5487" s="5" t="s">
        <v>86</v>
      </c>
      <c r="F5487" s="5" t="s">
        <v>86</v>
      </c>
      <c r="G5487" s="5" t="s">
        <v>86</v>
      </c>
      <c r="H5487" s="5" t="s">
        <v>86</v>
      </c>
      <c r="I5487" t="s">
        <v>57</v>
      </c>
    </row>
    <row r="5488" spans="1:9">
      <c r="A5488" s="4" t="s">
        <v>11021</v>
      </c>
      <c r="B5488" s="4" t="s">
        <v>11022</v>
      </c>
      <c r="C5488" s="4" t="s">
        <v>43</v>
      </c>
      <c r="D5488" s="2">
        <f>15552843/(10^6)</f>
        <v>15.552843</v>
      </c>
      <c r="E5488" s="5">
        <v>57.7957534790039</v>
      </c>
      <c r="F5488" s="5">
        <v>5.77267503738403</v>
      </c>
      <c r="G5488" s="5">
        <v>1.07252264022827</v>
      </c>
      <c r="H5488" s="5">
        <v>24.652458190918</v>
      </c>
      <c r="I5488" t="s">
        <v>57</v>
      </c>
    </row>
    <row r="5489" spans="1:9">
      <c r="A5489" s="4" t="s">
        <v>11023</v>
      </c>
      <c r="B5489" s="4" t="s">
        <v>11024</v>
      </c>
      <c r="C5489" s="4" t="s">
        <v>47</v>
      </c>
      <c r="D5489" s="2">
        <f>15528482/(10^6)</f>
        <v>15.528482</v>
      </c>
      <c r="E5489" s="5" t="s">
        <v>86</v>
      </c>
      <c r="F5489" s="5">
        <v>1.14298021793366</v>
      </c>
      <c r="G5489" s="5">
        <v>0.565596342086792</v>
      </c>
      <c r="H5489" s="5" t="s">
        <v>86</v>
      </c>
      <c r="I5489" t="s">
        <v>57</v>
      </c>
    </row>
    <row r="5490" spans="1:9">
      <c r="A5490" s="4" t="s">
        <v>11025</v>
      </c>
      <c r="B5490" s="4" t="s">
        <v>11026</v>
      </c>
      <c r="C5490" s="4" t="s">
        <v>31</v>
      </c>
      <c r="D5490" s="2">
        <f>15510363/(10^6)</f>
        <v>15.510363</v>
      </c>
      <c r="E5490" s="5">
        <v>59.9999961853027</v>
      </c>
      <c r="F5490" s="5">
        <v>0.593993663787842</v>
      </c>
      <c r="G5490" s="5">
        <v>0.206478416919708</v>
      </c>
      <c r="H5490" s="5">
        <v>5.80526971817017</v>
      </c>
      <c r="I5490" t="s">
        <v>57</v>
      </c>
    </row>
    <row r="5491" spans="1:9">
      <c r="A5491" s="4" t="s">
        <v>11027</v>
      </c>
      <c r="B5491" s="4" t="s">
        <v>11028</v>
      </c>
      <c r="C5491" s="4" t="s">
        <v>35</v>
      </c>
      <c r="D5491" s="2">
        <f>15509903/(10^6)</f>
        <v>15.509903</v>
      </c>
      <c r="E5491" s="5">
        <v>28.868839263916</v>
      </c>
      <c r="F5491" s="5">
        <v>1.7144033908844</v>
      </c>
      <c r="G5491" s="5">
        <v>0.905842065811157</v>
      </c>
      <c r="H5491" s="5">
        <v>9.12419414520264</v>
      </c>
      <c r="I5491" t="s">
        <v>57</v>
      </c>
    </row>
    <row r="5492" spans="1:9">
      <c r="A5492" s="4" t="s">
        <v>11029</v>
      </c>
      <c r="B5492" s="4" t="s">
        <v>11030</v>
      </c>
      <c r="C5492" s="4" t="s">
        <v>47</v>
      </c>
      <c r="D5492" s="2">
        <f>15455258/(10^6)</f>
        <v>15.455258</v>
      </c>
      <c r="E5492" s="5" t="s">
        <v>86</v>
      </c>
      <c r="F5492" s="5" t="s">
        <v>86</v>
      </c>
      <c r="G5492" s="5">
        <v>0.001175362267531</v>
      </c>
      <c r="H5492" s="5" t="s">
        <v>86</v>
      </c>
      <c r="I5492" t="s">
        <v>57</v>
      </c>
    </row>
    <row r="5493" spans="1:9">
      <c r="A5493" s="4" t="s">
        <v>11031</v>
      </c>
      <c r="B5493" s="4" t="s">
        <v>11032</v>
      </c>
      <c r="C5493" s="4" t="s">
        <v>41</v>
      </c>
      <c r="D5493" s="2">
        <f>15451894/(10^6)</f>
        <v>15.451894</v>
      </c>
      <c r="E5493" s="5" t="s">
        <v>86</v>
      </c>
      <c r="F5493" s="5">
        <v>2.00465822219849</v>
      </c>
      <c r="G5493" s="5">
        <v>7.16581249237061</v>
      </c>
      <c r="H5493" s="5" t="s">
        <v>86</v>
      </c>
      <c r="I5493" t="s">
        <v>57</v>
      </c>
    </row>
    <row r="5494" spans="1:9">
      <c r="A5494" s="4" t="s">
        <v>11033</v>
      </c>
      <c r="B5494" s="4" t="s">
        <v>11034</v>
      </c>
      <c r="C5494" s="4" t="s">
        <v>43</v>
      </c>
      <c r="D5494" s="2">
        <f>15435063/(10^6)</f>
        <v>15.435063</v>
      </c>
      <c r="E5494" s="5">
        <v>11.4754095077515</v>
      </c>
      <c r="F5494" s="5">
        <v>0.890292525291443</v>
      </c>
      <c r="G5494" s="5">
        <v>1.43576562404633</v>
      </c>
      <c r="H5494" s="5" t="s">
        <v>86</v>
      </c>
      <c r="I5494" t="s">
        <v>57</v>
      </c>
    </row>
    <row r="5495" spans="1:9">
      <c r="A5495" s="4" t="s">
        <v>11035</v>
      </c>
      <c r="B5495" s="4" t="s">
        <v>11036</v>
      </c>
      <c r="C5495" s="4" t="s">
        <v>43</v>
      </c>
      <c r="D5495" s="2">
        <f>15432316/(10^6)</f>
        <v>15.432316</v>
      </c>
      <c r="E5495" s="5" t="s">
        <v>86</v>
      </c>
      <c r="F5495" s="5">
        <v>0.912723064422607</v>
      </c>
      <c r="G5495" s="5">
        <v>4.18696880340576</v>
      </c>
      <c r="H5495" s="5" t="s">
        <v>86</v>
      </c>
      <c r="I5495" t="s">
        <v>57</v>
      </c>
    </row>
    <row r="5496" spans="1:9">
      <c r="A5496" s="4" t="s">
        <v>11037</v>
      </c>
      <c r="B5496" s="4" t="s">
        <v>11038</v>
      </c>
      <c r="C5496" s="4" t="s">
        <v>49</v>
      </c>
      <c r="D5496" s="2">
        <f>15423215/(10^6)</f>
        <v>15.423215</v>
      </c>
      <c r="E5496" s="5">
        <v>34.4242095947266</v>
      </c>
      <c r="F5496" s="5">
        <v>0.96934300661087</v>
      </c>
      <c r="G5496" s="5">
        <v>2.2075138092041</v>
      </c>
      <c r="H5496" s="5" t="s">
        <v>86</v>
      </c>
      <c r="I5496" t="s">
        <v>57</v>
      </c>
    </row>
    <row r="5497" spans="1:9">
      <c r="A5497" s="4" t="s">
        <v>11039</v>
      </c>
      <c r="B5497" s="4" t="s">
        <v>11040</v>
      </c>
      <c r="C5497" s="4" t="s">
        <v>41</v>
      </c>
      <c r="D5497" s="2">
        <f>15348738/(10^6)</f>
        <v>15.348738</v>
      </c>
      <c r="E5497" s="5" t="s">
        <v>86</v>
      </c>
      <c r="F5497" s="5">
        <v>8.47996616363525</v>
      </c>
      <c r="G5497" s="5" t="s">
        <v>86</v>
      </c>
      <c r="H5497" s="5" t="s">
        <v>86</v>
      </c>
      <c r="I5497" t="s">
        <v>57</v>
      </c>
    </row>
    <row r="5498" spans="1:9">
      <c r="A5498" s="4" t="s">
        <v>11041</v>
      </c>
      <c r="B5498" s="4" t="s">
        <v>11042</v>
      </c>
      <c r="C5498" s="4" t="s">
        <v>37</v>
      </c>
      <c r="D5498" s="2">
        <f>15317864/(10^6)</f>
        <v>15.317864</v>
      </c>
      <c r="E5498" s="5" t="s">
        <v>86</v>
      </c>
      <c r="F5498" s="5" t="s">
        <v>86</v>
      </c>
      <c r="G5498" s="5">
        <v>3.12041211128235</v>
      </c>
      <c r="H5498" s="5" t="s">
        <v>86</v>
      </c>
      <c r="I5498" t="s">
        <v>57</v>
      </c>
    </row>
    <row r="5499" spans="1:9">
      <c r="A5499" s="4" t="s">
        <v>11043</v>
      </c>
      <c r="B5499" s="4" t="s">
        <v>11044</v>
      </c>
      <c r="C5499" s="4" t="s">
        <v>41</v>
      </c>
      <c r="D5499" s="2">
        <f>15314754/(10^6)</f>
        <v>15.314754</v>
      </c>
      <c r="E5499" s="5" t="s">
        <v>86</v>
      </c>
      <c r="F5499" s="5" t="s">
        <v>86</v>
      </c>
      <c r="G5499" s="5" t="s">
        <v>86</v>
      </c>
      <c r="H5499" s="5" t="s">
        <v>86</v>
      </c>
      <c r="I5499" t="s">
        <v>57</v>
      </c>
    </row>
    <row r="5500" spans="1:9">
      <c r="A5500" s="4" t="s">
        <v>11045</v>
      </c>
      <c r="B5500" s="4" t="s">
        <v>11046</v>
      </c>
      <c r="C5500" s="4" t="s">
        <v>31</v>
      </c>
      <c r="D5500" s="2">
        <f>15259934/(10^6)</f>
        <v>15.259934</v>
      </c>
      <c r="E5500" s="5" t="s">
        <v>86</v>
      </c>
      <c r="F5500" s="5">
        <v>0.095704771578312</v>
      </c>
      <c r="G5500" s="5" t="s">
        <v>86</v>
      </c>
      <c r="H5500" s="5" t="s">
        <v>86</v>
      </c>
      <c r="I5500" t="s">
        <v>57</v>
      </c>
    </row>
    <row r="5501" spans="1:9">
      <c r="A5501" s="4" t="s">
        <v>11047</v>
      </c>
      <c r="B5501" s="4" t="s">
        <v>11048</v>
      </c>
      <c r="C5501" s="4" t="s">
        <v>43</v>
      </c>
      <c r="D5501" s="2">
        <f>15250039/(10^6)</f>
        <v>15.250039</v>
      </c>
      <c r="E5501" s="5">
        <v>37.5</v>
      </c>
      <c r="F5501" s="5">
        <v>0.746868550777435</v>
      </c>
      <c r="G5501" s="5">
        <v>1.95169401168823</v>
      </c>
      <c r="H5501" s="5" t="s">
        <v>86</v>
      </c>
      <c r="I5501" t="s">
        <v>57</v>
      </c>
    </row>
    <row r="5502" spans="1:9">
      <c r="A5502" s="4" t="s">
        <v>11049</v>
      </c>
      <c r="B5502" s="4" t="s">
        <v>11050</v>
      </c>
      <c r="C5502" s="4" t="s">
        <v>41</v>
      </c>
      <c r="D5502" s="2">
        <f>15209294/(10^6)</f>
        <v>15.209294</v>
      </c>
      <c r="E5502" s="5" t="s">
        <v>86</v>
      </c>
      <c r="F5502" s="5">
        <v>4.6358699798584</v>
      </c>
      <c r="G5502" s="5" t="s">
        <v>86</v>
      </c>
      <c r="H5502" s="5" t="s">
        <v>86</v>
      </c>
      <c r="I5502" t="s">
        <v>57</v>
      </c>
    </row>
    <row r="5503" spans="1:9">
      <c r="A5503" s="4" t="s">
        <v>11051</v>
      </c>
      <c r="B5503" s="4" t="s">
        <v>11052</v>
      </c>
      <c r="C5503" s="4" t="s">
        <v>31</v>
      </c>
      <c r="D5503" s="2">
        <f>15201111/(10^6)</f>
        <v>15.201111</v>
      </c>
      <c r="E5503" s="5">
        <v>10.7091217041016</v>
      </c>
      <c r="F5503" s="5">
        <v>3.37895083427429</v>
      </c>
      <c r="G5503" s="5">
        <v>7.85209465026855</v>
      </c>
      <c r="H5503" s="5" t="s">
        <v>86</v>
      </c>
      <c r="I5503" t="s">
        <v>57</v>
      </c>
    </row>
    <row r="5504" spans="1:9">
      <c r="A5504" s="4" t="s">
        <v>11053</v>
      </c>
      <c r="B5504" s="4" t="s">
        <v>11054</v>
      </c>
      <c r="C5504" s="4" t="s">
        <v>49</v>
      </c>
      <c r="D5504" s="2">
        <f>15197421/(10^6)</f>
        <v>15.197421</v>
      </c>
      <c r="E5504" s="5">
        <v>72.5</v>
      </c>
      <c r="F5504" s="5">
        <v>0.862950444221497</v>
      </c>
      <c r="G5504" s="5">
        <v>2.15479183197021</v>
      </c>
      <c r="H5504" s="5" t="s">
        <v>86</v>
      </c>
      <c r="I5504" t="s">
        <v>57</v>
      </c>
    </row>
    <row r="5505" spans="1:9">
      <c r="A5505" s="4" t="s">
        <v>11055</v>
      </c>
      <c r="B5505" s="4" t="s">
        <v>11056</v>
      </c>
      <c r="C5505" s="4" t="s">
        <v>41</v>
      </c>
      <c r="D5505" s="2">
        <f>15188995/(10^6)</f>
        <v>15.188995</v>
      </c>
      <c r="E5505" s="5" t="s">
        <v>86</v>
      </c>
      <c r="F5505" s="5">
        <v>40.2889518737793</v>
      </c>
      <c r="G5505" s="5">
        <v>0.298201143741608</v>
      </c>
      <c r="H5505" s="5" t="s">
        <v>86</v>
      </c>
      <c r="I5505" t="s">
        <v>57</v>
      </c>
    </row>
    <row r="5506" spans="1:9">
      <c r="A5506" s="4" t="s">
        <v>11057</v>
      </c>
      <c r="B5506" s="4" t="s">
        <v>11058</v>
      </c>
      <c r="C5506" s="4" t="s">
        <v>41</v>
      </c>
      <c r="D5506" s="2">
        <f>15147384/(10^6)</f>
        <v>15.147384</v>
      </c>
      <c r="E5506" s="5" t="s">
        <v>86</v>
      </c>
      <c r="F5506" s="5">
        <v>0.456934750080109</v>
      </c>
      <c r="G5506" s="5">
        <v>2.0038948059082</v>
      </c>
      <c r="H5506" s="5" t="s">
        <v>86</v>
      </c>
      <c r="I5506" t="s">
        <v>57</v>
      </c>
    </row>
    <row r="5507" spans="1:9">
      <c r="A5507" s="4" t="s">
        <v>11059</v>
      </c>
      <c r="B5507" s="4" t="s">
        <v>11060</v>
      </c>
      <c r="C5507" s="4" t="s">
        <v>51</v>
      </c>
      <c r="D5507" s="2">
        <f>15128973/(10^6)</f>
        <v>15.128973</v>
      </c>
      <c r="E5507" s="5" t="s">
        <v>86</v>
      </c>
      <c r="F5507" s="5">
        <v>2.12362313270569</v>
      </c>
      <c r="G5507" s="5">
        <v>4.28529453277588</v>
      </c>
      <c r="H5507" s="5" t="s">
        <v>86</v>
      </c>
      <c r="I5507" t="s">
        <v>57</v>
      </c>
    </row>
    <row r="5508" spans="1:9">
      <c r="A5508" s="4" t="s">
        <v>11061</v>
      </c>
      <c r="B5508" s="4" t="s">
        <v>11062</v>
      </c>
      <c r="C5508" s="4" t="s">
        <v>51</v>
      </c>
      <c r="D5508" s="2">
        <f>15126632/(10^6)</f>
        <v>15.126632</v>
      </c>
      <c r="E5508" s="5" t="s">
        <v>86</v>
      </c>
      <c r="F5508" s="5">
        <v>2.09181332588196</v>
      </c>
      <c r="G5508" s="5">
        <v>0.899668157100677</v>
      </c>
      <c r="H5508" s="5" t="s">
        <v>86</v>
      </c>
      <c r="I5508" t="s">
        <v>57</v>
      </c>
    </row>
    <row r="5509" spans="1:9">
      <c r="A5509" s="4" t="s">
        <v>11063</v>
      </c>
      <c r="B5509" s="4" t="s">
        <v>11064</v>
      </c>
      <c r="C5509" s="4" t="s">
        <v>41</v>
      </c>
      <c r="D5509" s="2">
        <f>15121874/(10^6)</f>
        <v>15.121874</v>
      </c>
      <c r="E5509" s="5" t="s">
        <v>86</v>
      </c>
      <c r="F5509" s="5">
        <v>1.81681406497955</v>
      </c>
      <c r="G5509" s="5" t="s">
        <v>86</v>
      </c>
      <c r="H5509" s="5" t="s">
        <v>86</v>
      </c>
      <c r="I5509" t="s">
        <v>57</v>
      </c>
    </row>
    <row r="5510" spans="1:9">
      <c r="A5510" s="4" t="s">
        <v>11065</v>
      </c>
      <c r="B5510" s="4" t="s">
        <v>11066</v>
      </c>
      <c r="C5510" s="4" t="s">
        <v>33</v>
      </c>
      <c r="D5510" s="2">
        <f>15106006/(10^6)</f>
        <v>15.106006</v>
      </c>
      <c r="E5510" s="5" t="s">
        <v>86</v>
      </c>
      <c r="F5510" s="5" t="s">
        <v>86</v>
      </c>
      <c r="G5510" s="5" t="s">
        <v>86</v>
      </c>
      <c r="H5510" s="5" t="s">
        <v>86</v>
      </c>
      <c r="I5510" t="s">
        <v>57</v>
      </c>
    </row>
    <row r="5511" spans="1:9">
      <c r="A5511" s="4" t="s">
        <v>11067</v>
      </c>
      <c r="B5511" s="4" t="s">
        <v>11068</v>
      </c>
      <c r="C5511" s="4" t="s">
        <v>27</v>
      </c>
      <c r="D5511" s="2">
        <f>15102934/(10^6)</f>
        <v>15.102934</v>
      </c>
      <c r="E5511" s="5" t="s">
        <v>86</v>
      </c>
      <c r="F5511" s="5">
        <v>0.017693774774671</v>
      </c>
      <c r="G5511" s="5">
        <v>0.021101627498865</v>
      </c>
      <c r="H5511" s="5" t="s">
        <v>86</v>
      </c>
      <c r="I5511" t="s">
        <v>57</v>
      </c>
    </row>
    <row r="5512" spans="1:9">
      <c r="A5512" s="4" t="s">
        <v>11069</v>
      </c>
      <c r="B5512" s="4" t="s">
        <v>11070</v>
      </c>
      <c r="C5512" s="4" t="s">
        <v>31</v>
      </c>
      <c r="D5512" s="2">
        <f>15096111/(10^6)</f>
        <v>15.096111</v>
      </c>
      <c r="E5512" s="5" t="s">
        <v>86</v>
      </c>
      <c r="F5512" s="5">
        <v>0.438697338104248</v>
      </c>
      <c r="G5512" s="5">
        <v>0.136131376028061</v>
      </c>
      <c r="H5512" s="5" t="s">
        <v>86</v>
      </c>
      <c r="I5512" t="s">
        <v>57</v>
      </c>
    </row>
    <row r="5513" spans="1:9">
      <c r="A5513" s="4" t="s">
        <v>11071</v>
      </c>
      <c r="B5513" s="4" t="s">
        <v>11072</v>
      </c>
      <c r="C5513" s="4" t="s">
        <v>51</v>
      </c>
      <c r="D5513" s="2">
        <f>15002905/(10^6)</f>
        <v>15.002905</v>
      </c>
      <c r="E5513" s="5" t="s">
        <v>86</v>
      </c>
      <c r="F5513" s="5">
        <v>0.844866454601288</v>
      </c>
      <c r="G5513" s="5">
        <v>0.389580130577087</v>
      </c>
      <c r="H5513" s="5">
        <v>15.3868055343628</v>
      </c>
      <c r="I5513" t="s">
        <v>57</v>
      </c>
    </row>
    <row r="5514" spans="1:9">
      <c r="A5514" s="4" t="s">
        <v>11073</v>
      </c>
      <c r="B5514" s="4" t="s">
        <v>11074</v>
      </c>
      <c r="C5514" s="4" t="s">
        <v>27</v>
      </c>
      <c r="D5514" s="2">
        <f>14967414/(10^6)</f>
        <v>14.967414</v>
      </c>
      <c r="E5514" s="5" t="s">
        <v>86</v>
      </c>
      <c r="F5514" s="5" t="s">
        <v>86</v>
      </c>
      <c r="G5514" s="5" t="s">
        <v>86</v>
      </c>
      <c r="H5514" s="5" t="s">
        <v>86</v>
      </c>
      <c r="I5514" t="s">
        <v>57</v>
      </c>
    </row>
    <row r="5515" spans="1:9">
      <c r="A5515" s="4" t="s">
        <v>11075</v>
      </c>
      <c r="B5515" s="4" t="s">
        <v>11076</v>
      </c>
      <c r="C5515" s="4" t="s">
        <v>33</v>
      </c>
      <c r="D5515" s="2">
        <f>14880812/(10^6)</f>
        <v>14.880812</v>
      </c>
      <c r="E5515" s="5" t="s">
        <v>86</v>
      </c>
      <c r="F5515" s="5" t="s">
        <v>86</v>
      </c>
      <c r="G5515" s="5">
        <v>0.022540058940649</v>
      </c>
      <c r="H5515" s="5">
        <v>23.5601863861084</v>
      </c>
      <c r="I5515" t="s">
        <v>57</v>
      </c>
    </row>
    <row r="5516" spans="1:9">
      <c r="A5516" s="4" t="s">
        <v>11077</v>
      </c>
      <c r="B5516" s="4" t="s">
        <v>11078</v>
      </c>
      <c r="C5516" s="4" t="s">
        <v>41</v>
      </c>
      <c r="D5516" s="2">
        <f>14854469/(10^6)</f>
        <v>14.854469</v>
      </c>
      <c r="E5516" s="5" t="s">
        <v>86</v>
      </c>
      <c r="F5516" s="5">
        <v>0.347316592931747</v>
      </c>
      <c r="G5516" s="5">
        <v>0.431009709835052</v>
      </c>
      <c r="H5516" s="5" t="s">
        <v>86</v>
      </c>
      <c r="I5516" t="s">
        <v>57</v>
      </c>
    </row>
    <row r="5517" spans="1:9">
      <c r="A5517" s="4" t="s">
        <v>11079</v>
      </c>
      <c r="B5517" s="4" t="s">
        <v>11080</v>
      </c>
      <c r="C5517" s="4" t="s">
        <v>31</v>
      </c>
      <c r="D5517" s="2">
        <f>14826238/(10^6)</f>
        <v>14.826238</v>
      </c>
      <c r="E5517" s="5">
        <v>4.85192584991455</v>
      </c>
      <c r="F5517" s="5">
        <v>0.447571009397507</v>
      </c>
      <c r="G5517" s="5">
        <v>0.268721044063568</v>
      </c>
      <c r="H5517" s="5">
        <v>3.75962901115417</v>
      </c>
      <c r="I5517" t="s">
        <v>57</v>
      </c>
    </row>
    <row r="5518" spans="1:9">
      <c r="A5518" s="4" t="s">
        <v>11081</v>
      </c>
      <c r="B5518" s="4" t="s">
        <v>11082</v>
      </c>
      <c r="C5518" s="4" t="s">
        <v>31</v>
      </c>
      <c r="D5518" s="2">
        <f>14814298/(10^6)</f>
        <v>14.814298</v>
      </c>
      <c r="E5518" s="5" t="s">
        <v>86</v>
      </c>
      <c r="F5518" s="5" t="s">
        <v>86</v>
      </c>
      <c r="G5518" s="5" t="s">
        <v>86</v>
      </c>
      <c r="H5518" s="5" t="s">
        <v>86</v>
      </c>
      <c r="I5518" t="s">
        <v>57</v>
      </c>
    </row>
    <row r="5519" spans="1:9">
      <c r="A5519" s="4" t="s">
        <v>11083</v>
      </c>
      <c r="B5519" s="4" t="s">
        <v>11084</v>
      </c>
      <c r="C5519" s="4" t="s">
        <v>41</v>
      </c>
      <c r="D5519" s="2">
        <f>14774604/(10^6)</f>
        <v>14.774604</v>
      </c>
      <c r="E5519" s="5" t="s">
        <v>86</v>
      </c>
      <c r="F5519" s="5">
        <v>0.135430917143822</v>
      </c>
      <c r="G5519" s="5">
        <v>0.298858761787415</v>
      </c>
      <c r="H5519" s="5" t="s">
        <v>86</v>
      </c>
      <c r="I5519" t="s">
        <v>57</v>
      </c>
    </row>
    <row r="5520" spans="1:9">
      <c r="A5520" s="4" t="s">
        <v>11085</v>
      </c>
      <c r="B5520" s="4" t="s">
        <v>11086</v>
      </c>
      <c r="C5520" s="4" t="s">
        <v>31</v>
      </c>
      <c r="D5520" s="2">
        <f>14770348/(10^6)</f>
        <v>14.770348</v>
      </c>
      <c r="E5520" s="5" t="s">
        <v>86</v>
      </c>
      <c r="F5520" s="5" t="s">
        <v>86</v>
      </c>
      <c r="G5520" s="5" t="s">
        <v>86</v>
      </c>
      <c r="H5520" s="5" t="s">
        <v>86</v>
      </c>
      <c r="I5520" t="s">
        <v>57</v>
      </c>
    </row>
    <row r="5521" spans="1:9">
      <c r="A5521" s="4" t="s">
        <v>11087</v>
      </c>
      <c r="B5521" s="4" t="s">
        <v>11088</v>
      </c>
      <c r="C5521" s="4" t="s">
        <v>43</v>
      </c>
      <c r="D5521" s="2">
        <f>14752198/(10^6)</f>
        <v>14.752198</v>
      </c>
      <c r="E5521" s="5" t="s">
        <v>86</v>
      </c>
      <c r="F5521" s="5" t="s">
        <v>86</v>
      </c>
      <c r="G5521" s="5" t="s">
        <v>86</v>
      </c>
      <c r="H5521" s="5" t="s">
        <v>86</v>
      </c>
      <c r="I5521" t="s">
        <v>57</v>
      </c>
    </row>
    <row r="5522" spans="1:9">
      <c r="A5522" s="4" t="s">
        <v>11089</v>
      </c>
      <c r="B5522" s="4" t="s">
        <v>11090</v>
      </c>
      <c r="C5522" s="4" t="s">
        <v>31</v>
      </c>
      <c r="D5522" s="2">
        <f>14747017/(10^6)</f>
        <v>14.747017</v>
      </c>
      <c r="E5522" s="5" t="s">
        <v>86</v>
      </c>
      <c r="F5522" s="5">
        <v>1.01465666294098</v>
      </c>
      <c r="G5522" s="5">
        <v>0.237333253026009</v>
      </c>
      <c r="H5522" s="5" t="s">
        <v>86</v>
      </c>
      <c r="I5522" t="s">
        <v>57</v>
      </c>
    </row>
    <row r="5523" spans="1:9">
      <c r="A5523" s="4" t="s">
        <v>11091</v>
      </c>
      <c r="B5523" s="4" t="s">
        <v>11092</v>
      </c>
      <c r="C5523" s="4" t="s">
        <v>47</v>
      </c>
      <c r="D5523" s="2">
        <f>14713030/(10^6)</f>
        <v>14.71303</v>
      </c>
      <c r="E5523" s="5" t="s">
        <v>86</v>
      </c>
      <c r="F5523" s="5">
        <v>0.310426294803619</v>
      </c>
      <c r="G5523" s="5">
        <v>0.262177675962448</v>
      </c>
      <c r="H5523" s="5">
        <v>7.49875402450562</v>
      </c>
      <c r="I5523" t="s">
        <v>57</v>
      </c>
    </row>
    <row r="5524" spans="1:9">
      <c r="A5524" s="4" t="s">
        <v>11093</v>
      </c>
      <c r="B5524" s="4" t="s">
        <v>11094</v>
      </c>
      <c r="C5524" s="4" t="s">
        <v>35</v>
      </c>
      <c r="D5524" s="2">
        <f>14680247/(10^6)</f>
        <v>14.680247</v>
      </c>
      <c r="E5524" s="5" t="s">
        <v>86</v>
      </c>
      <c r="F5524" s="5">
        <v>0.589277982711792</v>
      </c>
      <c r="G5524" s="5">
        <v>0.178767696022987</v>
      </c>
      <c r="H5524" s="5">
        <v>91.5497817993164</v>
      </c>
      <c r="I5524" t="s">
        <v>57</v>
      </c>
    </row>
    <row r="5525" spans="1:9">
      <c r="A5525" s="4" t="s">
        <v>11095</v>
      </c>
      <c r="B5525" s="4" t="s">
        <v>11096</v>
      </c>
      <c r="C5525" s="4" t="s">
        <v>51</v>
      </c>
      <c r="D5525" s="2">
        <f>14628227/(10^6)</f>
        <v>14.628227</v>
      </c>
      <c r="E5525" s="5" t="s">
        <v>86</v>
      </c>
      <c r="F5525" s="5" t="s">
        <v>86</v>
      </c>
      <c r="G5525" s="5" t="s">
        <v>86</v>
      </c>
      <c r="H5525" s="5" t="s">
        <v>86</v>
      </c>
      <c r="I5525" t="s">
        <v>57</v>
      </c>
    </row>
    <row r="5526" spans="1:9">
      <c r="A5526" s="4" t="s">
        <v>11097</v>
      </c>
      <c r="B5526" s="4" t="s">
        <v>11098</v>
      </c>
      <c r="C5526" s="4" t="s">
        <v>41</v>
      </c>
      <c r="D5526" s="2">
        <f>14615218/(10^6)</f>
        <v>14.615218</v>
      </c>
      <c r="E5526" s="5" t="s">
        <v>86</v>
      </c>
      <c r="F5526" s="5">
        <v>0.843743145465851</v>
      </c>
      <c r="G5526" s="5">
        <v>0.749245882034302</v>
      </c>
      <c r="H5526" s="5" t="s">
        <v>86</v>
      </c>
      <c r="I5526" t="s">
        <v>57</v>
      </c>
    </row>
    <row r="5527" spans="1:9">
      <c r="A5527" s="4" t="s">
        <v>11099</v>
      </c>
      <c r="B5527" s="4" t="s">
        <v>11100</v>
      </c>
      <c r="C5527" s="4" t="s">
        <v>27</v>
      </c>
      <c r="D5527" s="2">
        <f>14577112/(10^6)</f>
        <v>14.577112</v>
      </c>
      <c r="E5527" s="5">
        <v>82.5937881469727</v>
      </c>
      <c r="F5527" s="5">
        <v>3.98255252838135</v>
      </c>
      <c r="G5527" s="5">
        <v>6.86285305023193</v>
      </c>
      <c r="H5527" s="5">
        <v>3.62648487091064</v>
      </c>
      <c r="I5527" t="s">
        <v>57</v>
      </c>
    </row>
    <row r="5528" spans="1:9">
      <c r="A5528" s="4" t="s">
        <v>11101</v>
      </c>
      <c r="B5528" s="4" t="s">
        <v>11102</v>
      </c>
      <c r="C5528" s="4" t="s">
        <v>41</v>
      </c>
      <c r="D5528" s="2">
        <f>14541935/(10^6)</f>
        <v>14.541935</v>
      </c>
      <c r="E5528" s="5" t="s">
        <v>86</v>
      </c>
      <c r="F5528" s="5">
        <v>0.458565473556519</v>
      </c>
      <c r="G5528" s="5">
        <v>0.645205974578857</v>
      </c>
      <c r="H5528" s="5" t="s">
        <v>86</v>
      </c>
      <c r="I5528" t="s">
        <v>57</v>
      </c>
    </row>
    <row r="5529" spans="1:9">
      <c r="A5529" s="4" t="s">
        <v>11103</v>
      </c>
      <c r="B5529" s="4" t="s">
        <v>11104</v>
      </c>
      <c r="C5529" s="4" t="s">
        <v>41</v>
      </c>
      <c r="D5529" s="2">
        <f>14461852/(10^6)</f>
        <v>14.461852</v>
      </c>
      <c r="E5529" s="5" t="s">
        <v>86</v>
      </c>
      <c r="F5529" s="5">
        <v>2.00380134582519</v>
      </c>
      <c r="G5529" s="5" t="s">
        <v>86</v>
      </c>
      <c r="H5529" s="5" t="s">
        <v>86</v>
      </c>
      <c r="I5529" t="s">
        <v>57</v>
      </c>
    </row>
    <row r="5530" spans="1:9">
      <c r="A5530" s="4" t="s">
        <v>11105</v>
      </c>
      <c r="B5530" s="4" t="s">
        <v>11106</v>
      </c>
      <c r="C5530" s="4" t="s">
        <v>49</v>
      </c>
      <c r="D5530" s="2">
        <f>14441884/(10^6)</f>
        <v>14.441884</v>
      </c>
      <c r="E5530" s="5">
        <v>17.6966285705566</v>
      </c>
      <c r="F5530" s="5">
        <v>1.05141353607178</v>
      </c>
      <c r="G5530" s="5">
        <v>2.36561274528503</v>
      </c>
      <c r="H5530" s="5" t="s">
        <v>86</v>
      </c>
      <c r="I5530" t="s">
        <v>57</v>
      </c>
    </row>
    <row r="5531" spans="1:9">
      <c r="A5531" s="4" t="s">
        <v>11107</v>
      </c>
      <c r="B5531" s="4" t="s">
        <v>11108</v>
      </c>
      <c r="C5531" s="4" t="s">
        <v>51</v>
      </c>
      <c r="D5531" s="2">
        <f>14398712/(10^6)</f>
        <v>14.398712</v>
      </c>
      <c r="E5531" s="5" t="s">
        <v>86</v>
      </c>
      <c r="F5531" s="5">
        <v>2.25226211547852</v>
      </c>
      <c r="G5531" s="5">
        <v>2.08869934082031</v>
      </c>
      <c r="H5531" s="5" t="s">
        <v>86</v>
      </c>
      <c r="I5531" t="s">
        <v>57</v>
      </c>
    </row>
    <row r="5532" spans="1:9">
      <c r="A5532" s="4" t="s">
        <v>11109</v>
      </c>
      <c r="B5532" s="4" t="s">
        <v>11110</v>
      </c>
      <c r="C5532" s="4" t="s">
        <v>51</v>
      </c>
      <c r="D5532" s="2">
        <f>14395291/(10^6)</f>
        <v>14.395291</v>
      </c>
      <c r="E5532" s="5" t="s">
        <v>86</v>
      </c>
      <c r="F5532" s="5" t="s">
        <v>86</v>
      </c>
      <c r="G5532" s="5">
        <v>0.956489205360413</v>
      </c>
      <c r="H5532" s="5" t="s">
        <v>86</v>
      </c>
      <c r="I5532" t="s">
        <v>57</v>
      </c>
    </row>
    <row r="5533" spans="1:9">
      <c r="A5533" s="4" t="s">
        <v>11111</v>
      </c>
      <c r="B5533" s="4" t="s">
        <v>11112</v>
      </c>
      <c r="C5533" s="4" t="s">
        <v>31</v>
      </c>
      <c r="D5533" s="2">
        <f>14322829/(10^6)</f>
        <v>14.322829</v>
      </c>
      <c r="E5533" s="5" t="s">
        <v>86</v>
      </c>
      <c r="F5533" s="5" t="s">
        <v>86</v>
      </c>
      <c r="G5533" s="5">
        <v>0.580693006515503</v>
      </c>
      <c r="H5533" s="5" t="s">
        <v>86</v>
      </c>
      <c r="I5533" t="s">
        <v>57</v>
      </c>
    </row>
    <row r="5534" spans="1:9">
      <c r="A5534" s="4" t="s">
        <v>11113</v>
      </c>
      <c r="B5534" s="4" t="s">
        <v>11114</v>
      </c>
      <c r="C5534" s="4" t="s">
        <v>49</v>
      </c>
      <c r="D5534" s="2">
        <f>14296760/(10^6)</f>
        <v>14.29676</v>
      </c>
      <c r="E5534" s="5" t="s">
        <v>86</v>
      </c>
      <c r="F5534" s="5" t="s">
        <v>86</v>
      </c>
      <c r="G5534" s="5" t="s">
        <v>86</v>
      </c>
      <c r="H5534" s="5" t="s">
        <v>86</v>
      </c>
      <c r="I5534" t="s">
        <v>57</v>
      </c>
    </row>
    <row r="5535" spans="1:9">
      <c r="A5535" s="4" t="s">
        <v>11115</v>
      </c>
      <c r="B5535" s="4" t="s">
        <v>11116</v>
      </c>
      <c r="C5535" s="4" t="s">
        <v>51</v>
      </c>
      <c r="D5535" s="2">
        <f>14233275/(10^6)</f>
        <v>14.233275</v>
      </c>
      <c r="E5535" s="5">
        <v>2.97872352600098</v>
      </c>
      <c r="F5535" s="5">
        <v>0.038915913552046</v>
      </c>
      <c r="G5535" s="5">
        <v>0.082177542150021</v>
      </c>
      <c r="H5535" s="5">
        <v>2.84810972213745</v>
      </c>
      <c r="I5535" t="s">
        <v>57</v>
      </c>
    </row>
    <row r="5536" spans="1:9">
      <c r="A5536" s="4" t="s">
        <v>11117</v>
      </c>
      <c r="B5536" s="4" t="s">
        <v>11118</v>
      </c>
      <c r="C5536" s="4" t="s">
        <v>35</v>
      </c>
      <c r="D5536" s="2">
        <f>14157897/(10^6)</f>
        <v>14.157897</v>
      </c>
      <c r="E5536" s="5" t="s">
        <v>86</v>
      </c>
      <c r="F5536" s="5">
        <v>1.98683500289917</v>
      </c>
      <c r="G5536" s="5">
        <v>0.970365881919861</v>
      </c>
      <c r="H5536" s="5" t="s">
        <v>86</v>
      </c>
      <c r="I5536" t="s">
        <v>57</v>
      </c>
    </row>
    <row r="5537" spans="1:9">
      <c r="A5537" s="4" t="s">
        <v>11119</v>
      </c>
      <c r="B5537" s="4" t="s">
        <v>11120</v>
      </c>
      <c r="C5537" s="4" t="s">
        <v>47</v>
      </c>
      <c r="D5537" s="2">
        <f>14117855/(10^6)</f>
        <v>14.117855</v>
      </c>
      <c r="E5537" s="5" t="s">
        <v>86</v>
      </c>
      <c r="F5537" s="5">
        <v>0.380281090736389</v>
      </c>
      <c r="G5537" s="5">
        <v>0.022682482376695</v>
      </c>
      <c r="H5537" s="5" t="s">
        <v>86</v>
      </c>
      <c r="I5537" t="s">
        <v>57</v>
      </c>
    </row>
    <row r="5538" spans="1:9">
      <c r="A5538" s="4" t="s">
        <v>11121</v>
      </c>
      <c r="B5538" s="4" t="s">
        <v>11122</v>
      </c>
      <c r="C5538" s="4" t="s">
        <v>31</v>
      </c>
      <c r="D5538" s="2">
        <f>14098990/(10^6)</f>
        <v>14.09899</v>
      </c>
      <c r="E5538" s="5">
        <v>19.8571434020996</v>
      </c>
      <c r="F5538" s="5">
        <v>0.604987800121307</v>
      </c>
      <c r="G5538" s="5">
        <v>0.437582731246948</v>
      </c>
      <c r="H5538" s="5">
        <v>6.4626259803772</v>
      </c>
      <c r="I5538" t="s">
        <v>57</v>
      </c>
    </row>
    <row r="5539" spans="1:9">
      <c r="A5539" s="4" t="s">
        <v>11123</v>
      </c>
      <c r="B5539" s="4" t="s">
        <v>11124</v>
      </c>
      <c r="C5539" s="4" t="s">
        <v>47</v>
      </c>
      <c r="D5539" s="2">
        <f>14098577/(10^6)</f>
        <v>14.098577</v>
      </c>
      <c r="E5539" s="5" t="s">
        <v>86</v>
      </c>
      <c r="F5539" s="5">
        <v>0.437844097614288</v>
      </c>
      <c r="G5539" s="5">
        <v>2.093998670578</v>
      </c>
      <c r="H5539" s="5" t="s">
        <v>86</v>
      </c>
      <c r="I5539" t="s">
        <v>57</v>
      </c>
    </row>
    <row r="5540" spans="1:9">
      <c r="A5540" s="4" t="s">
        <v>11125</v>
      </c>
      <c r="B5540" s="4" t="s">
        <v>11126</v>
      </c>
      <c r="C5540" s="4" t="s">
        <v>31</v>
      </c>
      <c r="D5540" s="2">
        <f>14088825/(10^6)</f>
        <v>14.088825</v>
      </c>
      <c r="E5540" s="5">
        <v>8.16015338897705</v>
      </c>
      <c r="F5540" s="5">
        <v>1.21928429603577</v>
      </c>
      <c r="G5540" s="5">
        <v>0.572903692722321</v>
      </c>
      <c r="H5540" s="5">
        <v>4.18405675888062</v>
      </c>
      <c r="I5540" t="s">
        <v>57</v>
      </c>
    </row>
    <row r="5541" spans="1:9">
      <c r="A5541" s="4" t="s">
        <v>11127</v>
      </c>
      <c r="B5541" s="4" t="s">
        <v>11128</v>
      </c>
      <c r="C5541" s="4" t="s">
        <v>41</v>
      </c>
      <c r="D5541" s="2">
        <f>14082455/(10^6)</f>
        <v>14.082455</v>
      </c>
      <c r="E5541" s="5" t="s">
        <v>86</v>
      </c>
      <c r="F5541" s="5">
        <v>0.209055200219154</v>
      </c>
      <c r="G5541" s="5">
        <v>0.080866038799286</v>
      </c>
      <c r="H5541" s="5" t="s">
        <v>86</v>
      </c>
      <c r="I5541" t="s">
        <v>57</v>
      </c>
    </row>
    <row r="5542" spans="1:9">
      <c r="A5542" s="4" t="s">
        <v>11129</v>
      </c>
      <c r="B5542" s="4" t="s">
        <v>11130</v>
      </c>
      <c r="C5542" s="4" t="s">
        <v>41</v>
      </c>
      <c r="D5542" s="2">
        <f>14035562/(10^6)</f>
        <v>14.035562</v>
      </c>
      <c r="E5542" s="5" t="s">
        <v>86</v>
      </c>
      <c r="F5542" s="5">
        <v>2.93979501724243</v>
      </c>
      <c r="G5542" s="5" t="s">
        <v>86</v>
      </c>
      <c r="H5542" s="5" t="s">
        <v>86</v>
      </c>
      <c r="I5542" t="s">
        <v>57</v>
      </c>
    </row>
    <row r="5543" spans="1:9">
      <c r="A5543" s="4" t="s">
        <v>11131</v>
      </c>
      <c r="B5543" s="4" t="s">
        <v>11132</v>
      </c>
      <c r="C5543" s="4" t="s">
        <v>49</v>
      </c>
      <c r="D5543" s="2">
        <f>13905355/(10^6)</f>
        <v>13.905355</v>
      </c>
      <c r="E5543" s="5" t="s">
        <v>86</v>
      </c>
      <c r="F5543" s="5">
        <v>6.33943891525269</v>
      </c>
      <c r="G5543" s="5">
        <v>3.50216889381409</v>
      </c>
      <c r="H5543" s="5" t="s">
        <v>86</v>
      </c>
      <c r="I5543" t="s">
        <v>57</v>
      </c>
    </row>
    <row r="5544" spans="1:9">
      <c r="A5544" s="4" t="s">
        <v>11133</v>
      </c>
      <c r="B5544" s="4" t="s">
        <v>11134</v>
      </c>
      <c r="C5544" s="4" t="s">
        <v>31</v>
      </c>
      <c r="D5544" s="2">
        <f>13854792/(10^6)</f>
        <v>13.854792</v>
      </c>
      <c r="E5544" s="5" t="s">
        <v>86</v>
      </c>
      <c r="F5544" s="5" t="s">
        <v>86</v>
      </c>
      <c r="G5544" s="5" t="s">
        <v>86</v>
      </c>
      <c r="H5544" s="5" t="s">
        <v>86</v>
      </c>
      <c r="I5544" t="s">
        <v>57</v>
      </c>
    </row>
    <row r="5545" spans="1:9">
      <c r="A5545" s="4" t="s">
        <v>11135</v>
      </c>
      <c r="B5545" s="4" t="s">
        <v>11136</v>
      </c>
      <c r="C5545" s="4" t="s">
        <v>33</v>
      </c>
      <c r="D5545" s="2">
        <f>13843349/(10^6)</f>
        <v>13.843349</v>
      </c>
      <c r="E5545" s="5">
        <v>90.2255630493164</v>
      </c>
      <c r="F5545" s="5" t="s">
        <v>86</v>
      </c>
      <c r="G5545" s="5">
        <v>4.73419427871704</v>
      </c>
      <c r="H5545" s="5" t="s">
        <v>86</v>
      </c>
      <c r="I5545" t="s">
        <v>57</v>
      </c>
    </row>
    <row r="5546" spans="1:9">
      <c r="A5546" s="4" t="s">
        <v>11137</v>
      </c>
      <c r="B5546" s="4" t="s">
        <v>11138</v>
      </c>
      <c r="C5546" s="4" t="s">
        <v>49</v>
      </c>
      <c r="D5546" s="2">
        <f>13824412/(10^6)</f>
        <v>13.824412</v>
      </c>
      <c r="E5546" s="5" t="s">
        <v>86</v>
      </c>
      <c r="F5546" s="5" t="s">
        <v>86</v>
      </c>
      <c r="G5546" s="5" t="s">
        <v>86</v>
      </c>
      <c r="H5546" s="5" t="s">
        <v>86</v>
      </c>
      <c r="I5546" t="s">
        <v>57</v>
      </c>
    </row>
    <row r="5547" spans="1:9">
      <c r="A5547" s="4" t="s">
        <v>11139</v>
      </c>
      <c r="B5547" s="4" t="s">
        <v>11140</v>
      </c>
      <c r="C5547" s="4" t="s">
        <v>43</v>
      </c>
      <c r="D5547" s="2">
        <f>13792014/(10^6)</f>
        <v>13.792014</v>
      </c>
      <c r="E5547" s="5" t="s">
        <v>86</v>
      </c>
      <c r="F5547" s="5">
        <v>1.05128240585327</v>
      </c>
      <c r="G5547" s="5">
        <v>1.30877554416656</v>
      </c>
      <c r="H5547" s="5" t="s">
        <v>86</v>
      </c>
      <c r="I5547" t="s">
        <v>57</v>
      </c>
    </row>
    <row r="5548" spans="1:9">
      <c r="A5548" s="4" t="s">
        <v>11141</v>
      </c>
      <c r="B5548" s="4" t="s">
        <v>11142</v>
      </c>
      <c r="C5548" s="4" t="s">
        <v>49</v>
      </c>
      <c r="D5548" s="2">
        <f>13736628/(10^6)</f>
        <v>13.736628</v>
      </c>
      <c r="E5548" s="5" t="s">
        <v>86</v>
      </c>
      <c r="F5548" s="5" t="s">
        <v>86</v>
      </c>
      <c r="G5548" s="5">
        <v>2.57287335395813</v>
      </c>
      <c r="H5548" s="5" t="s">
        <v>86</v>
      </c>
      <c r="I5548" t="s">
        <v>57</v>
      </c>
    </row>
    <row r="5549" spans="1:9">
      <c r="A5549" s="4" t="s">
        <v>11143</v>
      </c>
      <c r="B5549" s="4" t="s">
        <v>11144</v>
      </c>
      <c r="C5549" s="4" t="s">
        <v>41</v>
      </c>
      <c r="D5549" s="2">
        <f>13714670/(10^6)</f>
        <v>13.71467</v>
      </c>
      <c r="E5549" s="5" t="s">
        <v>86</v>
      </c>
      <c r="F5549" s="5" t="s">
        <v>86</v>
      </c>
      <c r="G5549" s="5">
        <v>4.52488708496094</v>
      </c>
      <c r="H5549" s="5" t="s">
        <v>86</v>
      </c>
      <c r="I5549" t="s">
        <v>57</v>
      </c>
    </row>
    <row r="5550" spans="1:9">
      <c r="A5550" s="4" t="s">
        <v>11145</v>
      </c>
      <c r="B5550" s="4" t="s">
        <v>11146</v>
      </c>
      <c r="C5550" s="4" t="s">
        <v>33</v>
      </c>
      <c r="D5550" s="2">
        <f>13698818/(10^6)</f>
        <v>13.698818</v>
      </c>
      <c r="E5550" s="5" t="s">
        <v>86</v>
      </c>
      <c r="F5550" s="5" t="s">
        <v>86</v>
      </c>
      <c r="G5550" s="5">
        <v>0.312164038419724</v>
      </c>
      <c r="H5550" s="5">
        <v>12.1089010238647</v>
      </c>
      <c r="I5550" t="s">
        <v>57</v>
      </c>
    </row>
    <row r="5551" spans="1:9">
      <c r="A5551" s="4" t="s">
        <v>11147</v>
      </c>
      <c r="B5551" s="4" t="s">
        <v>11148</v>
      </c>
      <c r="C5551" s="4" t="s">
        <v>49</v>
      </c>
      <c r="D5551" s="2">
        <f>13694000/(10^6)</f>
        <v>13.694</v>
      </c>
      <c r="E5551" s="5" t="s">
        <v>86</v>
      </c>
      <c r="F5551" s="5" t="s">
        <v>86</v>
      </c>
      <c r="G5551" s="5" t="s">
        <v>86</v>
      </c>
      <c r="H5551" s="5" t="s">
        <v>86</v>
      </c>
      <c r="I5551" t="s">
        <v>57</v>
      </c>
    </row>
    <row r="5552" spans="1:9">
      <c r="A5552" s="4" t="s">
        <v>11149</v>
      </c>
      <c r="B5552" s="4" t="s">
        <v>11150</v>
      </c>
      <c r="C5552" s="4" t="s">
        <v>51</v>
      </c>
      <c r="D5552" s="2">
        <f>13664194/(10^6)</f>
        <v>13.664194</v>
      </c>
      <c r="E5552" s="5" t="s">
        <v>86</v>
      </c>
      <c r="F5552" s="5">
        <v>1.89150106906891</v>
      </c>
      <c r="G5552" s="5">
        <v>0.462285488843918</v>
      </c>
      <c r="H5552" s="5">
        <v>826.513854980469</v>
      </c>
      <c r="I5552" t="s">
        <v>57</v>
      </c>
    </row>
    <row r="5553" spans="1:9">
      <c r="A5553" s="4" t="s">
        <v>11151</v>
      </c>
      <c r="B5553" s="4" t="s">
        <v>11152</v>
      </c>
      <c r="C5553" s="4" t="s">
        <v>35</v>
      </c>
      <c r="D5553" s="2">
        <f>13656585/(10^6)</f>
        <v>13.656585</v>
      </c>
      <c r="E5553" s="5" t="s">
        <v>86</v>
      </c>
      <c r="F5553" s="5" t="s">
        <v>86</v>
      </c>
      <c r="G5553" s="5" t="s">
        <v>86</v>
      </c>
      <c r="H5553" s="5" t="s">
        <v>86</v>
      </c>
      <c r="I5553" t="s">
        <v>57</v>
      </c>
    </row>
    <row r="5554" spans="1:9">
      <c r="A5554" s="4" t="s">
        <v>11153</v>
      </c>
      <c r="B5554" s="4" t="s">
        <v>11154</v>
      </c>
      <c r="C5554" s="4" t="s">
        <v>47</v>
      </c>
      <c r="D5554" s="2">
        <f>13637508/(10^6)</f>
        <v>13.637508</v>
      </c>
      <c r="E5554" s="5" t="s">
        <v>86</v>
      </c>
      <c r="F5554" s="5" t="s">
        <v>86</v>
      </c>
      <c r="G5554" s="5">
        <v>0.491724610328674</v>
      </c>
      <c r="H5554" s="5">
        <v>24.9343605041504</v>
      </c>
      <c r="I5554" t="s">
        <v>57</v>
      </c>
    </row>
    <row r="5555" spans="1:9">
      <c r="A5555" s="4" t="s">
        <v>11155</v>
      </c>
      <c r="B5555" s="4" t="s">
        <v>11156</v>
      </c>
      <c r="C5555" s="4" t="s">
        <v>49</v>
      </c>
      <c r="D5555" s="2">
        <f>13594434/(10^6)</f>
        <v>13.594434</v>
      </c>
      <c r="E5555" s="5">
        <v>52.34375</v>
      </c>
      <c r="F5555" s="5">
        <v>0.981892228126526</v>
      </c>
      <c r="G5555" s="5">
        <v>2.85960030555725</v>
      </c>
      <c r="H5555" s="5" t="s">
        <v>86</v>
      </c>
      <c r="I5555" t="s">
        <v>57</v>
      </c>
    </row>
    <row r="5556" spans="1:9">
      <c r="A5556" s="4" t="s">
        <v>11157</v>
      </c>
      <c r="B5556" s="4" t="s">
        <v>11158</v>
      </c>
      <c r="C5556" s="4" t="s">
        <v>43</v>
      </c>
      <c r="D5556" s="2">
        <f>13518146/(10^6)</f>
        <v>13.518146</v>
      </c>
      <c r="E5556" s="5">
        <v>6.54553079605103</v>
      </c>
      <c r="F5556" s="5">
        <v>0.275742501020432</v>
      </c>
      <c r="G5556" s="5" t="s">
        <v>86</v>
      </c>
      <c r="H5556" s="5" t="s">
        <v>86</v>
      </c>
      <c r="I5556" t="s">
        <v>57</v>
      </c>
    </row>
    <row r="5557" spans="1:9">
      <c r="A5557" s="4" t="s">
        <v>11159</v>
      </c>
      <c r="B5557" s="4" t="s">
        <v>11160</v>
      </c>
      <c r="C5557" s="4" t="s">
        <v>35</v>
      </c>
      <c r="D5557" s="2">
        <f>13448289/(10^6)</f>
        <v>13.448289</v>
      </c>
      <c r="E5557" s="5" t="s">
        <v>86</v>
      </c>
      <c r="F5557" s="5">
        <v>0.958829641342163</v>
      </c>
      <c r="G5557" s="5">
        <v>0.909825205802917</v>
      </c>
      <c r="H5557" s="5" t="s">
        <v>86</v>
      </c>
      <c r="I5557" t="s">
        <v>57</v>
      </c>
    </row>
    <row r="5558" spans="1:9">
      <c r="A5558" s="4" t="s">
        <v>11161</v>
      </c>
      <c r="B5558" s="4" t="s">
        <v>11162</v>
      </c>
      <c r="C5558" s="4" t="s">
        <v>41</v>
      </c>
      <c r="D5558" s="2">
        <f>13440469/(10^6)</f>
        <v>13.440469</v>
      </c>
      <c r="E5558" s="5" t="s">
        <v>86</v>
      </c>
      <c r="F5558" s="5">
        <v>1.55644989013672</v>
      </c>
      <c r="G5558" s="5">
        <v>2.85637974739075</v>
      </c>
      <c r="H5558" s="5" t="s">
        <v>86</v>
      </c>
      <c r="I5558" t="s">
        <v>57</v>
      </c>
    </row>
    <row r="5559" spans="1:9">
      <c r="A5559" s="4" t="s">
        <v>11163</v>
      </c>
      <c r="B5559" s="4" t="s">
        <v>11164</v>
      </c>
      <c r="C5559" s="4" t="s">
        <v>41</v>
      </c>
      <c r="D5559" s="2">
        <f>13439999/(10^6)</f>
        <v>13.439999</v>
      </c>
      <c r="E5559" s="5">
        <v>11.3990726470947</v>
      </c>
      <c r="F5559" s="5">
        <v>5.79323101043701</v>
      </c>
      <c r="G5559" s="5">
        <v>1.8333261013031</v>
      </c>
      <c r="H5559" s="5">
        <v>2.49094581604004</v>
      </c>
      <c r="I5559" t="s">
        <v>57</v>
      </c>
    </row>
    <row r="5560" spans="1:9">
      <c r="A5560" s="4" t="s">
        <v>11165</v>
      </c>
      <c r="B5560" s="4" t="s">
        <v>11166</v>
      </c>
      <c r="C5560" s="4" t="s">
        <v>33</v>
      </c>
      <c r="D5560" s="2">
        <f>13409768/(10^6)</f>
        <v>13.409768</v>
      </c>
      <c r="E5560" s="5" t="s">
        <v>86</v>
      </c>
      <c r="F5560" s="5">
        <v>0.63565456867218</v>
      </c>
      <c r="G5560" s="5">
        <v>0.116873934864998</v>
      </c>
      <c r="H5560" s="5" t="s">
        <v>86</v>
      </c>
      <c r="I5560" t="s">
        <v>57</v>
      </c>
    </row>
    <row r="5561" spans="1:9">
      <c r="A5561" s="4" t="s">
        <v>11167</v>
      </c>
      <c r="B5561" s="4" t="s">
        <v>11168</v>
      </c>
      <c r="C5561" s="4" t="s">
        <v>41</v>
      </c>
      <c r="D5561" s="2">
        <f>13397747/(10^6)</f>
        <v>13.397747</v>
      </c>
      <c r="E5561" s="5" t="s">
        <v>86</v>
      </c>
      <c r="F5561" s="5">
        <v>3.57516932487488</v>
      </c>
      <c r="G5561" s="5">
        <v>289.487060546875</v>
      </c>
      <c r="H5561" s="5" t="s">
        <v>86</v>
      </c>
      <c r="I5561" t="s">
        <v>57</v>
      </c>
    </row>
    <row r="5562" spans="1:9">
      <c r="A5562" s="4" t="s">
        <v>11169</v>
      </c>
      <c r="B5562" s="4" t="s">
        <v>11170</v>
      </c>
      <c r="C5562" s="4" t="s">
        <v>31</v>
      </c>
      <c r="D5562" s="2">
        <f>13394169/(10^6)</f>
        <v>13.394169</v>
      </c>
      <c r="E5562" s="5" t="s">
        <v>86</v>
      </c>
      <c r="F5562" s="5">
        <v>0.200556993484497</v>
      </c>
      <c r="G5562" s="5">
        <v>0.765682935714722</v>
      </c>
      <c r="H5562" s="5" t="s">
        <v>86</v>
      </c>
      <c r="I5562" t="s">
        <v>57</v>
      </c>
    </row>
    <row r="5563" spans="1:9">
      <c r="A5563" s="4" t="s">
        <v>11171</v>
      </c>
      <c r="B5563" s="4" t="s">
        <v>11172</v>
      </c>
      <c r="C5563" s="4" t="s">
        <v>31</v>
      </c>
      <c r="D5563" s="2">
        <f>13386597/(10^6)</f>
        <v>13.386597</v>
      </c>
      <c r="E5563" s="5">
        <v>8.74366760253906</v>
      </c>
      <c r="F5563" s="5">
        <v>0.877575218677521</v>
      </c>
      <c r="G5563" s="5">
        <v>1.709343791008</v>
      </c>
      <c r="H5563" s="5">
        <v>0.490302592515945</v>
      </c>
      <c r="I5563" t="s">
        <v>57</v>
      </c>
    </row>
    <row r="5564" spans="1:9">
      <c r="A5564" s="4" t="s">
        <v>11173</v>
      </c>
      <c r="B5564" s="4" t="s">
        <v>11174</v>
      </c>
      <c r="C5564" s="4" t="s">
        <v>49</v>
      </c>
      <c r="D5564" s="2">
        <f>13372710/(10^6)</f>
        <v>13.37271</v>
      </c>
      <c r="E5564" s="5" t="s">
        <v>86</v>
      </c>
      <c r="F5564" s="5" t="s">
        <v>86</v>
      </c>
      <c r="G5564" s="5" t="s">
        <v>86</v>
      </c>
      <c r="H5564" s="5" t="s">
        <v>86</v>
      </c>
      <c r="I5564" t="s">
        <v>57</v>
      </c>
    </row>
    <row r="5565" spans="1:9">
      <c r="A5565" s="4" t="s">
        <v>11175</v>
      </c>
      <c r="B5565" s="4" t="s">
        <v>11176</v>
      </c>
      <c r="C5565" s="4" t="s">
        <v>51</v>
      </c>
      <c r="D5565" s="2">
        <f>13346605/(10^6)</f>
        <v>13.346605</v>
      </c>
      <c r="E5565" s="5">
        <v>8.90707778930664</v>
      </c>
      <c r="F5565" s="5">
        <v>1.02171051502228</v>
      </c>
      <c r="G5565" s="5">
        <v>1.80237293243408</v>
      </c>
      <c r="H5565" s="5">
        <v>5.83857107162476</v>
      </c>
      <c r="I5565" t="s">
        <v>57</v>
      </c>
    </row>
    <row r="5566" spans="1:9">
      <c r="A5566" s="4" t="s">
        <v>11177</v>
      </c>
      <c r="B5566" s="4" t="s">
        <v>11178</v>
      </c>
      <c r="C5566" s="4" t="s">
        <v>33</v>
      </c>
      <c r="D5566" s="2">
        <f>13294471/(10^6)</f>
        <v>13.294471</v>
      </c>
      <c r="E5566" s="5">
        <v>5.72727251052856</v>
      </c>
      <c r="F5566" s="5">
        <v>0.70131379365921</v>
      </c>
      <c r="G5566" s="5">
        <v>0.052109565585852</v>
      </c>
      <c r="H5566" s="5">
        <v>2.2706663608551</v>
      </c>
      <c r="I5566" t="s">
        <v>57</v>
      </c>
    </row>
    <row r="5567" spans="1:9">
      <c r="A5567" s="4" t="s">
        <v>11179</v>
      </c>
      <c r="B5567" s="4" t="s">
        <v>11180</v>
      </c>
      <c r="C5567" s="4" t="s">
        <v>31</v>
      </c>
      <c r="D5567" s="2">
        <f>13274682/(10^6)</f>
        <v>13.274682</v>
      </c>
      <c r="E5567" s="5">
        <v>4.18783473968506</v>
      </c>
      <c r="F5567" s="5">
        <v>0.940323293209076</v>
      </c>
      <c r="G5567" s="5">
        <v>0.117244318127632</v>
      </c>
      <c r="H5567" s="5">
        <v>15.4628572463989</v>
      </c>
      <c r="I5567" t="s">
        <v>57</v>
      </c>
    </row>
    <row r="5568" spans="1:9">
      <c r="A5568" s="4" t="s">
        <v>11181</v>
      </c>
      <c r="B5568" s="4" t="s">
        <v>11182</v>
      </c>
      <c r="C5568" s="4" t="s">
        <v>41</v>
      </c>
      <c r="D5568" s="2">
        <f>13269994/(10^6)</f>
        <v>13.269994</v>
      </c>
      <c r="E5568" s="5" t="s">
        <v>86</v>
      </c>
      <c r="F5568" s="5">
        <v>0.872754752635956</v>
      </c>
      <c r="G5568" s="5" t="s">
        <v>86</v>
      </c>
      <c r="H5568" s="5" t="s">
        <v>86</v>
      </c>
      <c r="I5568" t="s">
        <v>57</v>
      </c>
    </row>
    <row r="5569" spans="1:9">
      <c r="A5569" s="4" t="s">
        <v>11183</v>
      </c>
      <c r="B5569" s="4" t="s">
        <v>11184</v>
      </c>
      <c r="C5569" s="4" t="s">
        <v>49</v>
      </c>
      <c r="D5569" s="2">
        <f>13239736/(10^6)</f>
        <v>13.239736</v>
      </c>
      <c r="E5569" s="5" t="s">
        <v>86</v>
      </c>
      <c r="F5569" s="5" t="s">
        <v>86</v>
      </c>
      <c r="G5569" s="5" t="s">
        <v>86</v>
      </c>
      <c r="H5569" s="5" t="s">
        <v>86</v>
      </c>
      <c r="I5569" t="s">
        <v>57</v>
      </c>
    </row>
    <row r="5570" spans="1:9">
      <c r="A5570" s="4" t="s">
        <v>11185</v>
      </c>
      <c r="B5570" s="4" t="s">
        <v>11186</v>
      </c>
      <c r="C5570" s="4" t="s">
        <v>49</v>
      </c>
      <c r="D5570" s="2">
        <f>13232707/(10^6)</f>
        <v>13.232707</v>
      </c>
      <c r="E5570" s="5" t="s">
        <v>86</v>
      </c>
      <c r="F5570" s="5" t="s">
        <v>86</v>
      </c>
      <c r="G5570" s="5">
        <v>19.7663974761963</v>
      </c>
      <c r="H5570" s="5" t="s">
        <v>86</v>
      </c>
      <c r="I5570" t="s">
        <v>57</v>
      </c>
    </row>
    <row r="5571" spans="1:9">
      <c r="A5571" s="4" t="s">
        <v>11187</v>
      </c>
      <c r="B5571" s="4" t="s">
        <v>11188</v>
      </c>
      <c r="C5571" s="4" t="s">
        <v>31</v>
      </c>
      <c r="D5571" s="2">
        <f>13182534/(10^6)</f>
        <v>13.182534</v>
      </c>
      <c r="E5571" s="5" t="s">
        <v>86</v>
      </c>
      <c r="F5571" s="5">
        <v>0.374297738075256</v>
      </c>
      <c r="G5571" s="5">
        <v>0.114674486219883</v>
      </c>
      <c r="H5571" s="5">
        <v>46.6677055358887</v>
      </c>
      <c r="I5571" t="s">
        <v>57</v>
      </c>
    </row>
    <row r="5572" spans="1:9">
      <c r="A5572" s="4" t="s">
        <v>11189</v>
      </c>
      <c r="B5572" s="4" t="s">
        <v>11190</v>
      </c>
      <c r="C5572" s="4" t="s">
        <v>49</v>
      </c>
      <c r="D5572" s="2">
        <f>13177000/(10^6)</f>
        <v>13.177</v>
      </c>
      <c r="E5572" s="5" t="s">
        <v>86</v>
      </c>
      <c r="F5572" s="5">
        <v>23.3918113708496</v>
      </c>
      <c r="G5572" s="5" t="s">
        <v>86</v>
      </c>
      <c r="H5572" s="5" t="s">
        <v>86</v>
      </c>
      <c r="I5572" t="s">
        <v>57</v>
      </c>
    </row>
    <row r="5573" spans="1:9">
      <c r="A5573" s="4" t="s">
        <v>11191</v>
      </c>
      <c r="B5573" s="4" t="s">
        <v>11192</v>
      </c>
      <c r="C5573" s="4" t="s">
        <v>31</v>
      </c>
      <c r="D5573" s="2">
        <f>13153783/(10^6)</f>
        <v>13.153783</v>
      </c>
      <c r="E5573" s="5">
        <v>7.88414239883423</v>
      </c>
      <c r="F5573" s="5" t="s">
        <v>86</v>
      </c>
      <c r="G5573" s="5">
        <v>0.819299101829529</v>
      </c>
      <c r="H5573" s="5">
        <v>5.81267499923706</v>
      </c>
      <c r="I5573" t="s">
        <v>57</v>
      </c>
    </row>
    <row r="5574" spans="1:9">
      <c r="A5574" s="4" t="s">
        <v>11193</v>
      </c>
      <c r="B5574" s="4" t="s">
        <v>11194</v>
      </c>
      <c r="C5574" s="4" t="s">
        <v>27</v>
      </c>
      <c r="D5574" s="2">
        <f>13140612/(10^6)</f>
        <v>13.140612</v>
      </c>
      <c r="E5574" s="5" t="s">
        <v>86</v>
      </c>
      <c r="F5574" s="5">
        <v>0.444899439811707</v>
      </c>
      <c r="G5574" s="5">
        <v>0.31383427977562</v>
      </c>
      <c r="H5574" s="5" t="s">
        <v>86</v>
      </c>
      <c r="I5574" t="s">
        <v>57</v>
      </c>
    </row>
    <row r="5575" spans="1:9">
      <c r="A5575" s="4" t="s">
        <v>11195</v>
      </c>
      <c r="B5575" s="4" t="s">
        <v>11196</v>
      </c>
      <c r="C5575" s="4" t="s">
        <v>43</v>
      </c>
      <c r="D5575" s="2">
        <f>13132872/(10^6)</f>
        <v>13.132872</v>
      </c>
      <c r="E5575" s="5" t="s">
        <v>86</v>
      </c>
      <c r="F5575" s="5">
        <v>4.68130731582642</v>
      </c>
      <c r="G5575" s="5">
        <v>580.195983886719</v>
      </c>
      <c r="H5575" s="5" t="s">
        <v>86</v>
      </c>
      <c r="I5575" t="s">
        <v>57</v>
      </c>
    </row>
    <row r="5576" spans="1:9">
      <c r="A5576" s="4" t="s">
        <v>11197</v>
      </c>
      <c r="B5576" s="4" t="s">
        <v>11198</v>
      </c>
      <c r="C5576" s="4" t="s">
        <v>51</v>
      </c>
      <c r="D5576" s="2">
        <f>13075362/(10^6)</f>
        <v>13.075362</v>
      </c>
      <c r="E5576" s="5" t="s">
        <v>86</v>
      </c>
      <c r="F5576" s="5">
        <v>2.45271110534668</v>
      </c>
      <c r="G5576" s="5">
        <v>0.609028398990631</v>
      </c>
      <c r="H5576" s="5">
        <v>337.254547119141</v>
      </c>
      <c r="I5576" t="s">
        <v>57</v>
      </c>
    </row>
    <row r="5577" spans="1:9">
      <c r="A5577" s="4" t="s">
        <v>11199</v>
      </c>
      <c r="B5577" s="4" t="s">
        <v>11200</v>
      </c>
      <c r="C5577" s="4" t="s">
        <v>49</v>
      </c>
      <c r="D5577" s="2">
        <f>13060013/(10^6)</f>
        <v>13.060013</v>
      </c>
      <c r="E5577" s="5" t="s">
        <v>86</v>
      </c>
      <c r="F5577" s="5" t="s">
        <v>86</v>
      </c>
      <c r="G5577" s="5" t="s">
        <v>86</v>
      </c>
      <c r="H5577" s="5" t="s">
        <v>86</v>
      </c>
      <c r="I5577" t="s">
        <v>57</v>
      </c>
    </row>
    <row r="5578" spans="1:9">
      <c r="A5578" s="4" t="s">
        <v>11201</v>
      </c>
      <c r="B5578" s="4" t="s">
        <v>11202</v>
      </c>
      <c r="C5578" s="4" t="s">
        <v>27</v>
      </c>
      <c r="D5578" s="2">
        <f>13057444/(10^6)</f>
        <v>13.057444</v>
      </c>
      <c r="E5578" s="5">
        <v>0.279479831457138</v>
      </c>
      <c r="F5578" s="5" t="s">
        <v>86</v>
      </c>
      <c r="G5578" s="5">
        <v>0.018479630351067</v>
      </c>
      <c r="H5578" s="5">
        <v>4.92884349822998</v>
      </c>
      <c r="I5578" t="s">
        <v>57</v>
      </c>
    </row>
    <row r="5579" spans="1:9">
      <c r="A5579" s="4" t="s">
        <v>11203</v>
      </c>
      <c r="B5579" s="4" t="s">
        <v>11204</v>
      </c>
      <c r="C5579" s="4" t="s">
        <v>51</v>
      </c>
      <c r="D5579" s="2">
        <f>13053603/(10^6)</f>
        <v>13.053603</v>
      </c>
      <c r="E5579" s="5" t="s">
        <v>86</v>
      </c>
      <c r="F5579" s="5">
        <v>2.54919123649597</v>
      </c>
      <c r="G5579" s="5">
        <v>199.750305175781</v>
      </c>
      <c r="H5579" s="5" t="s">
        <v>86</v>
      </c>
      <c r="I5579" t="s">
        <v>57</v>
      </c>
    </row>
    <row r="5580" spans="1:9">
      <c r="A5580" s="4" t="s">
        <v>11205</v>
      </c>
      <c r="B5580" s="4" t="s">
        <v>11206</v>
      </c>
      <c r="C5580" s="4" t="s">
        <v>31</v>
      </c>
      <c r="D5580" s="2">
        <f>13030214/(10^6)</f>
        <v>13.030214</v>
      </c>
      <c r="E5580" s="5">
        <v>23.0482597351074</v>
      </c>
      <c r="F5580" s="5">
        <v>0.761332154273987</v>
      </c>
      <c r="G5580" s="5">
        <v>0.491723448038101</v>
      </c>
      <c r="H5580" s="5">
        <v>18.389461517334</v>
      </c>
      <c r="I5580" t="s">
        <v>57</v>
      </c>
    </row>
    <row r="5581" spans="1:9">
      <c r="A5581" s="4" t="s">
        <v>11207</v>
      </c>
      <c r="B5581" s="4" t="s">
        <v>11208</v>
      </c>
      <c r="C5581" s="4" t="s">
        <v>43</v>
      </c>
      <c r="D5581" s="2">
        <f>13017332/(10^6)</f>
        <v>13.017332</v>
      </c>
      <c r="E5581" s="5" t="s">
        <v>86</v>
      </c>
      <c r="F5581" s="5">
        <v>0.96060699224472</v>
      </c>
      <c r="G5581" s="5" t="s">
        <v>86</v>
      </c>
      <c r="H5581" s="5" t="s">
        <v>86</v>
      </c>
      <c r="I5581" t="s">
        <v>57</v>
      </c>
    </row>
    <row r="5582" spans="1:9">
      <c r="A5582" s="4" t="s">
        <v>11209</v>
      </c>
      <c r="B5582" s="4" t="s">
        <v>11210</v>
      </c>
      <c r="C5582" s="4" t="s">
        <v>41</v>
      </c>
      <c r="D5582" s="2">
        <f>13007750/(10^6)</f>
        <v>13.00775</v>
      </c>
      <c r="E5582" s="5" t="s">
        <v>86</v>
      </c>
      <c r="F5582" s="5">
        <v>23.690357208252</v>
      </c>
      <c r="G5582" s="5" t="s">
        <v>86</v>
      </c>
      <c r="H5582" s="5" t="s">
        <v>86</v>
      </c>
      <c r="I5582" t="s">
        <v>57</v>
      </c>
    </row>
    <row r="5583" spans="1:9">
      <c r="A5583" s="4" t="s">
        <v>11211</v>
      </c>
      <c r="B5583" s="4" t="s">
        <v>11212</v>
      </c>
      <c r="C5583" s="4" t="s">
        <v>49</v>
      </c>
      <c r="D5583" s="2">
        <f>12992640/(10^6)</f>
        <v>12.99264</v>
      </c>
      <c r="E5583" s="5">
        <v>12.2056741714478</v>
      </c>
      <c r="F5583" s="5">
        <v>1.01727533340454</v>
      </c>
      <c r="G5583" s="5" t="s">
        <v>86</v>
      </c>
      <c r="H5583" s="5" t="s">
        <v>86</v>
      </c>
      <c r="I5583" t="s">
        <v>57</v>
      </c>
    </row>
    <row r="5584" spans="1:9">
      <c r="A5584" s="4" t="s">
        <v>11213</v>
      </c>
      <c r="B5584" s="4" t="s">
        <v>11214</v>
      </c>
      <c r="C5584" s="4" t="s">
        <v>41</v>
      </c>
      <c r="D5584" s="2">
        <f>12930324/(10^6)</f>
        <v>12.930324</v>
      </c>
      <c r="E5584" s="5" t="s">
        <v>86</v>
      </c>
      <c r="F5584" s="5">
        <v>1.78941297531128</v>
      </c>
      <c r="G5584" s="5">
        <v>5.912109375</v>
      </c>
      <c r="H5584" s="5" t="s">
        <v>86</v>
      </c>
      <c r="I5584" t="s">
        <v>57</v>
      </c>
    </row>
    <row r="5585" spans="1:9">
      <c r="A5585" s="4" t="s">
        <v>11215</v>
      </c>
      <c r="B5585" s="4" t="s">
        <v>11216</v>
      </c>
      <c r="C5585" s="4" t="s">
        <v>27</v>
      </c>
      <c r="D5585" s="2">
        <f>12920805/(10^6)</f>
        <v>12.920805</v>
      </c>
      <c r="E5585" s="5" t="s">
        <v>86</v>
      </c>
      <c r="F5585" s="5">
        <v>0.171669989824295</v>
      </c>
      <c r="G5585" s="5">
        <v>0.434532284736633</v>
      </c>
      <c r="H5585" s="5" t="s">
        <v>86</v>
      </c>
      <c r="I5585" t="s">
        <v>57</v>
      </c>
    </row>
    <row r="5586" spans="1:9">
      <c r="A5586" s="4" t="s">
        <v>11217</v>
      </c>
      <c r="B5586" s="4" t="s">
        <v>11218</v>
      </c>
      <c r="C5586" s="4" t="s">
        <v>37</v>
      </c>
      <c r="D5586" s="2">
        <f>12914778/(10^6)</f>
        <v>12.914778</v>
      </c>
      <c r="E5586" s="5" t="s">
        <v>86</v>
      </c>
      <c r="F5586" s="5" t="s">
        <v>86</v>
      </c>
      <c r="G5586" s="5" t="s">
        <v>86</v>
      </c>
      <c r="H5586" s="5" t="s">
        <v>86</v>
      </c>
      <c r="I5586" t="s">
        <v>57</v>
      </c>
    </row>
    <row r="5587" spans="1:9">
      <c r="A5587" s="4" t="s">
        <v>11219</v>
      </c>
      <c r="B5587" s="4" t="s">
        <v>11220</v>
      </c>
      <c r="C5587" s="4" t="s">
        <v>41</v>
      </c>
      <c r="D5587" s="2">
        <f>12904586/(10^6)</f>
        <v>12.904586</v>
      </c>
      <c r="E5587" s="5" t="s">
        <v>86</v>
      </c>
      <c r="F5587" s="5">
        <v>1.08972871303558</v>
      </c>
      <c r="G5587" s="5">
        <v>0.349345624446869</v>
      </c>
      <c r="H5587" s="5" t="s">
        <v>86</v>
      </c>
      <c r="I5587" t="s">
        <v>57</v>
      </c>
    </row>
    <row r="5588" spans="1:9">
      <c r="A5588" s="4" t="s">
        <v>11221</v>
      </c>
      <c r="B5588" s="4" t="s">
        <v>11222</v>
      </c>
      <c r="C5588" s="4" t="s">
        <v>27</v>
      </c>
      <c r="D5588" s="2">
        <f>12840470/(10^6)</f>
        <v>12.84047</v>
      </c>
      <c r="E5588" s="5" t="s">
        <v>86</v>
      </c>
      <c r="F5588" s="5">
        <v>0.245141953229904</v>
      </c>
      <c r="G5588" s="5">
        <v>0.013520485721529</v>
      </c>
      <c r="H5588" s="5">
        <v>3.43472647666931</v>
      </c>
      <c r="I5588" t="s">
        <v>57</v>
      </c>
    </row>
    <row r="5589" spans="1:9">
      <c r="A5589" s="4" t="s">
        <v>11223</v>
      </c>
      <c r="B5589" s="4" t="s">
        <v>11224</v>
      </c>
      <c r="C5589" s="4" t="s">
        <v>41</v>
      </c>
      <c r="D5589" s="2">
        <f>12837613/(10^6)</f>
        <v>12.837613</v>
      </c>
      <c r="E5589" s="5" t="s">
        <v>86</v>
      </c>
      <c r="F5589" s="5" t="s">
        <v>86</v>
      </c>
      <c r="G5589" s="5" t="s">
        <v>86</v>
      </c>
      <c r="H5589" s="5" t="s">
        <v>86</v>
      </c>
      <c r="I5589" t="s">
        <v>57</v>
      </c>
    </row>
    <row r="5590" spans="1:9">
      <c r="A5590" s="4" t="s">
        <v>11225</v>
      </c>
      <c r="B5590" s="4" t="s">
        <v>11226</v>
      </c>
      <c r="C5590" s="4" t="s">
        <v>51</v>
      </c>
      <c r="D5590" s="2">
        <f>12833443/(10^6)</f>
        <v>12.833443</v>
      </c>
      <c r="E5590" s="5" t="s">
        <v>86</v>
      </c>
      <c r="F5590" s="5" t="s">
        <v>86</v>
      </c>
      <c r="G5590" s="5">
        <v>4.55889844894409</v>
      </c>
      <c r="H5590" s="5" t="s">
        <v>86</v>
      </c>
      <c r="I5590" t="s">
        <v>57</v>
      </c>
    </row>
    <row r="5591" spans="1:9">
      <c r="A5591" s="4" t="s">
        <v>11227</v>
      </c>
      <c r="B5591" s="4" t="s">
        <v>11228</v>
      </c>
      <c r="C5591" s="4" t="s">
        <v>41</v>
      </c>
      <c r="D5591" s="2">
        <f>12819611/(10^6)</f>
        <v>12.819611</v>
      </c>
      <c r="E5591" s="5" t="s">
        <v>86</v>
      </c>
      <c r="F5591" s="5">
        <v>0.977584004402161</v>
      </c>
      <c r="G5591" s="5" t="s">
        <v>86</v>
      </c>
      <c r="H5591" s="5" t="s">
        <v>86</v>
      </c>
      <c r="I5591" t="s">
        <v>57</v>
      </c>
    </row>
    <row r="5592" spans="1:9">
      <c r="A5592" s="4" t="s">
        <v>11229</v>
      </c>
      <c r="B5592" s="4" t="s">
        <v>11230</v>
      </c>
      <c r="C5592" s="4" t="s">
        <v>49</v>
      </c>
      <c r="D5592" s="2">
        <f>12816825/(10^6)</f>
        <v>12.816825</v>
      </c>
      <c r="E5592" s="5">
        <v>10.8955659866333</v>
      </c>
      <c r="F5592" s="5">
        <v>0.629571914672852</v>
      </c>
      <c r="G5592" s="5">
        <v>1.34396135807037</v>
      </c>
      <c r="H5592" s="5" t="s">
        <v>86</v>
      </c>
      <c r="I5592" t="s">
        <v>57</v>
      </c>
    </row>
    <row r="5593" spans="1:9">
      <c r="A5593" s="4" t="s">
        <v>11231</v>
      </c>
      <c r="B5593" s="4" t="s">
        <v>11232</v>
      </c>
      <c r="C5593" s="4" t="s">
        <v>51</v>
      </c>
      <c r="D5593" s="2">
        <f>12781460/(10^6)</f>
        <v>12.78146</v>
      </c>
      <c r="E5593" s="5" t="s">
        <v>86</v>
      </c>
      <c r="F5593" s="5" t="s">
        <v>86</v>
      </c>
      <c r="G5593" s="5" t="s">
        <v>86</v>
      </c>
      <c r="H5593" s="5" t="s">
        <v>86</v>
      </c>
      <c r="I5593" t="s">
        <v>57</v>
      </c>
    </row>
    <row r="5594" spans="1:9">
      <c r="A5594" s="4" t="s">
        <v>11233</v>
      </c>
      <c r="B5594" s="4" t="s">
        <v>11234</v>
      </c>
      <c r="C5594" s="4" t="s">
        <v>49</v>
      </c>
      <c r="D5594" s="2">
        <f>12775525/(10^6)</f>
        <v>12.775525</v>
      </c>
      <c r="E5594" s="5" t="s">
        <v>86</v>
      </c>
      <c r="F5594" s="5" t="s">
        <v>86</v>
      </c>
      <c r="G5594" s="5" t="s">
        <v>86</v>
      </c>
      <c r="H5594" s="5" t="s">
        <v>86</v>
      </c>
      <c r="I5594" t="s">
        <v>57</v>
      </c>
    </row>
    <row r="5595" spans="1:9">
      <c r="A5595" s="4" t="s">
        <v>11235</v>
      </c>
      <c r="B5595" s="4" t="s">
        <v>11236</v>
      </c>
      <c r="C5595" s="4" t="s">
        <v>41</v>
      </c>
      <c r="D5595" s="2">
        <f>12773570/(10^6)</f>
        <v>12.77357</v>
      </c>
      <c r="E5595" s="5">
        <v>39.4169998168945</v>
      </c>
      <c r="F5595" s="5">
        <v>2.01778221130371</v>
      </c>
      <c r="G5595" s="5">
        <v>1.23704540729523</v>
      </c>
      <c r="H5595" s="5">
        <v>17.9430084228516</v>
      </c>
      <c r="I5595" t="s">
        <v>57</v>
      </c>
    </row>
    <row r="5596" spans="1:9">
      <c r="A5596" s="4" t="s">
        <v>11237</v>
      </c>
      <c r="B5596" s="4" t="s">
        <v>11238</v>
      </c>
      <c r="C5596" s="4" t="s">
        <v>49</v>
      </c>
      <c r="D5596" s="2">
        <f>12758785/(10^6)</f>
        <v>12.758785</v>
      </c>
      <c r="E5596" s="5" t="s">
        <v>86</v>
      </c>
      <c r="F5596" s="5" t="s">
        <v>86</v>
      </c>
      <c r="G5596" s="5" t="s">
        <v>86</v>
      </c>
      <c r="H5596" s="5" t="s">
        <v>86</v>
      </c>
      <c r="I5596" t="s">
        <v>57</v>
      </c>
    </row>
    <row r="5597" spans="1:9">
      <c r="A5597" s="4" t="s">
        <v>11239</v>
      </c>
      <c r="B5597" s="4" t="s">
        <v>11240</v>
      </c>
      <c r="C5597" s="4" t="s">
        <v>31</v>
      </c>
      <c r="D5597" s="2">
        <f>12740152/(10^6)</f>
        <v>12.740152</v>
      </c>
      <c r="E5597" s="5" t="s">
        <v>86</v>
      </c>
      <c r="F5597" s="5">
        <v>0.103911384940147</v>
      </c>
      <c r="G5597" s="5">
        <v>0.051558300852776</v>
      </c>
      <c r="H5597" s="5" t="s">
        <v>86</v>
      </c>
      <c r="I5597" t="s">
        <v>57</v>
      </c>
    </row>
    <row r="5598" spans="1:9">
      <c r="A5598" s="4" t="s">
        <v>11241</v>
      </c>
      <c r="B5598" s="4" t="s">
        <v>11242</v>
      </c>
      <c r="C5598" s="4" t="s">
        <v>47</v>
      </c>
      <c r="D5598" s="2">
        <f>12709142/(10^6)</f>
        <v>12.709142</v>
      </c>
      <c r="E5598" s="5" t="s">
        <v>86</v>
      </c>
      <c r="F5598" s="5" t="s">
        <v>86</v>
      </c>
      <c r="G5598" s="5" t="s">
        <v>86</v>
      </c>
      <c r="H5598" s="5" t="s">
        <v>86</v>
      </c>
      <c r="I5598" t="s">
        <v>57</v>
      </c>
    </row>
    <row r="5599" spans="1:9">
      <c r="A5599" s="4" t="s">
        <v>11243</v>
      </c>
      <c r="B5599" s="4" t="s">
        <v>11244</v>
      </c>
      <c r="C5599" s="4" t="s">
        <v>41</v>
      </c>
      <c r="D5599" s="2">
        <f>12684630/(10^6)</f>
        <v>12.68463</v>
      </c>
      <c r="E5599" s="5" t="s">
        <v>86</v>
      </c>
      <c r="F5599" s="5">
        <v>1.6017826795578</v>
      </c>
      <c r="G5599" s="5" t="s">
        <v>86</v>
      </c>
      <c r="H5599" s="5" t="s">
        <v>86</v>
      </c>
      <c r="I5599" t="s">
        <v>57</v>
      </c>
    </row>
    <row r="5600" spans="1:9">
      <c r="A5600" s="4" t="s">
        <v>11245</v>
      </c>
      <c r="B5600" s="4" t="s">
        <v>11246</v>
      </c>
      <c r="C5600" s="4" t="s">
        <v>47</v>
      </c>
      <c r="D5600" s="2">
        <f>12662153/(10^6)</f>
        <v>12.662153</v>
      </c>
      <c r="E5600" s="5" t="s">
        <v>86</v>
      </c>
      <c r="F5600" s="5">
        <v>0.942262291908264</v>
      </c>
      <c r="G5600" s="5">
        <v>0.141091957688332</v>
      </c>
      <c r="H5600" s="5">
        <v>25.2669582366943</v>
      </c>
      <c r="I5600" t="s">
        <v>57</v>
      </c>
    </row>
    <row r="5601" spans="1:9">
      <c r="A5601" s="4" t="s">
        <v>11247</v>
      </c>
      <c r="B5601" s="4" t="s">
        <v>11248</v>
      </c>
      <c r="C5601" s="4" t="s">
        <v>49</v>
      </c>
      <c r="D5601" s="2">
        <f>12660314/(10^6)</f>
        <v>12.660314</v>
      </c>
      <c r="E5601" s="5" t="s">
        <v>86</v>
      </c>
      <c r="F5601" s="5" t="s">
        <v>86</v>
      </c>
      <c r="G5601" s="5" t="s">
        <v>86</v>
      </c>
      <c r="H5601" s="5" t="s">
        <v>86</v>
      </c>
      <c r="I5601" t="s">
        <v>57</v>
      </c>
    </row>
    <row r="5602" spans="1:9">
      <c r="A5602" s="4" t="s">
        <v>11249</v>
      </c>
      <c r="B5602" s="4" t="s">
        <v>11250</v>
      </c>
      <c r="C5602" s="4" t="s">
        <v>41</v>
      </c>
      <c r="D5602" s="2">
        <f>12642142/(10^6)</f>
        <v>12.642142</v>
      </c>
      <c r="E5602" s="5" t="s">
        <v>86</v>
      </c>
      <c r="F5602" s="5" t="s">
        <v>86</v>
      </c>
      <c r="G5602" s="5" t="s">
        <v>86</v>
      </c>
      <c r="H5602" s="5" t="s">
        <v>86</v>
      </c>
      <c r="I5602" t="s">
        <v>57</v>
      </c>
    </row>
    <row r="5603" spans="1:9">
      <c r="A5603" s="4" t="s">
        <v>11251</v>
      </c>
      <c r="B5603" s="4" t="s">
        <v>11252</v>
      </c>
      <c r="C5603" s="4" t="s">
        <v>41</v>
      </c>
      <c r="D5603" s="2">
        <f>12629652/(10^6)</f>
        <v>12.629652</v>
      </c>
      <c r="E5603" s="5" t="s">
        <v>86</v>
      </c>
      <c r="F5603" s="5">
        <v>1.56746864318848</v>
      </c>
      <c r="G5603" s="5" t="s">
        <v>86</v>
      </c>
      <c r="H5603" s="5" t="s">
        <v>86</v>
      </c>
      <c r="I5603" t="s">
        <v>57</v>
      </c>
    </row>
    <row r="5604" spans="1:9">
      <c r="A5604" s="4" t="s">
        <v>11253</v>
      </c>
      <c r="B5604" s="4" t="s">
        <v>11254</v>
      </c>
      <c r="C5604" s="4" t="s">
        <v>51</v>
      </c>
      <c r="D5604" s="2">
        <f>12557824/(10^6)</f>
        <v>12.557824</v>
      </c>
      <c r="E5604" s="5">
        <v>7.08798694610596</v>
      </c>
      <c r="F5604" s="5">
        <v>0.212112501263618</v>
      </c>
      <c r="G5604" s="5">
        <v>0.043343164026737</v>
      </c>
      <c r="H5604" s="5">
        <v>4.52614974975586</v>
      </c>
      <c r="I5604" t="s">
        <v>57</v>
      </c>
    </row>
    <row r="5605" spans="1:9">
      <c r="A5605" s="4" t="s">
        <v>11255</v>
      </c>
      <c r="B5605" s="4" t="s">
        <v>11256</v>
      </c>
      <c r="C5605" s="4" t="s">
        <v>47</v>
      </c>
      <c r="D5605" s="2">
        <f>12548537/(10^6)</f>
        <v>12.548537</v>
      </c>
      <c r="E5605" s="5" t="s">
        <v>86</v>
      </c>
      <c r="F5605" s="5" t="s">
        <v>86</v>
      </c>
      <c r="G5605" s="5">
        <v>0.17146147787571</v>
      </c>
      <c r="H5605" s="5">
        <v>250.895202636719</v>
      </c>
      <c r="I5605" t="s">
        <v>57</v>
      </c>
    </row>
    <row r="5606" spans="1:9">
      <c r="A5606" s="4" t="s">
        <v>11257</v>
      </c>
      <c r="B5606" s="4" t="s">
        <v>11258</v>
      </c>
      <c r="C5606" s="4" t="s">
        <v>43</v>
      </c>
      <c r="D5606" s="2">
        <f>12496488/(10^6)</f>
        <v>12.496488</v>
      </c>
      <c r="E5606" s="5" t="s">
        <v>86</v>
      </c>
      <c r="F5606" s="5">
        <v>0.718047142028809</v>
      </c>
      <c r="G5606" s="5">
        <v>1.03119993209839</v>
      </c>
      <c r="H5606" s="5" t="s">
        <v>86</v>
      </c>
      <c r="I5606" t="s">
        <v>57</v>
      </c>
    </row>
    <row r="5607" spans="1:9">
      <c r="A5607" s="4" t="s">
        <v>11259</v>
      </c>
      <c r="B5607" s="4" t="s">
        <v>11260</v>
      </c>
      <c r="C5607" s="4" t="s">
        <v>45</v>
      </c>
      <c r="D5607" s="2">
        <f>12492690/(10^6)</f>
        <v>12.49269</v>
      </c>
      <c r="E5607" s="5">
        <v>33.6956520080566</v>
      </c>
      <c r="F5607" s="5">
        <v>4.34377908706665</v>
      </c>
      <c r="G5607" s="5">
        <v>5.9719934463501</v>
      </c>
      <c r="H5607" s="5">
        <v>12.3898220062256</v>
      </c>
      <c r="I5607" t="s">
        <v>57</v>
      </c>
    </row>
    <row r="5608" spans="1:9">
      <c r="A5608" s="4" t="s">
        <v>11261</v>
      </c>
      <c r="B5608" s="4" t="s">
        <v>11262</v>
      </c>
      <c r="C5608" s="4" t="s">
        <v>47</v>
      </c>
      <c r="D5608" s="2">
        <f>12458432/(10^6)</f>
        <v>12.458432</v>
      </c>
      <c r="E5608" s="5" t="s">
        <v>86</v>
      </c>
      <c r="F5608" s="5" t="s">
        <v>86</v>
      </c>
      <c r="G5608" s="5">
        <v>0.015957212075591</v>
      </c>
      <c r="H5608" s="5">
        <v>30.6117191314697</v>
      </c>
      <c r="I5608" t="s">
        <v>57</v>
      </c>
    </row>
    <row r="5609" spans="1:9">
      <c r="A5609" s="4" t="s">
        <v>11263</v>
      </c>
      <c r="B5609" s="4" t="s">
        <v>11264</v>
      </c>
      <c r="C5609" s="4" t="s">
        <v>41</v>
      </c>
      <c r="D5609" s="2">
        <f>12455523/(10^6)</f>
        <v>12.455523</v>
      </c>
      <c r="E5609" s="5" t="s">
        <v>86</v>
      </c>
      <c r="F5609" s="5" t="s">
        <v>86</v>
      </c>
      <c r="G5609" s="5" t="s">
        <v>86</v>
      </c>
      <c r="H5609" s="5" t="s">
        <v>86</v>
      </c>
      <c r="I5609" t="s">
        <v>57</v>
      </c>
    </row>
    <row r="5610" spans="1:9">
      <c r="A5610" s="4" t="s">
        <v>11265</v>
      </c>
      <c r="B5610" s="4" t="s">
        <v>11266</v>
      </c>
      <c r="C5610" s="4" t="s">
        <v>37</v>
      </c>
      <c r="D5610" s="2">
        <f>12429189/(10^6)</f>
        <v>12.429189</v>
      </c>
      <c r="E5610" s="5" t="s">
        <v>86</v>
      </c>
      <c r="F5610" s="5" t="s">
        <v>86</v>
      </c>
      <c r="G5610" s="5" t="s">
        <v>86</v>
      </c>
      <c r="H5610" s="5" t="s">
        <v>86</v>
      </c>
      <c r="I5610" t="s">
        <v>57</v>
      </c>
    </row>
    <row r="5611" spans="1:9">
      <c r="A5611" s="4" t="s">
        <v>11267</v>
      </c>
      <c r="B5611" s="4" t="s">
        <v>11268</v>
      </c>
      <c r="C5611" s="4" t="s">
        <v>37</v>
      </c>
      <c r="D5611" s="2">
        <f>12377057/(10^6)</f>
        <v>12.377057</v>
      </c>
      <c r="E5611" s="5" t="s">
        <v>86</v>
      </c>
      <c r="F5611" s="5">
        <v>1.27463161945343</v>
      </c>
      <c r="G5611" s="5">
        <v>41.182933807373</v>
      </c>
      <c r="H5611" s="5" t="s">
        <v>86</v>
      </c>
      <c r="I5611" t="s">
        <v>57</v>
      </c>
    </row>
    <row r="5612" spans="1:9">
      <c r="A5612" s="4" t="s">
        <v>11269</v>
      </c>
      <c r="B5612" s="4" t="s">
        <v>11270</v>
      </c>
      <c r="C5612" s="4" t="s">
        <v>51</v>
      </c>
      <c r="D5612" s="2">
        <f>12374935/(10^6)</f>
        <v>12.374935</v>
      </c>
      <c r="E5612" s="5" t="s">
        <v>86</v>
      </c>
      <c r="F5612" s="5">
        <v>26.6217060089111</v>
      </c>
      <c r="G5612" s="5">
        <v>2.09527945518494</v>
      </c>
      <c r="H5612" s="5" t="s">
        <v>86</v>
      </c>
      <c r="I5612" t="s">
        <v>57</v>
      </c>
    </row>
    <row r="5613" spans="1:9">
      <c r="A5613" s="4" t="s">
        <v>11271</v>
      </c>
      <c r="B5613" s="4" t="s">
        <v>11272</v>
      </c>
      <c r="C5613" s="4" t="s">
        <v>33</v>
      </c>
      <c r="D5613" s="2">
        <f>12365748/(10^6)</f>
        <v>12.365748</v>
      </c>
      <c r="E5613" s="5" t="s">
        <v>86</v>
      </c>
      <c r="F5613" s="5" t="s">
        <v>86</v>
      </c>
      <c r="G5613" s="5" t="s">
        <v>86</v>
      </c>
      <c r="H5613" s="5" t="s">
        <v>86</v>
      </c>
      <c r="I5613" t="s">
        <v>57</v>
      </c>
    </row>
    <row r="5614" spans="1:9">
      <c r="A5614" s="4" t="s">
        <v>11273</v>
      </c>
      <c r="B5614" s="4" t="s">
        <v>11274</v>
      </c>
      <c r="C5614" s="4" t="s">
        <v>43</v>
      </c>
      <c r="D5614" s="2">
        <f>12330138/(10^6)</f>
        <v>12.330138</v>
      </c>
      <c r="E5614" s="5" t="s">
        <v>86</v>
      </c>
      <c r="F5614" s="5" t="s">
        <v>86</v>
      </c>
      <c r="G5614" s="5">
        <v>0.393148243427277</v>
      </c>
      <c r="H5614" s="5" t="s">
        <v>86</v>
      </c>
      <c r="I5614" t="s">
        <v>57</v>
      </c>
    </row>
    <row r="5615" spans="1:9">
      <c r="A5615" s="4" t="s">
        <v>11275</v>
      </c>
      <c r="B5615" s="4" t="s">
        <v>11276</v>
      </c>
      <c r="C5615" s="4" t="s">
        <v>49</v>
      </c>
      <c r="D5615" s="2">
        <f>12290445/(10^6)</f>
        <v>12.290445</v>
      </c>
      <c r="E5615" s="5" t="s">
        <v>86</v>
      </c>
      <c r="F5615" s="5">
        <v>1.31317293643951</v>
      </c>
      <c r="G5615" s="5">
        <v>0.477777391672134</v>
      </c>
      <c r="H5615" s="5">
        <v>15.3406963348389</v>
      </c>
      <c r="I5615" t="s">
        <v>57</v>
      </c>
    </row>
    <row r="5616" spans="1:9">
      <c r="A5616" s="4" t="s">
        <v>11277</v>
      </c>
      <c r="B5616" s="4" t="s">
        <v>11278</v>
      </c>
      <c r="C5616" s="4" t="s">
        <v>51</v>
      </c>
      <c r="D5616" s="2">
        <f>12261060/(10^6)</f>
        <v>12.26106</v>
      </c>
      <c r="E5616" s="5" t="s">
        <v>86</v>
      </c>
      <c r="F5616" s="5">
        <v>1.26454746723175</v>
      </c>
      <c r="G5616" s="5">
        <v>0.204495817422867</v>
      </c>
      <c r="H5616" s="5" t="s">
        <v>86</v>
      </c>
      <c r="I5616" t="s">
        <v>57</v>
      </c>
    </row>
    <row r="5617" spans="1:9">
      <c r="A5617" s="4" t="s">
        <v>11279</v>
      </c>
      <c r="B5617" s="4" t="s">
        <v>11280</v>
      </c>
      <c r="C5617" s="4" t="s">
        <v>47</v>
      </c>
      <c r="D5617" s="2">
        <f>12130600/(10^6)</f>
        <v>12.1306</v>
      </c>
      <c r="E5617" s="5">
        <v>25.4969615936279</v>
      </c>
      <c r="F5617" s="5">
        <v>2.60145902633667</v>
      </c>
      <c r="G5617" s="5">
        <v>1.02206170558929</v>
      </c>
      <c r="H5617" s="5" t="s">
        <v>86</v>
      </c>
      <c r="I5617" t="s">
        <v>57</v>
      </c>
    </row>
    <row r="5618" spans="1:9">
      <c r="A5618" s="4" t="s">
        <v>11281</v>
      </c>
      <c r="B5618" s="4" t="s">
        <v>11282</v>
      </c>
      <c r="C5618" s="4" t="s">
        <v>49</v>
      </c>
      <c r="D5618" s="2">
        <f>12088934/(10^6)</f>
        <v>12.088934</v>
      </c>
      <c r="E5618" s="5" t="s">
        <v>86</v>
      </c>
      <c r="F5618" s="5" t="s">
        <v>86</v>
      </c>
      <c r="G5618" s="5" t="s">
        <v>86</v>
      </c>
      <c r="H5618" s="5" t="s">
        <v>86</v>
      </c>
      <c r="I5618" t="s">
        <v>57</v>
      </c>
    </row>
    <row r="5619" spans="1:9">
      <c r="A5619" s="4" t="s">
        <v>11283</v>
      </c>
      <c r="B5619" s="4" t="s">
        <v>11284</v>
      </c>
      <c r="C5619" s="4" t="s">
        <v>33</v>
      </c>
      <c r="D5619" s="2">
        <f>12081600/(10^6)</f>
        <v>12.0816</v>
      </c>
      <c r="E5619" s="5" t="s">
        <v>86</v>
      </c>
      <c r="F5619" s="5" t="s">
        <v>86</v>
      </c>
      <c r="G5619" s="5" t="s">
        <v>86</v>
      </c>
      <c r="H5619" s="5" t="s">
        <v>86</v>
      </c>
      <c r="I5619" t="s">
        <v>57</v>
      </c>
    </row>
    <row r="5620" spans="1:9">
      <c r="A5620" s="4" t="s">
        <v>11285</v>
      </c>
      <c r="B5620" s="4" t="s">
        <v>11286</v>
      </c>
      <c r="C5620" s="4" t="s">
        <v>35</v>
      </c>
      <c r="D5620" s="2">
        <f>12064685/(10^6)</f>
        <v>12.064685</v>
      </c>
      <c r="E5620" s="5" t="s">
        <v>86</v>
      </c>
      <c r="F5620" s="5" t="s">
        <v>86</v>
      </c>
      <c r="G5620" s="5" t="s">
        <v>86</v>
      </c>
      <c r="H5620" s="5" t="s">
        <v>86</v>
      </c>
      <c r="I5620" t="s">
        <v>57</v>
      </c>
    </row>
    <row r="5621" spans="1:9">
      <c r="A5621" s="4" t="s">
        <v>11287</v>
      </c>
      <c r="B5621" s="4" t="s">
        <v>11288</v>
      </c>
      <c r="C5621" s="4" t="s">
        <v>51</v>
      </c>
      <c r="D5621" s="2">
        <f>12012501/(10^6)</f>
        <v>12.012501</v>
      </c>
      <c r="E5621" s="5" t="s">
        <v>86</v>
      </c>
      <c r="F5621" s="5" t="s">
        <v>86</v>
      </c>
      <c r="G5621" s="5">
        <v>29.103609085083</v>
      </c>
      <c r="H5621" s="5" t="s">
        <v>86</v>
      </c>
      <c r="I5621" t="s">
        <v>57</v>
      </c>
    </row>
    <row r="5622" spans="1:9">
      <c r="A5622" s="4" t="s">
        <v>11289</v>
      </c>
      <c r="B5622" s="4" t="s">
        <v>11290</v>
      </c>
      <c r="C5622" s="4" t="s">
        <v>49</v>
      </c>
      <c r="D5622" s="2">
        <f>11992544/(10^6)</f>
        <v>11.992544</v>
      </c>
      <c r="E5622" s="5" t="s">
        <v>86</v>
      </c>
      <c r="F5622" s="5" t="s">
        <v>86</v>
      </c>
      <c r="G5622" s="5" t="s">
        <v>86</v>
      </c>
      <c r="H5622" s="5" t="s">
        <v>86</v>
      </c>
      <c r="I5622" t="s">
        <v>57</v>
      </c>
    </row>
    <row r="5623" spans="1:9">
      <c r="A5623" s="4" t="s">
        <v>11291</v>
      </c>
      <c r="B5623" s="4" t="s">
        <v>11292</v>
      </c>
      <c r="C5623" s="4" t="s">
        <v>41</v>
      </c>
      <c r="D5623" s="2">
        <f>11987722/(10^6)</f>
        <v>11.987722</v>
      </c>
      <c r="E5623" s="5" t="s">
        <v>86</v>
      </c>
      <c r="F5623" s="5" t="s">
        <v>86</v>
      </c>
      <c r="G5623" s="5" t="s">
        <v>86</v>
      </c>
      <c r="H5623" s="5" t="s">
        <v>86</v>
      </c>
      <c r="I5623" t="s">
        <v>57</v>
      </c>
    </row>
    <row r="5624" spans="1:9">
      <c r="A5624" s="4" t="s">
        <v>11293</v>
      </c>
      <c r="B5624" s="4" t="s">
        <v>11294</v>
      </c>
      <c r="C5624" s="4" t="s">
        <v>49</v>
      </c>
      <c r="D5624" s="2">
        <f>11961062/(10^6)</f>
        <v>11.961062</v>
      </c>
      <c r="E5624" s="5" t="s">
        <v>86</v>
      </c>
      <c r="F5624" s="5" t="s">
        <v>86</v>
      </c>
      <c r="G5624" s="5" t="s">
        <v>86</v>
      </c>
      <c r="H5624" s="5" t="s">
        <v>86</v>
      </c>
      <c r="I5624" t="s">
        <v>57</v>
      </c>
    </row>
    <row r="5625" spans="1:9">
      <c r="A5625" s="4" t="s">
        <v>11295</v>
      </c>
      <c r="B5625" s="4" t="s">
        <v>11296</v>
      </c>
      <c r="C5625" s="4" t="s">
        <v>47</v>
      </c>
      <c r="D5625" s="2">
        <f>11943295/(10^6)</f>
        <v>11.943295</v>
      </c>
      <c r="E5625" s="5" t="s">
        <v>86</v>
      </c>
      <c r="F5625" s="5">
        <v>0.748465061187744</v>
      </c>
      <c r="G5625" s="5">
        <v>0.014246980659664</v>
      </c>
      <c r="H5625" s="5">
        <v>8.78393459320068</v>
      </c>
      <c r="I5625" t="s">
        <v>57</v>
      </c>
    </row>
    <row r="5626" spans="1:9">
      <c r="A5626" s="4" t="s">
        <v>11297</v>
      </c>
      <c r="B5626" s="4" t="s">
        <v>11298</v>
      </c>
      <c r="C5626" s="4" t="s">
        <v>47</v>
      </c>
      <c r="D5626" s="2">
        <f>11919138/(10^6)</f>
        <v>11.919138</v>
      </c>
      <c r="E5626" s="5" t="s">
        <v>86</v>
      </c>
      <c r="F5626" s="5" t="s">
        <v>86</v>
      </c>
      <c r="G5626" s="5">
        <v>0.04391672834754</v>
      </c>
      <c r="H5626" s="5" t="s">
        <v>86</v>
      </c>
      <c r="I5626" t="s">
        <v>57</v>
      </c>
    </row>
    <row r="5627" spans="1:9">
      <c r="A5627" s="4" t="s">
        <v>11299</v>
      </c>
      <c r="B5627" s="4" t="s">
        <v>11300</v>
      </c>
      <c r="C5627" s="4" t="s">
        <v>51</v>
      </c>
      <c r="D5627" s="2">
        <f>11917125/(10^6)</f>
        <v>11.917125</v>
      </c>
      <c r="E5627" s="5" t="s">
        <v>86</v>
      </c>
      <c r="F5627" s="5">
        <v>0.991517841815948</v>
      </c>
      <c r="G5627" s="5">
        <v>0.258196383714676</v>
      </c>
      <c r="H5627" s="5" t="s">
        <v>86</v>
      </c>
      <c r="I5627" t="s">
        <v>57</v>
      </c>
    </row>
    <row r="5628" spans="1:9">
      <c r="A5628" s="4" t="s">
        <v>11301</v>
      </c>
      <c r="B5628" s="4" t="s">
        <v>11302</v>
      </c>
      <c r="C5628" s="4" t="s">
        <v>41</v>
      </c>
      <c r="D5628" s="2">
        <f>11909074/(10^6)</f>
        <v>11.909074</v>
      </c>
      <c r="E5628" s="5" t="s">
        <v>86</v>
      </c>
      <c r="F5628" s="5">
        <v>0.478333324193954</v>
      </c>
      <c r="G5628" s="5">
        <v>4.96328258514404</v>
      </c>
      <c r="H5628" s="5" t="s">
        <v>86</v>
      </c>
      <c r="I5628" t="s">
        <v>57</v>
      </c>
    </row>
    <row r="5629" spans="1:9">
      <c r="A5629" s="4" t="s">
        <v>11303</v>
      </c>
      <c r="B5629" s="4" t="s">
        <v>11304</v>
      </c>
      <c r="C5629" s="4" t="s">
        <v>41</v>
      </c>
      <c r="D5629" s="2">
        <f>11903246/(10^6)</f>
        <v>11.903246</v>
      </c>
      <c r="E5629" s="5" t="s">
        <v>86</v>
      </c>
      <c r="F5629" s="5" t="s">
        <v>86</v>
      </c>
      <c r="G5629" s="5" t="s">
        <v>86</v>
      </c>
      <c r="H5629" s="5" t="s">
        <v>86</v>
      </c>
      <c r="I5629" t="s">
        <v>57</v>
      </c>
    </row>
    <row r="5630" spans="1:9">
      <c r="A5630" s="4" t="s">
        <v>11305</v>
      </c>
      <c r="B5630" s="4" t="s">
        <v>11306</v>
      </c>
      <c r="C5630" s="4" t="s">
        <v>35</v>
      </c>
      <c r="D5630" s="2">
        <f>11799663/(10^6)</f>
        <v>11.799663</v>
      </c>
      <c r="E5630" s="5" t="s">
        <v>86</v>
      </c>
      <c r="F5630" s="5">
        <v>0.75853443145752</v>
      </c>
      <c r="G5630" s="5">
        <v>0.402153432369232</v>
      </c>
      <c r="H5630" s="5">
        <v>15.8569107055664</v>
      </c>
      <c r="I5630" t="s">
        <v>57</v>
      </c>
    </row>
    <row r="5631" spans="1:9">
      <c r="A5631" s="4" t="s">
        <v>11307</v>
      </c>
      <c r="B5631" s="4" t="s">
        <v>11308</v>
      </c>
      <c r="C5631" s="4" t="s">
        <v>31</v>
      </c>
      <c r="D5631" s="2">
        <f>11769434/(10^6)</f>
        <v>11.769434</v>
      </c>
      <c r="E5631" s="5" t="s">
        <v>86</v>
      </c>
      <c r="F5631" s="5" t="s">
        <v>86</v>
      </c>
      <c r="G5631" s="5" t="s">
        <v>86</v>
      </c>
      <c r="H5631" s="5" t="s">
        <v>86</v>
      </c>
      <c r="I5631" t="s">
        <v>57</v>
      </c>
    </row>
    <row r="5632" spans="1:9">
      <c r="A5632" s="4" t="s">
        <v>11309</v>
      </c>
      <c r="B5632" s="4" t="s">
        <v>11310</v>
      </c>
      <c r="C5632" s="4" t="s">
        <v>51</v>
      </c>
      <c r="D5632" s="2">
        <f>11763848/(10^6)</f>
        <v>11.763848</v>
      </c>
      <c r="E5632" s="5" t="s">
        <v>86</v>
      </c>
      <c r="F5632" s="5" t="s">
        <v>86</v>
      </c>
      <c r="G5632" s="5">
        <v>139.888092041016</v>
      </c>
      <c r="H5632" s="5" t="s">
        <v>86</v>
      </c>
      <c r="I5632" t="s">
        <v>57</v>
      </c>
    </row>
    <row r="5633" spans="1:9">
      <c r="A5633" s="4" t="s">
        <v>11311</v>
      </c>
      <c r="B5633" s="4" t="s">
        <v>11312</v>
      </c>
      <c r="C5633" s="4" t="s">
        <v>49</v>
      </c>
      <c r="D5633" s="2">
        <f>11763796/(10^6)</f>
        <v>11.763796</v>
      </c>
      <c r="E5633" s="5" t="s">
        <v>86</v>
      </c>
      <c r="F5633" s="5" t="s">
        <v>86</v>
      </c>
      <c r="G5633" s="5" t="s">
        <v>86</v>
      </c>
      <c r="H5633" s="5" t="s">
        <v>86</v>
      </c>
      <c r="I5633" t="s">
        <v>57</v>
      </c>
    </row>
    <row r="5634" spans="1:9">
      <c r="A5634" s="4" t="s">
        <v>11313</v>
      </c>
      <c r="B5634" s="4" t="s">
        <v>11314</v>
      </c>
      <c r="C5634" s="4" t="s">
        <v>41</v>
      </c>
      <c r="D5634" s="2">
        <f>11735134/(10^6)</f>
        <v>11.735134</v>
      </c>
      <c r="E5634" s="5" t="s">
        <v>86</v>
      </c>
      <c r="F5634" s="5">
        <v>1.10392642021179</v>
      </c>
      <c r="G5634" s="5">
        <v>0.153796762228012</v>
      </c>
      <c r="H5634" s="5" t="s">
        <v>86</v>
      </c>
      <c r="I5634" t="s">
        <v>57</v>
      </c>
    </row>
    <row r="5635" spans="1:9">
      <c r="A5635" s="4" t="s">
        <v>11315</v>
      </c>
      <c r="B5635" s="4" t="s">
        <v>11316</v>
      </c>
      <c r="C5635" s="4" t="s">
        <v>45</v>
      </c>
      <c r="D5635" s="2">
        <f>11639514/(10^6)</f>
        <v>11.639514</v>
      </c>
      <c r="E5635" s="5" t="s">
        <v>86</v>
      </c>
      <c r="F5635" s="5" t="s">
        <v>86</v>
      </c>
      <c r="G5635" s="5" t="s">
        <v>86</v>
      </c>
      <c r="H5635" s="5" t="s">
        <v>86</v>
      </c>
      <c r="I5635" t="s">
        <v>57</v>
      </c>
    </row>
    <row r="5636" spans="1:9">
      <c r="A5636" s="4" t="s">
        <v>11317</v>
      </c>
      <c r="B5636" s="4" t="s">
        <v>11318</v>
      </c>
      <c r="C5636" s="4" t="s">
        <v>27</v>
      </c>
      <c r="D5636" s="2">
        <f>11625647/(10^6)</f>
        <v>11.625647</v>
      </c>
      <c r="E5636" s="5" t="s">
        <v>86</v>
      </c>
      <c r="F5636" s="5">
        <v>5.8241114616394</v>
      </c>
      <c r="G5636" s="5" t="s">
        <v>86</v>
      </c>
      <c r="H5636" s="5" t="s">
        <v>86</v>
      </c>
      <c r="I5636" t="s">
        <v>57</v>
      </c>
    </row>
    <row r="5637" spans="1:9">
      <c r="A5637" s="4" t="s">
        <v>11319</v>
      </c>
      <c r="B5637" s="4" t="s">
        <v>11320</v>
      </c>
      <c r="C5637" s="4" t="s">
        <v>49</v>
      </c>
      <c r="D5637" s="2">
        <f>11593199/(10^6)</f>
        <v>11.593199</v>
      </c>
      <c r="E5637" s="5" t="s">
        <v>86</v>
      </c>
      <c r="F5637" s="5" t="s">
        <v>86</v>
      </c>
      <c r="G5637" s="5" t="s">
        <v>86</v>
      </c>
      <c r="H5637" s="5" t="s">
        <v>86</v>
      </c>
      <c r="I5637" t="s">
        <v>57</v>
      </c>
    </row>
    <row r="5638" spans="1:9">
      <c r="A5638" s="4" t="s">
        <v>11321</v>
      </c>
      <c r="B5638" s="4" t="s">
        <v>11322</v>
      </c>
      <c r="C5638" s="4" t="s">
        <v>49</v>
      </c>
      <c r="D5638" s="2">
        <f>11580690/(10^6)</f>
        <v>11.58069</v>
      </c>
      <c r="E5638" s="5" t="s">
        <v>86</v>
      </c>
      <c r="F5638" s="5" t="s">
        <v>86</v>
      </c>
      <c r="G5638" s="5" t="s">
        <v>86</v>
      </c>
      <c r="H5638" s="5" t="s">
        <v>86</v>
      </c>
      <c r="I5638" t="s">
        <v>57</v>
      </c>
    </row>
    <row r="5639" spans="1:9">
      <c r="A5639" s="4" t="s">
        <v>11323</v>
      </c>
      <c r="B5639" s="4" t="s">
        <v>11324</v>
      </c>
      <c r="C5639" s="4" t="s">
        <v>47</v>
      </c>
      <c r="D5639" s="2">
        <f>11567426/(10^6)</f>
        <v>11.567426</v>
      </c>
      <c r="E5639" s="5" t="s">
        <v>86</v>
      </c>
      <c r="F5639" s="5">
        <v>0.070722192525864</v>
      </c>
      <c r="G5639" s="5">
        <v>0.006825386546552</v>
      </c>
      <c r="H5639" s="5">
        <v>11.9930171966553</v>
      </c>
      <c r="I5639" t="s">
        <v>57</v>
      </c>
    </row>
    <row r="5640" spans="1:9">
      <c r="A5640" s="4" t="s">
        <v>11325</v>
      </c>
      <c r="B5640" s="4" t="s">
        <v>11326</v>
      </c>
      <c r="C5640" s="4" t="s">
        <v>41</v>
      </c>
      <c r="D5640" s="2">
        <f>11561190/(10^6)</f>
        <v>11.56119</v>
      </c>
      <c r="E5640" s="5" t="s">
        <v>86</v>
      </c>
      <c r="F5640" s="5" t="s">
        <v>86</v>
      </c>
      <c r="G5640" s="5">
        <v>0.540926396846771</v>
      </c>
      <c r="H5640" s="5" t="s">
        <v>86</v>
      </c>
      <c r="I5640" t="s">
        <v>57</v>
      </c>
    </row>
    <row r="5641" spans="1:9">
      <c r="A5641" s="4" t="s">
        <v>11327</v>
      </c>
      <c r="B5641" s="4" t="s">
        <v>11328</v>
      </c>
      <c r="C5641" s="4" t="s">
        <v>47</v>
      </c>
      <c r="D5641" s="2">
        <f>11539815/(10^6)</f>
        <v>11.539815</v>
      </c>
      <c r="E5641" s="5" t="s">
        <v>86</v>
      </c>
      <c r="F5641" s="5">
        <v>1.71276617050171</v>
      </c>
      <c r="G5641" s="5">
        <v>24.1717414855957</v>
      </c>
      <c r="H5641" s="5" t="s">
        <v>86</v>
      </c>
      <c r="I5641" t="s">
        <v>57</v>
      </c>
    </row>
    <row r="5642" spans="1:9">
      <c r="A5642" s="4" t="s">
        <v>11329</v>
      </c>
      <c r="B5642" s="4" t="s">
        <v>11330</v>
      </c>
      <c r="C5642" s="4" t="s">
        <v>47</v>
      </c>
      <c r="D5642" s="2">
        <f>11515188/(10^6)</f>
        <v>11.515188</v>
      </c>
      <c r="E5642" s="5" t="s">
        <v>86</v>
      </c>
      <c r="F5642" s="5">
        <v>0.101262778043747</v>
      </c>
      <c r="G5642" s="5">
        <v>0.100338585674763</v>
      </c>
      <c r="H5642" s="5" t="s">
        <v>86</v>
      </c>
      <c r="I5642" t="s">
        <v>57</v>
      </c>
    </row>
    <row r="5643" spans="1:9">
      <c r="A5643" s="4" t="s">
        <v>11331</v>
      </c>
      <c r="B5643" s="4" t="s">
        <v>11332</v>
      </c>
      <c r="C5643" s="4" t="s">
        <v>41</v>
      </c>
      <c r="D5643" s="2">
        <f>11491972/(10^6)</f>
        <v>11.491972</v>
      </c>
      <c r="E5643" s="5" t="s">
        <v>86</v>
      </c>
      <c r="F5643" s="5">
        <v>0.985957384109497</v>
      </c>
      <c r="G5643" s="5">
        <v>4.64304351806641</v>
      </c>
      <c r="H5643" s="5" t="s">
        <v>86</v>
      </c>
      <c r="I5643" t="s">
        <v>57</v>
      </c>
    </row>
    <row r="5644" spans="1:9">
      <c r="A5644" s="4" t="s">
        <v>11333</v>
      </c>
      <c r="B5644" s="4" t="s">
        <v>11334</v>
      </c>
      <c r="C5644" s="4" t="s">
        <v>37</v>
      </c>
      <c r="D5644" s="2">
        <f>11481862/(10^6)</f>
        <v>11.481862</v>
      </c>
      <c r="E5644" s="5" t="s">
        <v>86</v>
      </c>
      <c r="F5644" s="5">
        <v>0.47581422328949</v>
      </c>
      <c r="G5644" s="5">
        <v>28.1553821563721</v>
      </c>
      <c r="H5644" s="5" t="s">
        <v>86</v>
      </c>
      <c r="I5644" t="s">
        <v>57</v>
      </c>
    </row>
    <row r="5645" spans="1:9">
      <c r="A5645" s="4" t="s">
        <v>11335</v>
      </c>
      <c r="B5645" s="4" t="s">
        <v>11336</v>
      </c>
      <c r="C5645" s="4" t="s">
        <v>31</v>
      </c>
      <c r="D5645" s="2">
        <f>11478151/(10^6)</f>
        <v>11.478151</v>
      </c>
      <c r="E5645" s="5" t="s">
        <v>86</v>
      </c>
      <c r="F5645" s="5" t="s">
        <v>86</v>
      </c>
      <c r="G5645" s="5" t="s">
        <v>86</v>
      </c>
      <c r="H5645" s="5" t="s">
        <v>86</v>
      </c>
      <c r="I5645" t="s">
        <v>57</v>
      </c>
    </row>
    <row r="5646" spans="1:9">
      <c r="A5646" s="4" t="s">
        <v>11337</v>
      </c>
      <c r="B5646" s="4" t="s">
        <v>11338</v>
      </c>
      <c r="C5646" s="4" t="s">
        <v>49</v>
      </c>
      <c r="D5646" s="2">
        <f>11472170/(10^6)</f>
        <v>11.47217</v>
      </c>
      <c r="E5646" s="5" t="s">
        <v>86</v>
      </c>
      <c r="F5646" s="5">
        <v>2.69876861572266</v>
      </c>
      <c r="G5646" s="5">
        <v>214.500213623047</v>
      </c>
      <c r="H5646" s="5" t="s">
        <v>86</v>
      </c>
      <c r="I5646" t="s">
        <v>57</v>
      </c>
    </row>
    <row r="5647" spans="1:9">
      <c r="A5647" s="4" t="s">
        <v>11339</v>
      </c>
      <c r="B5647" s="4" t="s">
        <v>11340</v>
      </c>
      <c r="C5647" s="4" t="s">
        <v>27</v>
      </c>
      <c r="D5647" s="2">
        <f>11430408/(10^6)</f>
        <v>11.430408</v>
      </c>
      <c r="E5647" s="5" t="s">
        <v>86</v>
      </c>
      <c r="F5647" s="5" t="s">
        <v>86</v>
      </c>
      <c r="G5647" s="5">
        <v>0.001277724048123</v>
      </c>
      <c r="H5647" s="5" t="s">
        <v>86</v>
      </c>
      <c r="I5647" t="s">
        <v>57</v>
      </c>
    </row>
    <row r="5648" spans="1:9">
      <c r="A5648" s="4" t="s">
        <v>11341</v>
      </c>
      <c r="B5648" s="4" t="s">
        <v>11342</v>
      </c>
      <c r="C5648" s="4" t="s">
        <v>47</v>
      </c>
      <c r="D5648" s="2">
        <f>11422741/(10^6)</f>
        <v>11.422741</v>
      </c>
      <c r="E5648" s="5" t="s">
        <v>86</v>
      </c>
      <c r="F5648" s="5">
        <v>0.228712558746338</v>
      </c>
      <c r="G5648" s="5">
        <v>0.006703954655677</v>
      </c>
      <c r="H5648" s="5" t="s">
        <v>86</v>
      </c>
      <c r="I5648" t="s">
        <v>57</v>
      </c>
    </row>
    <row r="5649" spans="1:9">
      <c r="A5649" s="4" t="s">
        <v>11343</v>
      </c>
      <c r="B5649" s="4" t="s">
        <v>11344</v>
      </c>
      <c r="C5649" s="4" t="s">
        <v>37</v>
      </c>
      <c r="D5649" s="2">
        <f>11415696/(10^6)</f>
        <v>11.415696</v>
      </c>
      <c r="E5649" s="5" t="s">
        <v>86</v>
      </c>
      <c r="F5649" s="5">
        <v>3.41736793518066</v>
      </c>
      <c r="G5649" s="5">
        <v>3.50124382972717</v>
      </c>
      <c r="H5649" s="5" t="s">
        <v>86</v>
      </c>
      <c r="I5649" t="s">
        <v>57</v>
      </c>
    </row>
    <row r="5650" spans="1:9">
      <c r="A5650" s="4" t="s">
        <v>11345</v>
      </c>
      <c r="B5650" s="4" t="s">
        <v>11346</v>
      </c>
      <c r="C5650" s="4" t="s">
        <v>47</v>
      </c>
      <c r="D5650" s="2">
        <f>11369025/(10^6)</f>
        <v>11.369025</v>
      </c>
      <c r="E5650" s="5" t="s">
        <v>86</v>
      </c>
      <c r="F5650" s="5" t="s">
        <v>86</v>
      </c>
      <c r="G5650" s="5" t="s">
        <v>86</v>
      </c>
      <c r="H5650" s="5" t="s">
        <v>86</v>
      </c>
      <c r="I5650" t="s">
        <v>57</v>
      </c>
    </row>
    <row r="5651" spans="1:9">
      <c r="A5651" s="4" t="s">
        <v>11347</v>
      </c>
      <c r="B5651" s="4" t="s">
        <v>11348</v>
      </c>
      <c r="C5651" s="4" t="s">
        <v>33</v>
      </c>
      <c r="D5651" s="2">
        <f>11366835/(10^6)</f>
        <v>11.366835</v>
      </c>
      <c r="E5651" s="5" t="s">
        <v>86</v>
      </c>
      <c r="F5651" s="5">
        <v>1.80981433391571</v>
      </c>
      <c r="G5651" s="5">
        <v>1.08411157131195</v>
      </c>
      <c r="H5651" s="5" t="s">
        <v>86</v>
      </c>
      <c r="I5651" t="s">
        <v>57</v>
      </c>
    </row>
    <row r="5652" spans="1:9">
      <c r="A5652" s="4" t="s">
        <v>11349</v>
      </c>
      <c r="B5652" s="4" t="s">
        <v>11350</v>
      </c>
      <c r="C5652" s="4" t="s">
        <v>41</v>
      </c>
      <c r="D5652" s="2">
        <f>11347025/(10^6)</f>
        <v>11.347025</v>
      </c>
      <c r="E5652" s="5" t="s">
        <v>86</v>
      </c>
      <c r="F5652" s="5" t="s">
        <v>86</v>
      </c>
      <c r="G5652" s="5" t="s">
        <v>86</v>
      </c>
      <c r="H5652" s="5" t="s">
        <v>86</v>
      </c>
      <c r="I5652" t="s">
        <v>57</v>
      </c>
    </row>
    <row r="5653" spans="1:9">
      <c r="A5653" s="4" t="s">
        <v>11351</v>
      </c>
      <c r="B5653" s="4" t="s">
        <v>11352</v>
      </c>
      <c r="C5653" s="4" t="s">
        <v>47</v>
      </c>
      <c r="D5653" s="2">
        <f>11344294/(10^6)</f>
        <v>11.344294</v>
      </c>
      <c r="E5653" s="5">
        <v>19.5939655303955</v>
      </c>
      <c r="F5653" s="5">
        <v>0.155365526676178</v>
      </c>
      <c r="G5653" s="5">
        <v>0.030293418094516</v>
      </c>
      <c r="H5653" s="5">
        <v>3.62135815620422</v>
      </c>
      <c r="I5653" t="s">
        <v>57</v>
      </c>
    </row>
    <row r="5654" spans="1:9">
      <c r="A5654" s="4" t="s">
        <v>11353</v>
      </c>
      <c r="B5654" s="4" t="s">
        <v>11354</v>
      </c>
      <c r="C5654" s="4" t="s">
        <v>49</v>
      </c>
      <c r="D5654" s="2">
        <f>11339120/(10^6)</f>
        <v>11.33912</v>
      </c>
      <c r="E5654" s="5" t="s">
        <v>86</v>
      </c>
      <c r="F5654" s="5" t="s">
        <v>86</v>
      </c>
      <c r="G5654" s="5" t="s">
        <v>86</v>
      </c>
      <c r="H5654" s="5" t="s">
        <v>86</v>
      </c>
      <c r="I5654" t="s">
        <v>57</v>
      </c>
    </row>
    <row r="5655" spans="1:9">
      <c r="A5655" s="4" t="s">
        <v>11355</v>
      </c>
      <c r="B5655" s="4" t="s">
        <v>11356</v>
      </c>
      <c r="C5655" s="4" t="s">
        <v>27</v>
      </c>
      <c r="D5655" s="2">
        <f>11322059/(10^6)</f>
        <v>11.322059</v>
      </c>
      <c r="E5655" s="5" t="s">
        <v>86</v>
      </c>
      <c r="F5655" s="5">
        <v>0.541180193424225</v>
      </c>
      <c r="G5655" s="5">
        <v>0.290110111236572</v>
      </c>
      <c r="H5655" s="5">
        <v>11.0799283981323</v>
      </c>
      <c r="I5655" t="s">
        <v>57</v>
      </c>
    </row>
    <row r="5656" spans="1:9">
      <c r="A5656" s="4" t="s">
        <v>11357</v>
      </c>
      <c r="B5656" s="4" t="s">
        <v>11358</v>
      </c>
      <c r="C5656" s="4" t="s">
        <v>31</v>
      </c>
      <c r="D5656" s="2">
        <f>11320293/(10^6)</f>
        <v>11.320293</v>
      </c>
      <c r="E5656" s="5" t="s">
        <v>86</v>
      </c>
      <c r="F5656" s="5" t="s">
        <v>86</v>
      </c>
      <c r="G5656" s="5">
        <v>0.906699061393738</v>
      </c>
      <c r="H5656" s="5">
        <v>12.7540493011475</v>
      </c>
      <c r="I5656" t="s">
        <v>57</v>
      </c>
    </row>
    <row r="5657" spans="1:9">
      <c r="A5657" s="4" t="s">
        <v>11359</v>
      </c>
      <c r="B5657" s="4" t="s">
        <v>11360</v>
      </c>
      <c r="C5657" s="4" t="s">
        <v>27</v>
      </c>
      <c r="D5657" s="2">
        <f>11314153/(10^6)</f>
        <v>11.314153</v>
      </c>
      <c r="E5657" s="5" t="s">
        <v>86</v>
      </c>
      <c r="F5657" s="5" t="s">
        <v>86</v>
      </c>
      <c r="G5657" s="5">
        <v>0.055746734142303</v>
      </c>
      <c r="H5657" s="5" t="s">
        <v>86</v>
      </c>
      <c r="I5657" t="s">
        <v>57</v>
      </c>
    </row>
    <row r="5658" spans="1:9">
      <c r="A5658" s="4" t="s">
        <v>11361</v>
      </c>
      <c r="B5658" s="4" t="s">
        <v>11362</v>
      </c>
      <c r="C5658" s="4" t="s">
        <v>51</v>
      </c>
      <c r="D5658" s="2">
        <f>11273327/(10^6)</f>
        <v>11.273327</v>
      </c>
      <c r="E5658" s="5">
        <v>1.33449232578278</v>
      </c>
      <c r="F5658" s="5">
        <v>0.507688939571381</v>
      </c>
      <c r="G5658" s="5">
        <v>0.313289731740952</v>
      </c>
      <c r="H5658" s="5" t="s">
        <v>86</v>
      </c>
      <c r="I5658" t="s">
        <v>57</v>
      </c>
    </row>
    <row r="5659" spans="1:9">
      <c r="A5659" s="4" t="s">
        <v>11363</v>
      </c>
      <c r="B5659" s="4" t="s">
        <v>11364</v>
      </c>
      <c r="C5659" s="4" t="s">
        <v>35</v>
      </c>
      <c r="D5659" s="2">
        <f>11267784/(10^6)</f>
        <v>11.267784</v>
      </c>
      <c r="E5659" s="5" t="s">
        <v>86</v>
      </c>
      <c r="F5659" s="5">
        <v>4.75850582122803</v>
      </c>
      <c r="G5659" s="5">
        <v>3.05203723907471</v>
      </c>
      <c r="H5659" s="5" t="s">
        <v>86</v>
      </c>
      <c r="I5659" t="s">
        <v>57</v>
      </c>
    </row>
    <row r="5660" spans="1:9">
      <c r="A5660" s="4" t="s">
        <v>11365</v>
      </c>
      <c r="B5660" s="4" t="s">
        <v>11366</v>
      </c>
      <c r="C5660" s="4" t="s">
        <v>51</v>
      </c>
      <c r="D5660" s="2">
        <f>11260000/(10^6)</f>
        <v>11.26</v>
      </c>
      <c r="E5660" s="5" t="s">
        <v>86</v>
      </c>
      <c r="F5660" s="5">
        <v>3.71796989440918</v>
      </c>
      <c r="G5660" s="5">
        <v>1.85083734989166</v>
      </c>
      <c r="H5660" s="5">
        <v>20.09375</v>
      </c>
      <c r="I5660" t="s">
        <v>57</v>
      </c>
    </row>
    <row r="5661" spans="1:9">
      <c r="A5661" s="4" t="s">
        <v>11367</v>
      </c>
      <c r="B5661" s="4" t="s">
        <v>11368</v>
      </c>
      <c r="C5661" s="4" t="s">
        <v>51</v>
      </c>
      <c r="D5661" s="2">
        <f>11243660/(10^6)</f>
        <v>11.24366</v>
      </c>
      <c r="E5661" s="5" t="s">
        <v>86</v>
      </c>
      <c r="F5661" s="5" t="s">
        <v>86</v>
      </c>
      <c r="G5661" s="5" t="s">
        <v>86</v>
      </c>
      <c r="H5661" s="5" t="s">
        <v>86</v>
      </c>
      <c r="I5661" t="s">
        <v>57</v>
      </c>
    </row>
    <row r="5662" spans="1:9">
      <c r="A5662" s="4" t="s">
        <v>11369</v>
      </c>
      <c r="B5662" s="4" t="s">
        <v>11370</v>
      </c>
      <c r="C5662" s="4" t="s">
        <v>47</v>
      </c>
      <c r="D5662" s="2">
        <f>11223749/(10^6)</f>
        <v>11.223749</v>
      </c>
      <c r="E5662" s="5" t="s">
        <v>86</v>
      </c>
      <c r="F5662" s="5">
        <v>0.885263919830322</v>
      </c>
      <c r="G5662" s="5" t="s">
        <v>86</v>
      </c>
      <c r="H5662" s="5" t="s">
        <v>86</v>
      </c>
      <c r="I5662" t="s">
        <v>57</v>
      </c>
    </row>
    <row r="5663" spans="1:9">
      <c r="A5663" s="4" t="s">
        <v>11371</v>
      </c>
      <c r="B5663" s="4" t="s">
        <v>11372</v>
      </c>
      <c r="C5663" s="4" t="s">
        <v>27</v>
      </c>
      <c r="D5663" s="2">
        <f>11222706/(10^6)</f>
        <v>11.222706</v>
      </c>
      <c r="E5663" s="5" t="s">
        <v>86</v>
      </c>
      <c r="F5663" s="5">
        <v>0.057580322027206</v>
      </c>
      <c r="G5663" s="5">
        <v>0.056845474988222</v>
      </c>
      <c r="H5663" s="5">
        <v>4.9776759147644</v>
      </c>
      <c r="I5663" t="s">
        <v>57</v>
      </c>
    </row>
    <row r="5664" spans="1:9">
      <c r="A5664" s="4" t="s">
        <v>11373</v>
      </c>
      <c r="B5664" s="4" t="s">
        <v>11374</v>
      </c>
      <c r="C5664" s="4" t="s">
        <v>49</v>
      </c>
      <c r="D5664" s="2">
        <f>11222000/(10^6)</f>
        <v>11.222</v>
      </c>
      <c r="E5664" s="5" t="s">
        <v>86</v>
      </c>
      <c r="F5664" s="5" t="s">
        <v>86</v>
      </c>
      <c r="G5664" s="5" t="s">
        <v>86</v>
      </c>
      <c r="H5664" s="5" t="s">
        <v>86</v>
      </c>
      <c r="I5664" t="s">
        <v>57</v>
      </c>
    </row>
    <row r="5665" spans="1:9">
      <c r="A5665" s="4" t="s">
        <v>11375</v>
      </c>
      <c r="B5665" s="4" t="s">
        <v>11376</v>
      </c>
      <c r="C5665" s="4" t="s">
        <v>27</v>
      </c>
      <c r="D5665" s="2">
        <f>11071440/(10^6)</f>
        <v>11.07144</v>
      </c>
      <c r="E5665" s="5">
        <v>43.8037452697754</v>
      </c>
      <c r="F5665" s="5">
        <v>0.467092961072922</v>
      </c>
      <c r="G5665" s="5">
        <v>0.074131898581982</v>
      </c>
      <c r="H5665" s="5">
        <v>2.31691145896912</v>
      </c>
      <c r="I5665" t="s">
        <v>57</v>
      </c>
    </row>
    <row r="5666" spans="1:9">
      <c r="A5666" s="4" t="s">
        <v>11377</v>
      </c>
      <c r="B5666" s="4" t="s">
        <v>11378</v>
      </c>
      <c r="C5666" s="4" t="s">
        <v>37</v>
      </c>
      <c r="D5666" s="2">
        <f>11060000/(10^6)</f>
        <v>11.06</v>
      </c>
      <c r="E5666" s="5" t="s">
        <v>86</v>
      </c>
      <c r="F5666" s="5" t="s">
        <v>86</v>
      </c>
      <c r="G5666" s="5" t="s">
        <v>86</v>
      </c>
      <c r="H5666" s="5" t="s">
        <v>86</v>
      </c>
      <c r="I5666" t="s">
        <v>57</v>
      </c>
    </row>
    <row r="5667" spans="1:9">
      <c r="A5667" s="4" t="s">
        <v>11379</v>
      </c>
      <c r="B5667" s="4" t="s">
        <v>11380</v>
      </c>
      <c r="C5667" s="4" t="s">
        <v>37</v>
      </c>
      <c r="D5667" s="2">
        <f>11008326/(10^6)</f>
        <v>11.008326</v>
      </c>
      <c r="E5667" s="5" t="s">
        <v>86</v>
      </c>
      <c r="F5667" s="5">
        <v>8.16035652160645</v>
      </c>
      <c r="G5667" s="5">
        <v>0.276596546173096</v>
      </c>
      <c r="H5667" s="5" t="s">
        <v>86</v>
      </c>
      <c r="I5667" t="s">
        <v>57</v>
      </c>
    </row>
    <row r="5668" spans="1:9">
      <c r="A5668" s="4" t="s">
        <v>11381</v>
      </c>
      <c r="B5668" s="4" t="s">
        <v>11382</v>
      </c>
      <c r="C5668" s="4" t="s">
        <v>51</v>
      </c>
      <c r="D5668" s="2">
        <f>10998865/(10^6)</f>
        <v>10.998865</v>
      </c>
      <c r="E5668" s="5" t="s">
        <v>86</v>
      </c>
      <c r="F5668" s="5">
        <v>0.891346335411072</v>
      </c>
      <c r="G5668" s="5">
        <v>0.386371731758118</v>
      </c>
      <c r="H5668" s="5" t="s">
        <v>86</v>
      </c>
      <c r="I5668" t="s">
        <v>57</v>
      </c>
    </row>
    <row r="5669" spans="1:9">
      <c r="A5669" s="4" t="s">
        <v>11383</v>
      </c>
      <c r="B5669" s="4" t="s">
        <v>11384</v>
      </c>
      <c r="C5669" s="4" t="s">
        <v>51</v>
      </c>
      <c r="D5669" s="2">
        <f>10968481/(10^6)</f>
        <v>10.968481</v>
      </c>
      <c r="E5669" s="5" t="s">
        <v>86</v>
      </c>
      <c r="F5669" s="5">
        <v>7.29297876358032</v>
      </c>
      <c r="G5669" s="5">
        <v>13.8853816986084</v>
      </c>
      <c r="H5669" s="5" t="s">
        <v>86</v>
      </c>
      <c r="I5669" t="s">
        <v>57</v>
      </c>
    </row>
    <row r="5670" spans="1:9">
      <c r="A5670" s="4" t="s">
        <v>11385</v>
      </c>
      <c r="B5670" s="4" t="s">
        <v>11386</v>
      </c>
      <c r="C5670" s="4" t="s">
        <v>51</v>
      </c>
      <c r="D5670" s="2">
        <f>10957384/(10^6)</f>
        <v>10.957384</v>
      </c>
      <c r="E5670" s="5" t="s">
        <v>86</v>
      </c>
      <c r="F5670" s="5">
        <v>0.821491658687592</v>
      </c>
      <c r="G5670" s="5">
        <v>0.13403756916523</v>
      </c>
      <c r="H5670" s="5" t="s">
        <v>86</v>
      </c>
      <c r="I5670" t="s">
        <v>57</v>
      </c>
    </row>
    <row r="5671" spans="1:9">
      <c r="A5671" s="4" t="s">
        <v>11387</v>
      </c>
      <c r="B5671" s="4" t="s">
        <v>11388</v>
      </c>
      <c r="C5671" s="4" t="s">
        <v>47</v>
      </c>
      <c r="D5671" s="2">
        <f>10950425/(10^6)</f>
        <v>10.950425</v>
      </c>
      <c r="E5671" s="5" t="s">
        <v>86</v>
      </c>
      <c r="F5671" s="5">
        <v>3.72463989257812</v>
      </c>
      <c r="G5671" s="5">
        <v>0.013802724890411</v>
      </c>
      <c r="H5671" s="5">
        <v>15.1956157684326</v>
      </c>
      <c r="I5671" t="s">
        <v>57</v>
      </c>
    </row>
    <row r="5672" spans="1:9">
      <c r="A5672" s="4" t="s">
        <v>11389</v>
      </c>
      <c r="B5672" s="4" t="s">
        <v>11390</v>
      </c>
      <c r="C5672" s="4" t="s">
        <v>35</v>
      </c>
      <c r="D5672" s="2">
        <f>10945949/(10^6)</f>
        <v>10.945949</v>
      </c>
      <c r="E5672" s="5">
        <v>13.8163290023804</v>
      </c>
      <c r="F5672" s="5">
        <v>1.01675415039062</v>
      </c>
      <c r="G5672" s="5">
        <v>0.187217488884926</v>
      </c>
      <c r="H5672" s="5">
        <v>4.31672668457031</v>
      </c>
      <c r="I5672" t="s">
        <v>57</v>
      </c>
    </row>
    <row r="5673" spans="1:9">
      <c r="A5673" s="4" t="s">
        <v>11391</v>
      </c>
      <c r="B5673" s="4" t="s">
        <v>11392</v>
      </c>
      <c r="C5673" s="4" t="s">
        <v>41</v>
      </c>
      <c r="D5673" s="2">
        <f>10925061/(10^6)</f>
        <v>10.925061</v>
      </c>
      <c r="E5673" s="5" t="s">
        <v>86</v>
      </c>
      <c r="F5673" s="5">
        <v>1.3713219165802</v>
      </c>
      <c r="G5673" s="5">
        <v>12.4337644577026</v>
      </c>
      <c r="H5673" s="5" t="s">
        <v>86</v>
      </c>
      <c r="I5673" t="s">
        <v>57</v>
      </c>
    </row>
    <row r="5674" spans="1:9">
      <c r="A5674" s="4" t="s">
        <v>11393</v>
      </c>
      <c r="B5674" s="4" t="s">
        <v>11394</v>
      </c>
      <c r="C5674" s="4" t="s">
        <v>41</v>
      </c>
      <c r="D5674" s="2">
        <f>10917536/(10^6)</f>
        <v>10.917536</v>
      </c>
      <c r="E5674" s="5" t="s">
        <v>86</v>
      </c>
      <c r="F5674" s="5">
        <v>1.2216010093689</v>
      </c>
      <c r="G5674" s="5">
        <v>0.560768246650696</v>
      </c>
      <c r="H5674" s="5" t="s">
        <v>86</v>
      </c>
      <c r="I5674" t="s">
        <v>57</v>
      </c>
    </row>
    <row r="5675" spans="1:9">
      <c r="A5675" s="4" t="s">
        <v>11395</v>
      </c>
      <c r="B5675" s="4" t="s">
        <v>11396</v>
      </c>
      <c r="C5675" s="4" t="s">
        <v>51</v>
      </c>
      <c r="D5675" s="2">
        <f>10790773/(10^6)</f>
        <v>10.790773</v>
      </c>
      <c r="E5675" s="5" t="s">
        <v>86</v>
      </c>
      <c r="F5675" s="5">
        <v>0.157185316085815</v>
      </c>
      <c r="G5675" s="5">
        <v>0.317668169736862</v>
      </c>
      <c r="H5675" s="5" t="s">
        <v>86</v>
      </c>
      <c r="I5675" t="s">
        <v>57</v>
      </c>
    </row>
    <row r="5676" spans="1:9">
      <c r="A5676" s="4" t="s">
        <v>11397</v>
      </c>
      <c r="B5676" s="4" t="s">
        <v>11398</v>
      </c>
      <c r="C5676" s="4" t="s">
        <v>37</v>
      </c>
      <c r="D5676" s="2">
        <f>10767355/(10^6)</f>
        <v>10.767355</v>
      </c>
      <c r="E5676" s="5" t="s">
        <v>86</v>
      </c>
      <c r="F5676" s="5" t="s">
        <v>86</v>
      </c>
      <c r="G5676" s="5" t="s">
        <v>86</v>
      </c>
      <c r="H5676" s="5" t="s">
        <v>86</v>
      </c>
      <c r="I5676" t="s">
        <v>57</v>
      </c>
    </row>
    <row r="5677" spans="1:9">
      <c r="A5677" s="4" t="s">
        <v>11399</v>
      </c>
      <c r="B5677" s="4" t="s">
        <v>11400</v>
      </c>
      <c r="C5677" s="4" t="s">
        <v>51</v>
      </c>
      <c r="D5677" s="2">
        <f>10753588/(10^6)</f>
        <v>10.753588</v>
      </c>
      <c r="E5677" s="5" t="s">
        <v>86</v>
      </c>
      <c r="F5677" s="5">
        <v>1.74680972099304</v>
      </c>
      <c r="G5677" s="5">
        <v>0.632643342018127</v>
      </c>
      <c r="H5677" s="5">
        <v>5.56555700302124</v>
      </c>
      <c r="I5677" t="s">
        <v>57</v>
      </c>
    </row>
    <row r="5678" spans="1:9">
      <c r="A5678" s="4" t="s">
        <v>11401</v>
      </c>
      <c r="B5678" s="4" t="s">
        <v>11402</v>
      </c>
      <c r="C5678" s="4" t="s">
        <v>33</v>
      </c>
      <c r="D5678" s="2">
        <f>10735740/(10^6)</f>
        <v>10.73574</v>
      </c>
      <c r="E5678" s="5" t="s">
        <v>86</v>
      </c>
      <c r="F5678" s="5">
        <v>1.13829529285431</v>
      </c>
      <c r="G5678" s="5">
        <v>0.391850829124451</v>
      </c>
      <c r="H5678" s="5" t="s">
        <v>86</v>
      </c>
      <c r="I5678" t="s">
        <v>57</v>
      </c>
    </row>
    <row r="5679" spans="1:9">
      <c r="A5679" s="4" t="s">
        <v>11403</v>
      </c>
      <c r="B5679" s="4" t="s">
        <v>11404</v>
      </c>
      <c r="C5679" s="4" t="s">
        <v>41</v>
      </c>
      <c r="D5679" s="2">
        <f>10735668/(10^6)</f>
        <v>10.735668</v>
      </c>
      <c r="E5679" s="5" t="s">
        <v>86</v>
      </c>
      <c r="F5679" s="5">
        <v>0.334047257900238</v>
      </c>
      <c r="G5679" s="5" t="s">
        <v>86</v>
      </c>
      <c r="H5679" s="5" t="s">
        <v>86</v>
      </c>
      <c r="I5679" t="s">
        <v>57</v>
      </c>
    </row>
    <row r="5680" spans="1:9">
      <c r="A5680" s="4" t="s">
        <v>11405</v>
      </c>
      <c r="B5680" s="4" t="s">
        <v>11406</v>
      </c>
      <c r="C5680" s="4" t="s">
        <v>49</v>
      </c>
      <c r="D5680" s="2">
        <f>10687600/(10^6)</f>
        <v>10.6876</v>
      </c>
      <c r="E5680" s="5" t="s">
        <v>86</v>
      </c>
      <c r="F5680" s="5">
        <v>0.896257877349854</v>
      </c>
      <c r="G5680" s="5" t="s">
        <v>86</v>
      </c>
      <c r="H5680" s="5" t="s">
        <v>86</v>
      </c>
      <c r="I5680" t="s">
        <v>57</v>
      </c>
    </row>
    <row r="5681" spans="1:9">
      <c r="A5681" s="4" t="s">
        <v>11407</v>
      </c>
      <c r="B5681" s="4" t="s">
        <v>11408</v>
      </c>
      <c r="C5681" s="4" t="s">
        <v>47</v>
      </c>
      <c r="D5681" s="2">
        <f>10666354/(10^6)</f>
        <v>10.666354</v>
      </c>
      <c r="E5681" s="5" t="s">
        <v>86</v>
      </c>
      <c r="F5681" s="5">
        <v>0.138629704713821</v>
      </c>
      <c r="G5681" s="5">
        <v>0.017847439274192</v>
      </c>
      <c r="H5681" s="5" t="s">
        <v>86</v>
      </c>
      <c r="I5681" t="s">
        <v>57</v>
      </c>
    </row>
    <row r="5682" spans="1:9">
      <c r="A5682" s="4" t="s">
        <v>11409</v>
      </c>
      <c r="B5682" s="4" t="s">
        <v>11410</v>
      </c>
      <c r="C5682" s="4" t="s">
        <v>31</v>
      </c>
      <c r="D5682" s="2">
        <f>10574809/(10^6)</f>
        <v>10.574809</v>
      </c>
      <c r="E5682" s="5" t="s">
        <v>86</v>
      </c>
      <c r="F5682" s="5">
        <v>0.404003977775574</v>
      </c>
      <c r="G5682" s="5">
        <v>0.341478258371353</v>
      </c>
      <c r="H5682" s="5" t="s">
        <v>86</v>
      </c>
      <c r="I5682" t="s">
        <v>57</v>
      </c>
    </row>
    <row r="5683" spans="1:9">
      <c r="A5683" s="4" t="s">
        <v>11411</v>
      </c>
      <c r="B5683" s="4" t="s">
        <v>11412</v>
      </c>
      <c r="C5683" s="4" t="s">
        <v>35</v>
      </c>
      <c r="D5683" s="2">
        <f>10573102/(10^6)</f>
        <v>10.573102</v>
      </c>
      <c r="E5683" s="5" t="s">
        <v>86</v>
      </c>
      <c r="F5683" s="5" t="s">
        <v>86</v>
      </c>
      <c r="G5683" s="5">
        <v>0.001440171152353</v>
      </c>
      <c r="H5683" s="5" t="s">
        <v>86</v>
      </c>
      <c r="I5683" t="s">
        <v>57</v>
      </c>
    </row>
    <row r="5684" spans="1:9">
      <c r="A5684" s="4" t="s">
        <v>11413</v>
      </c>
      <c r="B5684" s="4" t="s">
        <v>11414</v>
      </c>
      <c r="C5684" s="4" t="s">
        <v>45</v>
      </c>
      <c r="D5684" s="2">
        <f>10515351/(10^6)</f>
        <v>10.515351</v>
      </c>
      <c r="E5684" s="5" t="s">
        <v>86</v>
      </c>
      <c r="F5684" s="5">
        <v>11.1053171157837</v>
      </c>
      <c r="G5684" s="5" t="s">
        <v>86</v>
      </c>
      <c r="H5684" s="5" t="s">
        <v>86</v>
      </c>
      <c r="I5684" t="s">
        <v>57</v>
      </c>
    </row>
    <row r="5685" spans="1:9">
      <c r="A5685" s="4" t="s">
        <v>11415</v>
      </c>
      <c r="B5685" s="4" t="s">
        <v>11416</v>
      </c>
      <c r="C5685" s="4" t="s">
        <v>49</v>
      </c>
      <c r="D5685" s="2">
        <f>10505947/(10^6)</f>
        <v>10.505947</v>
      </c>
      <c r="E5685" s="5">
        <v>20.4390239715576</v>
      </c>
      <c r="F5685" s="5">
        <v>2.43482065200806</v>
      </c>
      <c r="G5685" s="5">
        <v>1.97400093078613</v>
      </c>
      <c r="H5685" s="5" t="s">
        <v>86</v>
      </c>
      <c r="I5685" t="s">
        <v>57</v>
      </c>
    </row>
    <row r="5686" spans="1:9">
      <c r="A5686" s="4" t="s">
        <v>11417</v>
      </c>
      <c r="B5686" s="4" t="s">
        <v>11418</v>
      </c>
      <c r="C5686" s="4" t="s">
        <v>49</v>
      </c>
      <c r="D5686" s="2">
        <f>10500000/(10^6)</f>
        <v>10.5</v>
      </c>
      <c r="E5686" s="5" t="s">
        <v>86</v>
      </c>
      <c r="F5686" s="5" t="s">
        <v>86</v>
      </c>
      <c r="G5686" s="5" t="s">
        <v>86</v>
      </c>
      <c r="H5686" s="5" t="s">
        <v>86</v>
      </c>
      <c r="I5686" t="s">
        <v>57</v>
      </c>
    </row>
    <row r="5687" spans="1:9">
      <c r="A5687" s="4" t="s">
        <v>11419</v>
      </c>
      <c r="B5687" s="4" t="s">
        <v>11420</v>
      </c>
      <c r="C5687" s="4" t="s">
        <v>47</v>
      </c>
      <c r="D5687" s="2">
        <f>10487236/(10^6)</f>
        <v>10.487236</v>
      </c>
      <c r="E5687" s="5" t="s">
        <v>86</v>
      </c>
      <c r="F5687" s="5">
        <v>1.36858642101288</v>
      </c>
      <c r="G5687" s="5">
        <v>0.294422626495361</v>
      </c>
      <c r="H5687" s="5" t="s">
        <v>86</v>
      </c>
      <c r="I5687" t="s">
        <v>57</v>
      </c>
    </row>
    <row r="5688" spans="1:9">
      <c r="A5688" s="4" t="s">
        <v>11421</v>
      </c>
      <c r="B5688" s="4" t="s">
        <v>11422</v>
      </c>
      <c r="C5688" s="4" t="s">
        <v>41</v>
      </c>
      <c r="D5688" s="2">
        <f>10469832/(10^6)</f>
        <v>10.469832</v>
      </c>
      <c r="E5688" s="5" t="s">
        <v>86</v>
      </c>
      <c r="F5688" s="5" t="s">
        <v>86</v>
      </c>
      <c r="G5688" s="5" t="s">
        <v>86</v>
      </c>
      <c r="H5688" s="5" t="s">
        <v>86</v>
      </c>
      <c r="I5688" t="s">
        <v>57</v>
      </c>
    </row>
    <row r="5689" spans="1:9">
      <c r="A5689" s="4" t="s">
        <v>11423</v>
      </c>
      <c r="B5689" s="4" t="s">
        <v>11424</v>
      </c>
      <c r="C5689" s="4" t="s">
        <v>47</v>
      </c>
      <c r="D5689" s="2">
        <f>10459265/(10^6)</f>
        <v>10.459265</v>
      </c>
      <c r="E5689" s="5">
        <v>25.2575187683105</v>
      </c>
      <c r="F5689" s="5">
        <v>0.101144634187222</v>
      </c>
      <c r="G5689" s="5">
        <v>0.255559474229813</v>
      </c>
      <c r="H5689" s="5">
        <v>4.15721893310547</v>
      </c>
      <c r="I5689" t="s">
        <v>57</v>
      </c>
    </row>
    <row r="5690" spans="1:9">
      <c r="A5690" s="4" t="s">
        <v>11425</v>
      </c>
      <c r="B5690" s="4" t="s">
        <v>11426</v>
      </c>
      <c r="C5690" s="4" t="s">
        <v>41</v>
      </c>
      <c r="D5690" s="2">
        <f>10451991/(10^6)</f>
        <v>10.451991</v>
      </c>
      <c r="E5690" s="5" t="s">
        <v>86</v>
      </c>
      <c r="F5690" s="5" t="s">
        <v>86</v>
      </c>
      <c r="G5690" s="5" t="s">
        <v>86</v>
      </c>
      <c r="H5690" s="5" t="s">
        <v>86</v>
      </c>
      <c r="I5690" t="s">
        <v>57</v>
      </c>
    </row>
    <row r="5691" spans="1:9">
      <c r="A5691" s="4" t="s">
        <v>11427</v>
      </c>
      <c r="B5691" s="4" t="s">
        <v>11428</v>
      </c>
      <c r="C5691" s="4" t="s">
        <v>31</v>
      </c>
      <c r="D5691" s="2">
        <f>10403060/(10^6)</f>
        <v>10.40306</v>
      </c>
      <c r="E5691" s="5" t="s">
        <v>86</v>
      </c>
      <c r="F5691" s="5">
        <v>0.739059209823608</v>
      </c>
      <c r="G5691" s="5" t="s">
        <v>86</v>
      </c>
      <c r="H5691" s="5" t="s">
        <v>86</v>
      </c>
      <c r="I5691" t="s">
        <v>57</v>
      </c>
    </row>
    <row r="5692" spans="1:9">
      <c r="A5692" s="4" t="s">
        <v>11429</v>
      </c>
      <c r="B5692" s="4" t="s">
        <v>11430</v>
      </c>
      <c r="C5692" s="4" t="s">
        <v>47</v>
      </c>
      <c r="D5692" s="2">
        <f>10386117/(10^6)</f>
        <v>10.386117</v>
      </c>
      <c r="E5692" s="5" t="s">
        <v>86</v>
      </c>
      <c r="F5692" s="5" t="s">
        <v>86</v>
      </c>
      <c r="G5692" s="5">
        <v>138.516525268555</v>
      </c>
      <c r="H5692" s="5" t="s">
        <v>86</v>
      </c>
      <c r="I5692" t="s">
        <v>57</v>
      </c>
    </row>
    <row r="5693" spans="1:9">
      <c r="A5693" s="4" t="s">
        <v>11431</v>
      </c>
      <c r="B5693" s="4" t="s">
        <v>11432</v>
      </c>
      <c r="C5693" s="4" t="s">
        <v>41</v>
      </c>
      <c r="D5693" s="2">
        <f>10374410/(10^6)</f>
        <v>10.37441</v>
      </c>
      <c r="E5693" s="5" t="s">
        <v>86</v>
      </c>
      <c r="F5693" s="5">
        <v>0.498524248600006</v>
      </c>
      <c r="G5693" s="5" t="s">
        <v>86</v>
      </c>
      <c r="H5693" s="5" t="s">
        <v>86</v>
      </c>
      <c r="I5693" t="s">
        <v>57</v>
      </c>
    </row>
    <row r="5694" spans="1:9">
      <c r="A5694" s="4" t="s">
        <v>11433</v>
      </c>
      <c r="B5694" s="4" t="s">
        <v>11434</v>
      </c>
      <c r="C5694" s="4" t="s">
        <v>49</v>
      </c>
      <c r="D5694" s="2">
        <f>10355736/(10^6)</f>
        <v>10.355736</v>
      </c>
      <c r="E5694" s="5" t="s">
        <v>86</v>
      </c>
      <c r="F5694" s="5">
        <v>43.8718643188477</v>
      </c>
      <c r="G5694" s="5" t="s">
        <v>86</v>
      </c>
      <c r="H5694" s="5" t="s">
        <v>86</v>
      </c>
      <c r="I5694" t="s">
        <v>57</v>
      </c>
    </row>
    <row r="5695" spans="1:9">
      <c r="A5695" s="4" t="s">
        <v>11435</v>
      </c>
      <c r="B5695" s="4" t="s">
        <v>11436</v>
      </c>
      <c r="C5695" s="4" t="s">
        <v>49</v>
      </c>
      <c r="D5695" s="2">
        <f>10350967/(10^6)</f>
        <v>10.350967</v>
      </c>
      <c r="E5695" s="5" t="s">
        <v>86</v>
      </c>
      <c r="F5695" s="5">
        <v>747.790649414062</v>
      </c>
      <c r="G5695" s="5" t="s">
        <v>86</v>
      </c>
      <c r="H5695" s="5" t="s">
        <v>86</v>
      </c>
      <c r="I5695" t="s">
        <v>57</v>
      </c>
    </row>
    <row r="5696" spans="1:9">
      <c r="A5696" s="4" t="s">
        <v>11437</v>
      </c>
      <c r="B5696" s="4" t="s">
        <v>11438</v>
      </c>
      <c r="C5696" s="4" t="s">
        <v>35</v>
      </c>
      <c r="D5696" s="2">
        <f>10313418/(10^6)</f>
        <v>10.313418</v>
      </c>
      <c r="E5696" s="5" t="s">
        <v>86</v>
      </c>
      <c r="F5696" s="5">
        <v>7.38738870620728</v>
      </c>
      <c r="G5696" s="5">
        <v>8.21954536437988</v>
      </c>
      <c r="H5696" s="5" t="s">
        <v>86</v>
      </c>
      <c r="I5696" t="s">
        <v>57</v>
      </c>
    </row>
    <row r="5697" spans="1:9">
      <c r="A5697" s="4" t="s">
        <v>11439</v>
      </c>
      <c r="B5697" s="4" t="s">
        <v>11440</v>
      </c>
      <c r="C5697" s="4" t="s">
        <v>41</v>
      </c>
      <c r="D5697" s="2">
        <f>10282851/(10^6)</f>
        <v>10.282851</v>
      </c>
      <c r="E5697" s="5" t="s">
        <v>86</v>
      </c>
      <c r="F5697" s="5">
        <v>0.509372472763062</v>
      </c>
      <c r="G5697" s="5">
        <v>0.473447978496552</v>
      </c>
      <c r="H5697" s="5" t="s">
        <v>86</v>
      </c>
      <c r="I5697" t="s">
        <v>57</v>
      </c>
    </row>
    <row r="5698" spans="1:9">
      <c r="A5698" s="4" t="s">
        <v>11441</v>
      </c>
      <c r="B5698" s="4" t="s">
        <v>11442</v>
      </c>
      <c r="C5698" s="4" t="s">
        <v>31</v>
      </c>
      <c r="D5698" s="2">
        <f>10212068/(10^6)</f>
        <v>10.212068</v>
      </c>
      <c r="E5698" s="5" t="s">
        <v>86</v>
      </c>
      <c r="F5698" s="5">
        <v>0.601934969425201</v>
      </c>
      <c r="G5698" s="5">
        <v>0.106513008475304</v>
      </c>
      <c r="H5698" s="5" t="s">
        <v>86</v>
      </c>
      <c r="I5698" t="s">
        <v>57</v>
      </c>
    </row>
    <row r="5699" spans="1:9">
      <c r="A5699" s="4" t="s">
        <v>11443</v>
      </c>
      <c r="B5699" s="4" t="s">
        <v>11444</v>
      </c>
      <c r="C5699" s="4" t="s">
        <v>37</v>
      </c>
      <c r="D5699" s="2">
        <f>10210032/(10^6)</f>
        <v>10.210032</v>
      </c>
      <c r="E5699" s="5">
        <v>7.16460752487183</v>
      </c>
      <c r="F5699" s="5" t="s">
        <v>86</v>
      </c>
      <c r="G5699" s="5">
        <v>0.133804082870483</v>
      </c>
      <c r="H5699" s="5">
        <v>4.20413589477539</v>
      </c>
      <c r="I5699" t="s">
        <v>57</v>
      </c>
    </row>
    <row r="5700" spans="1:9">
      <c r="A5700" s="4" t="s">
        <v>11445</v>
      </c>
      <c r="B5700" s="4" t="s">
        <v>11446</v>
      </c>
      <c r="C5700" s="4" t="s">
        <v>41</v>
      </c>
      <c r="D5700" s="2">
        <f>10199620/(10^6)</f>
        <v>10.19962</v>
      </c>
      <c r="E5700" s="5" t="s">
        <v>86</v>
      </c>
      <c r="F5700" s="5">
        <v>0.851942837238312</v>
      </c>
      <c r="G5700" s="5">
        <v>0.136319130659103</v>
      </c>
      <c r="H5700" s="5">
        <v>18.3779926300049</v>
      </c>
      <c r="I5700" t="s">
        <v>57</v>
      </c>
    </row>
    <row r="5701" spans="1:9">
      <c r="A5701" s="4" t="s">
        <v>11447</v>
      </c>
      <c r="B5701" s="4" t="s">
        <v>11448</v>
      </c>
      <c r="C5701" s="4" t="s">
        <v>43</v>
      </c>
      <c r="D5701" s="2">
        <f>10121800/(10^6)</f>
        <v>10.1218</v>
      </c>
      <c r="E5701" s="5">
        <v>11.3333339691162</v>
      </c>
      <c r="F5701" s="5">
        <v>0.413425385951996</v>
      </c>
      <c r="G5701" s="5">
        <v>1.13651561737061</v>
      </c>
      <c r="H5701" s="5" t="s">
        <v>86</v>
      </c>
      <c r="I5701" t="s">
        <v>57</v>
      </c>
    </row>
    <row r="5702" spans="1:9">
      <c r="A5702" s="4" t="s">
        <v>11449</v>
      </c>
      <c r="B5702" s="4" t="s">
        <v>11450</v>
      </c>
      <c r="C5702" s="4" t="s">
        <v>51</v>
      </c>
      <c r="D5702" s="2">
        <f>10100616/(10^6)</f>
        <v>10.100616</v>
      </c>
      <c r="E5702" s="5" t="s">
        <v>86</v>
      </c>
      <c r="F5702" s="5">
        <v>0.722571313381195</v>
      </c>
      <c r="G5702" s="5">
        <v>0.87088817358017</v>
      </c>
      <c r="H5702" s="5" t="s">
        <v>86</v>
      </c>
      <c r="I5702" t="s">
        <v>57</v>
      </c>
    </row>
    <row r="5703" spans="1:9">
      <c r="A5703" s="4" t="s">
        <v>11451</v>
      </c>
      <c r="B5703" s="4" t="s">
        <v>11452</v>
      </c>
      <c r="C5703" s="4" t="s">
        <v>41</v>
      </c>
      <c r="D5703" s="2">
        <f>10072557/(10^6)</f>
        <v>10.072557</v>
      </c>
      <c r="E5703" s="5" t="s">
        <v>86</v>
      </c>
      <c r="F5703" s="5">
        <v>144.596649169922</v>
      </c>
      <c r="G5703" s="5">
        <v>23.2307910919189</v>
      </c>
      <c r="H5703" s="5" t="s">
        <v>86</v>
      </c>
      <c r="I5703" t="s">
        <v>57</v>
      </c>
    </row>
    <row r="5704" spans="1:9">
      <c r="A5704" s="4" t="s">
        <v>11453</v>
      </c>
      <c r="B5704" s="4" t="s">
        <v>11454</v>
      </c>
      <c r="C5704" s="4" t="s">
        <v>49</v>
      </c>
      <c r="D5704" s="2">
        <f>10070000/(10^6)</f>
        <v>10.07</v>
      </c>
      <c r="E5704" s="5" t="s">
        <v>86</v>
      </c>
      <c r="F5704" s="5" t="s">
        <v>86</v>
      </c>
      <c r="G5704" s="5" t="s">
        <v>86</v>
      </c>
      <c r="H5704" s="5" t="s">
        <v>86</v>
      </c>
      <c r="I5704" t="s">
        <v>57</v>
      </c>
    </row>
    <row r="5705" spans="1:9">
      <c r="A5705" s="4" t="s">
        <v>11455</v>
      </c>
      <c r="B5705" s="4" t="s">
        <v>11456</v>
      </c>
      <c r="C5705" s="4" t="s">
        <v>51</v>
      </c>
      <c r="D5705" s="2">
        <f>10053750/(10^6)</f>
        <v>10.05375</v>
      </c>
      <c r="E5705" s="5" t="s">
        <v>86</v>
      </c>
      <c r="F5705" s="5" t="s">
        <v>86</v>
      </c>
      <c r="G5705" s="5" t="s">
        <v>86</v>
      </c>
      <c r="H5705" s="5" t="s">
        <v>86</v>
      </c>
      <c r="I5705" t="s">
        <v>57</v>
      </c>
    </row>
    <row r="5706" spans="1:9">
      <c r="A5706" s="4" t="s">
        <v>11457</v>
      </c>
      <c r="B5706" s="4" t="s">
        <v>11458</v>
      </c>
      <c r="C5706" s="4" t="s">
        <v>41</v>
      </c>
      <c r="D5706" s="2">
        <f>10052584/(10^6)</f>
        <v>10.052584</v>
      </c>
      <c r="E5706" s="5" t="s">
        <v>86</v>
      </c>
      <c r="F5706" s="5" t="s">
        <v>86</v>
      </c>
      <c r="G5706" s="5">
        <v>29.0739936828613</v>
      </c>
      <c r="H5706" s="5" t="s">
        <v>86</v>
      </c>
      <c r="I5706" t="s">
        <v>57</v>
      </c>
    </row>
    <row r="5707" spans="1:9">
      <c r="A5707" s="4" t="s">
        <v>11459</v>
      </c>
      <c r="B5707" s="4" t="s">
        <v>11460</v>
      </c>
      <c r="C5707" s="4" t="s">
        <v>41</v>
      </c>
      <c r="D5707" s="2">
        <f>10046996/(10^6)</f>
        <v>10.046996</v>
      </c>
      <c r="E5707" s="5" t="s">
        <v>86</v>
      </c>
      <c r="F5707" s="5">
        <v>4.7563419342041</v>
      </c>
      <c r="G5707" s="5">
        <v>32.5675201416016</v>
      </c>
      <c r="H5707" s="5" t="s">
        <v>86</v>
      </c>
      <c r="I5707" t="s">
        <v>57</v>
      </c>
    </row>
    <row r="5708" spans="1:9">
      <c r="A5708" s="4" t="s">
        <v>11461</v>
      </c>
      <c r="B5708" s="4" t="s">
        <v>11462</v>
      </c>
      <c r="C5708" s="4" t="s">
        <v>49</v>
      </c>
      <c r="D5708" s="2">
        <f>10041220/(10^6)</f>
        <v>10.04122</v>
      </c>
      <c r="E5708" s="5" t="s">
        <v>86</v>
      </c>
      <c r="F5708" s="5" t="s">
        <v>86</v>
      </c>
      <c r="G5708" s="5" t="s">
        <v>86</v>
      </c>
      <c r="H5708" s="5" t="s">
        <v>86</v>
      </c>
      <c r="I5708" t="s">
        <v>57</v>
      </c>
    </row>
    <row r="5709" spans="1:9">
      <c r="A5709" s="4" t="s">
        <v>11463</v>
      </c>
      <c r="B5709" s="4" t="s">
        <v>11464</v>
      </c>
      <c r="C5709" s="4" t="s">
        <v>41</v>
      </c>
      <c r="D5709" s="2">
        <f>10036759/(10^6)</f>
        <v>10.036759</v>
      </c>
      <c r="E5709" s="5" t="s">
        <v>86</v>
      </c>
      <c r="F5709" s="5">
        <v>0.439899861812592</v>
      </c>
      <c r="G5709" s="5" t="s">
        <v>86</v>
      </c>
      <c r="H5709" s="5" t="s">
        <v>86</v>
      </c>
      <c r="I5709" t="s">
        <v>57</v>
      </c>
    </row>
    <row r="5710" spans="1:9">
      <c r="A5710" s="4" t="s">
        <v>11465</v>
      </c>
      <c r="B5710" s="4" t="s">
        <v>11466</v>
      </c>
      <c r="C5710" s="4" t="s">
        <v>41</v>
      </c>
      <c r="D5710" s="2">
        <f>10036136/(10^6)</f>
        <v>10.036136</v>
      </c>
      <c r="E5710" s="5" t="s">
        <v>86</v>
      </c>
      <c r="F5710" s="5">
        <v>0.501019358634949</v>
      </c>
      <c r="G5710" s="5">
        <v>0.727360308170319</v>
      </c>
      <c r="H5710" s="5" t="s">
        <v>86</v>
      </c>
      <c r="I5710" t="s">
        <v>57</v>
      </c>
    </row>
    <row r="5711" spans="1:9">
      <c r="A5711" s="4" t="s">
        <v>11467</v>
      </c>
      <c r="B5711" s="4" t="s">
        <v>11468</v>
      </c>
      <c r="C5711" s="4" t="s">
        <v>37</v>
      </c>
      <c r="D5711" s="2">
        <f>10026830/(10^6)</f>
        <v>10.02683</v>
      </c>
      <c r="E5711" s="5" t="s">
        <v>86</v>
      </c>
      <c r="F5711" s="5" t="s">
        <v>86</v>
      </c>
      <c r="G5711" s="5" t="s">
        <v>86</v>
      </c>
      <c r="H5711" s="5" t="s">
        <v>86</v>
      </c>
      <c r="I5711" t="s">
        <v>57</v>
      </c>
    </row>
    <row r="5712" spans="1:9">
      <c r="A5712" s="4" t="s">
        <v>11469</v>
      </c>
      <c r="B5712" s="4" t="s">
        <v>11470</v>
      </c>
      <c r="C5712" s="4" t="s">
        <v>47</v>
      </c>
      <c r="D5712" s="2">
        <f>10024588/(10^6)</f>
        <v>10.024588</v>
      </c>
      <c r="E5712" s="5" t="s">
        <v>86</v>
      </c>
      <c r="F5712" s="5" t="s">
        <v>86</v>
      </c>
      <c r="G5712" s="5">
        <v>2.73078465461731</v>
      </c>
      <c r="H5712" s="5" t="s">
        <v>86</v>
      </c>
      <c r="I5712" t="s">
        <v>57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C8" sqref="C8"/>
    </sheetView>
  </sheetViews>
  <sheetFormatPr defaultColWidth="9" defaultRowHeight="12.5" outlineLevelCol="5"/>
  <cols>
    <col min="1" max="2" width="26.1363636363636" customWidth="1"/>
    <col min="3" max="5" width="24.5727272727273" customWidth="1"/>
    <col min="6" max="6" width="35" customWidth="1"/>
    <col min="7" max="7" width="21" customWidth="1"/>
    <col min="9" max="9" width="17.7090909090909" customWidth="1"/>
  </cols>
  <sheetData>
    <row r="1" ht="13" spans="1:5">
      <c r="A1" s="1" t="s">
        <v>11471</v>
      </c>
      <c r="E1" s="1" t="s">
        <v>11472</v>
      </c>
    </row>
    <row r="2" ht="13" spans="1:6">
      <c r="A2" s="1" t="s">
        <v>17</v>
      </c>
      <c r="B2" s="1" t="s">
        <v>11473</v>
      </c>
      <c r="C2" s="1" t="s">
        <v>11474</v>
      </c>
      <c r="D2" s="1"/>
      <c r="E2" s="1" t="s">
        <v>11475</v>
      </c>
      <c r="F2" s="1" t="s">
        <v>11476</v>
      </c>
    </row>
    <row r="3" ht="13" spans="1:6">
      <c r="A3" t="s">
        <v>26</v>
      </c>
      <c r="B3" t="s">
        <v>11477</v>
      </c>
      <c r="C3" t="s">
        <v>11478</v>
      </c>
      <c r="D3"/>
      <c r="E3" s="1" t="s">
        <v>5</v>
      </c>
      <c r="F3" t="s">
        <v>11479</v>
      </c>
    </row>
    <row r="4" ht="13" spans="1:6">
      <c r="A4" t="s">
        <v>3</v>
      </c>
      <c r="B4" t="s">
        <v>11480</v>
      </c>
      <c r="C4" t="s">
        <v>11480</v>
      </c>
      <c r="D4"/>
      <c r="E4" s="1" t="s">
        <v>20</v>
      </c>
      <c r="F4" t="s">
        <v>11481</v>
      </c>
    </row>
    <row r="5" ht="13" spans="1:6">
      <c r="A5" t="s">
        <v>56</v>
      </c>
      <c r="B5" t="s">
        <v>11482</v>
      </c>
      <c r="C5" t="s">
        <v>11483</v>
      </c>
      <c r="E5" s="1" t="s">
        <v>21</v>
      </c>
      <c r="F5" t="s">
        <v>11484</v>
      </c>
    </row>
    <row r="6" ht="13" spans="1:6">
      <c r="A6" t="s">
        <v>57</v>
      </c>
      <c r="B6" t="s">
        <v>11485</v>
      </c>
      <c r="C6" t="s">
        <v>11486</v>
      </c>
      <c r="E6" s="1" t="s">
        <v>22</v>
      </c>
      <c r="F6" t="s">
        <v>11487</v>
      </c>
    </row>
    <row r="13" ht="13" spans="1:6">
      <c r="A13" s="1" t="s">
        <v>11488</v>
      </c>
      <c r="E13" t="s">
        <v>11489</v>
      </c>
      <c r="F13" t="s">
        <v>11490</v>
      </c>
    </row>
    <row r="14" ht="13" spans="1:6">
      <c r="A14" s="1" t="s">
        <v>24</v>
      </c>
      <c r="B14" s="1" t="s">
        <v>7</v>
      </c>
      <c r="E14" t="s">
        <v>11491</v>
      </c>
      <c r="F14" t="str">
        <f ca="1">TEXT(TODAY(),"dd/mm/yyyy")</f>
        <v>03/08/2020</v>
      </c>
    </row>
    <row r="15" ht="13" spans="1:4">
      <c r="A15" t="s">
        <v>27</v>
      </c>
      <c r="B15" t="s">
        <v>11492</v>
      </c>
      <c r="D15" s="1"/>
    </row>
    <row r="16" spans="1:6">
      <c r="A16" t="s">
        <v>31</v>
      </c>
      <c r="B16" t="s">
        <v>34</v>
      </c>
      <c r="F16" t="str">
        <f ca="1">CONCATENATE(F13," ","Cập nhật vào"," ",F14)</f>
        <v>Bloomberg Cập nhật vào 03/08/2020</v>
      </c>
    </row>
    <row r="17" spans="1:2">
      <c r="A17" t="s">
        <v>33</v>
      </c>
      <c r="B17" t="s">
        <v>36</v>
      </c>
    </row>
    <row r="18" spans="1:2">
      <c r="A18" t="s">
        <v>35</v>
      </c>
      <c r="B18" t="s">
        <v>50</v>
      </c>
    </row>
    <row r="19" spans="1:2">
      <c r="A19" t="s">
        <v>37</v>
      </c>
      <c r="B19" t="s">
        <v>40</v>
      </c>
    </row>
    <row r="20" spans="1:2">
      <c r="A20" t="s">
        <v>39</v>
      </c>
      <c r="B20" t="s">
        <v>42</v>
      </c>
    </row>
    <row r="21" spans="1:2">
      <c r="A21" t="s">
        <v>41</v>
      </c>
      <c r="B21" t="s">
        <v>44</v>
      </c>
    </row>
    <row r="22" spans="1:2">
      <c r="A22" t="s">
        <v>43</v>
      </c>
      <c r="B22" t="s">
        <v>46</v>
      </c>
    </row>
    <row r="23" spans="1:2">
      <c r="A23" t="s">
        <v>45</v>
      </c>
      <c r="B23" t="s">
        <v>48</v>
      </c>
    </row>
    <row r="24" spans="1:2">
      <c r="A24" t="s">
        <v>47</v>
      </c>
      <c r="B24" t="s">
        <v>38</v>
      </c>
    </row>
    <row r="25" spans="1:2">
      <c r="A25" t="s">
        <v>49</v>
      </c>
      <c r="B25" t="s">
        <v>52</v>
      </c>
    </row>
    <row r="26" spans="1:2">
      <c r="A26" t="s">
        <v>51</v>
      </c>
      <c r="B26" t="s">
        <v>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Bloomberg L.P.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</vt:lpstr>
      <vt:lpstr>SUMA</vt:lpstr>
      <vt:lpstr>DATA</vt:lpstr>
      <vt:lpstr>CONN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4229594</dc:creator>
  <cp:lastModifiedBy>HP</cp:lastModifiedBy>
  <dcterms:created xsi:type="dcterms:W3CDTF">2020-03-30T11:25:00Z</dcterms:created>
  <dcterms:modified xsi:type="dcterms:W3CDTF">2020-08-03T12:34:01Z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