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YCHARM\djang\Baza\"/>
    </mc:Choice>
  </mc:AlternateContent>
  <bookViews>
    <workbookView xWindow="0" yWindow="0" windowWidth="28800" windowHeight="142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8" i="1" l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<sst xmlns="http://schemas.openxmlformats.org/spreadsheetml/2006/main" count="3279" uniqueCount="171">
  <si>
    <t>FV</t>
  </si>
  <si>
    <t>złożony</t>
  </si>
  <si>
    <t>Szwajcaria</t>
  </si>
  <si>
    <t>Austria</t>
  </si>
  <si>
    <t>szczegóły</t>
  </si>
  <si>
    <t>Tylko Projekt</t>
  </si>
  <si>
    <t>Anglia</t>
  </si>
  <si>
    <t>Łukasz Kaźmiruk</t>
  </si>
  <si>
    <t>Daniel Zarzecki</t>
  </si>
  <si>
    <t>Grzegorz Gardziejczyk</t>
  </si>
  <si>
    <t>Paweł Romaniuk</t>
  </si>
  <si>
    <t>Stanisław Borowski</t>
  </si>
  <si>
    <t>Mateusz Sierosławski</t>
  </si>
  <si>
    <t>Ewelina Konopka</t>
  </si>
  <si>
    <t>Sławomir Kulik</t>
  </si>
  <si>
    <t>Projekt Danwood</t>
  </si>
  <si>
    <t>Józef Luckiewicz</t>
  </si>
  <si>
    <t>Piotr Wiesławski</t>
  </si>
  <si>
    <t>Ewa Wyszpiańska</t>
  </si>
  <si>
    <t>Hubert Wójcik</t>
  </si>
  <si>
    <t>Krzysztof Gostkowski</t>
  </si>
  <si>
    <t>Justyna Ackiewicz</t>
  </si>
  <si>
    <t>Katarzyna Kozłowska</t>
  </si>
  <si>
    <t>Marek Renkiewicz</t>
  </si>
  <si>
    <t>Kamila Leoniuk</t>
  </si>
  <si>
    <t>Tomasz Onacik</t>
  </si>
  <si>
    <t>Bernard Czajkowski</t>
  </si>
  <si>
    <t>Sylwia Rogało</t>
  </si>
  <si>
    <t>Family</t>
  </si>
  <si>
    <t>bliźniak</t>
  </si>
  <si>
    <t>Aleksandra Szatyłowicz</t>
  </si>
  <si>
    <t>Marlena Grygo</t>
  </si>
  <si>
    <t>Przemysław Popławski</t>
  </si>
  <si>
    <t>Adam Trofimczuk</t>
  </si>
  <si>
    <t>Anna Bernatowicz</t>
  </si>
  <si>
    <t>Izabela Kinga Krysiuk</t>
  </si>
  <si>
    <t>Paula Witaliew</t>
  </si>
  <si>
    <t>Łukasz</t>
  </si>
  <si>
    <t>Katarzyna Iwaniuk</t>
  </si>
  <si>
    <t>Agnieszka</t>
  </si>
  <si>
    <t>Paweł Konstantynowicz</t>
  </si>
  <si>
    <t>Kamil</t>
  </si>
  <si>
    <t>Mateusz</t>
  </si>
  <si>
    <t>PILNY</t>
  </si>
  <si>
    <t>Musterhaus</t>
  </si>
  <si>
    <t>Magdalena Leszczyńska</t>
  </si>
  <si>
    <t>bliźniak Projekt Danwood</t>
  </si>
  <si>
    <t>projekt po Elmont</t>
  </si>
  <si>
    <t>Kamila Sidoruk</t>
  </si>
  <si>
    <t>ULTRA PILNY</t>
  </si>
  <si>
    <t>wysłać do A. Babiński</t>
  </si>
  <si>
    <t>Piotr Figarski</t>
  </si>
  <si>
    <t>wysłać do A. Babiński PILNY</t>
  </si>
  <si>
    <t>Projek Danwood</t>
  </si>
  <si>
    <t>wysłać do Sawickiej</t>
  </si>
  <si>
    <t>Marcin Lewczuk</t>
  </si>
  <si>
    <t>wysłac do A. Babiński</t>
  </si>
  <si>
    <t>Magdalena Sawicka</t>
  </si>
  <si>
    <t>Urszula Prymaka</t>
  </si>
  <si>
    <t>Łukasz Kierzkowski</t>
  </si>
  <si>
    <t>Leoniuk Kamila</t>
  </si>
  <si>
    <t>Agniaszka</t>
  </si>
  <si>
    <t>Sebastian Chorzempa</t>
  </si>
  <si>
    <t>Tomek</t>
  </si>
  <si>
    <t>Projekt Danwood, Musterhaus</t>
  </si>
  <si>
    <t>Projket Danwood</t>
  </si>
  <si>
    <t>wstrzymany przez kierownika</t>
  </si>
  <si>
    <t>Krzysztof Ignatiuk</t>
  </si>
  <si>
    <t>Tylko Projekt ULTRA PILNY</t>
  </si>
  <si>
    <t>Tylko projekt</t>
  </si>
  <si>
    <t>Katrzyna Iwaniuk</t>
  </si>
  <si>
    <t>Kamil Leoniuk</t>
  </si>
  <si>
    <t>Tylko Projket</t>
  </si>
  <si>
    <t>Adrian Czyżewski</t>
  </si>
  <si>
    <t>Kamil W</t>
  </si>
  <si>
    <t>1-1-2017</t>
  </si>
  <si>
    <t>1-2-2017</t>
  </si>
  <si>
    <t>1-3-2017</t>
  </si>
  <si>
    <t>1-4-2017</t>
  </si>
  <si>
    <t>1-5-2017</t>
  </si>
  <si>
    <t>1-06-2017</t>
  </si>
  <si>
    <t>1-07-2017</t>
  </si>
  <si>
    <t>1-08-2017</t>
  </si>
  <si>
    <t>1-09-2017</t>
  </si>
  <si>
    <t>1-10-2017</t>
  </si>
  <si>
    <t>1-11-2017</t>
  </si>
  <si>
    <t>1-12-2017</t>
  </si>
  <si>
    <t>,,</t>
  </si>
  <si>
    <t>okablowanie KNX (NYM-J 7x1,5),,</t>
  </si>
  <si>
    <t>Centralny wyłącznik zasilania, PIN-CODE,,</t>
  </si>
  <si>
    <t>inwestor straszy sądem ostatecznym,,</t>
  </si>
  <si>
    <t>Agnieszka,,</t>
  </si>
  <si>
    <t>montujemy AFDD,,</t>
  </si>
  <si>
    <t>STEINEL 360 D Bewegungsmelder,,</t>
  </si>
  <si>
    <t>1 rolet 2 wyłączniki,,</t>
  </si>
  <si>
    <t>Delta Dore,,</t>
  </si>
  <si>
    <t>montujemy AFDD,Federschiene zaznaczone otwory d=100,,</t>
  </si>
  <si>
    <t>motujemy AFDD,,</t>
  </si>
  <si>
    <t>2 m, 2 podrozdzielnie, inVenter,,</t>
  </si>
  <si>
    <t>montujemy AFDD,EVN002, ściemniacz uniwersalny, LED,,</t>
  </si>
  <si>
    <t>Domofon z możliwością otwierania 2 wejść,,</t>
  </si>
  <si>
    <t>halogeny możliwe do wykonania ale na budowie...,,</t>
  </si>
  <si>
    <t>1 akcptacja halogenowa przez dział instalacji firmy Danwood,,</t>
  </si>
  <si>
    <t>Infrarot,,</t>
  </si>
  <si>
    <t>Panic Schalter,,</t>
  </si>
  <si>
    <t>Berker Q3,,</t>
  </si>
  <si>
    <t>Delta dore montaż i uruchomienie,,</t>
  </si>
  <si>
    <t>okablowanie pod Loxone,,</t>
  </si>
  <si>
    <t>EPN050 + EPN510,,</t>
  </si>
  <si>
    <t>AFDD początek,,</t>
  </si>
  <si>
    <t>montujemy AFDD,domofon 2 abonamentowy,,</t>
  </si>
  <si>
    <t>motujemy AFDD,DeltaDore,,</t>
  </si>
  <si>
    <t>montujemy AFDD,NOWY DIN,,</t>
  </si>
  <si>
    <t>przełącznik z kluczem,,</t>
  </si>
  <si>
    <t>montujemy AFDD,Kamil,,</t>
  </si>
  <si>
    <t>montujemy AFDD,gniazdo USB,,</t>
  </si>
  <si>
    <t>PIN-CODE, 3 kondygnacje, podrozdzielnia,,</t>
  </si>
  <si>
    <t>montujemy AFDD,Żaluzje,,</t>
  </si>
  <si>
    <t>montujemy AFDD,inVenter,</t>
  </si>
  <si>
    <t>montujemy AFDD,Kamil,</t>
  </si>
  <si>
    <t>,Mateusz,</t>
  </si>
  <si>
    <t>montujemy AFDD, wszystkie ściany ogniotrwałe,</t>
  </si>
  <si>
    <t>,Żaluzje, Berker Q3,</t>
  </si>
  <si>
    <t>,http://arnold-schalter.de,Berker K5</t>
  </si>
  <si>
    <t>montujemy AFDD,Mateusz, Żaluzje,</t>
  </si>
  <si>
    <t>montujemy AFDD,Żaluzje,</t>
  </si>
  <si>
    <t>,okablowanie KNX,</t>
  </si>
  <si>
    <t>,Berker W1 na zewnątrz,</t>
  </si>
  <si>
    <t>montujemy AFDD,Berker K1, Żaluzje,</t>
  </si>
  <si>
    <t>montujemy AFDD,elektrozaczep na pilot,</t>
  </si>
  <si>
    <t>,TV G,D,</t>
  </si>
  <si>
    <t>montujemy AFDD,TV G,D,</t>
  </si>
  <si>
    <t>montujemy AFDD,Doorbird, przepust ogniowy kinkiet,</t>
  </si>
  <si>
    <t>montujemy AFDD,Berker K1,Żaluzje</t>
  </si>
  <si>
    <t>montujemy AFDD,Żaluzje, bora kontraktron,</t>
  </si>
  <si>
    <t>,Kamil,</t>
  </si>
  <si>
    <t>,Federschienen,</t>
  </si>
  <si>
    <t>,Agnieszka,</t>
  </si>
  <si>
    <t>montujemy AFDD,Agnieszka,</t>
  </si>
  <si>
    <t>,przygotowanie KNX, Mateusz,</t>
  </si>
  <si>
    <t>montujemy AFDD,Mateusz,</t>
  </si>
  <si>
    <t>,Berker Q3,</t>
  </si>
  <si>
    <t>,chyba Loxone,</t>
  </si>
  <si>
    <t>montujemy AFDD,Żaluzje, Berker Q3 w kuchni,</t>
  </si>
  <si>
    <t>,wycena Berker Q3,</t>
  </si>
  <si>
    <t>,Żaluzje,</t>
  </si>
  <si>
    <t>montujemy AFDD,DEW 40,</t>
  </si>
  <si>
    <t>montujemy AFDD,Berker Q3 Polarweiss,</t>
  </si>
  <si>
    <t>montujemy AFDD,DIT nie ogarnia,</t>
  </si>
  <si>
    <t>,Żaluzja,</t>
  </si>
  <si>
    <t>,Family 97,</t>
  </si>
  <si>
    <t>montujemy AFDD,Family 134,</t>
  </si>
  <si>
    <t>,Żaluzje, separator Hager 2969,</t>
  </si>
  <si>
    <t>,projekt po elektromontażu,</t>
  </si>
  <si>
    <t>,Żaluzja ,</t>
  </si>
  <si>
    <t>montujemy AFDD,Family 97,</t>
  </si>
  <si>
    <t>,Family 154,</t>
  </si>
  <si>
    <t>montujemy AFDD,termostaty ok według sanitarników,</t>
  </si>
  <si>
    <t>montujemy AFDD,ostatnie gniazdo GIRA TV z magazynu,</t>
  </si>
  <si>
    <t>brak uwag</t>
  </si>
  <si>
    <t>kol1</t>
  </si>
  <si>
    <t>kol2</t>
  </si>
  <si>
    <t>kol3</t>
  </si>
  <si>
    <t>kol4</t>
  </si>
  <si>
    <t>kol5</t>
  </si>
  <si>
    <t>kol6</t>
  </si>
  <si>
    <t>kol7</t>
  </si>
  <si>
    <t>kol8</t>
  </si>
  <si>
    <t>kol9</t>
  </si>
  <si>
    <t>kol10</t>
  </si>
  <si>
    <t>kol11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</si>
</sst>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b/>
      <sz val="10"/>
      <name val="Arial CE"/>
      <charset val="238"/>
    </font>
    <font>
      <b/>
      <sz val="10"/>
      <color rgb="FFFF0000"/>
      <name val="Arial CE"/>
      <charset val="238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2"/>
    <xf numFmtId="0" fontId="3" fillId="3" borderId="2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2" xfId="1" applyNumberFormat="1" applyFill="1" applyBorder="1" applyAlignment="1" applyProtection="1">
      <alignment horizontal="center"/>
    </xf>
    <xf numFmtId="0" fontId="0" fillId="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/>
    <xf numFmtId="0" fontId="0" fillId="0" borderId="2" xfId="0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/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3" fillId="0" borderId="4" xfId="0" applyFont="1" applyBorder="1"/>
    <xf numFmtId="0" fontId="3" fillId="0" borderId="2" xfId="0" applyFont="1" applyBorder="1"/>
    <xf numFmtId="0" fontId="3" fillId="2" borderId="2" xfId="0" applyFont="1" applyFill="1" applyBorder="1"/>
    <xf numFmtId="0" fontId="0" fillId="0" borderId="2" xfId="0" applyFont="1" applyBorder="1" applyAlignment="1">
      <alignment horizontal="center" vertical="center"/>
    </xf>
    <xf numFmtId="0" fontId="3" fillId="3" borderId="2" xfId="0" applyFont="1" applyFill="1" applyBorder="1"/>
    <xf numFmtId="0" fontId="0" fillId="4" borderId="2" xfId="0" applyFill="1" applyBorder="1" applyAlignment="1">
      <alignment horizontal="center"/>
    </xf>
    <xf numFmtId="0" fontId="3" fillId="4" borderId="2" xfId="0" applyFont="1" applyFill="1" applyBorder="1"/>
    <xf numFmtId="0" fontId="0" fillId="4" borderId="2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0" fontId="1" fillId="2" borderId="4" xfId="1" applyFill="1" applyBorder="1" applyAlignment="1">
      <alignment horizontal="center" vertical="center"/>
    </xf>
    <xf numFmtId="0" fontId="3" fillId="2" borderId="4" xfId="0" applyFont="1" applyFill="1" applyBorder="1"/>
    <xf numFmtId="0" fontId="1" fillId="0" borderId="2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0" fontId="3" fillId="2" borderId="2" xfId="2" applyFill="1"/>
    <xf numFmtId="0" fontId="3" fillId="3" borderId="2" xfId="3"/>
    <xf numFmtId="0" fontId="1" fillId="2" borderId="1" xfId="1" applyFill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 applyAlignment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/>
    <xf numFmtId="0" fontId="0" fillId="0" borderId="0" xfId="0" applyFont="1" applyBorder="1" applyAlignment="1"/>
    <xf numFmtId="0" fontId="3" fillId="0" borderId="2" xfId="2"/>
    <xf numFmtId="0" fontId="1" fillId="0" borderId="0" xfId="1"/>
    <xf numFmtId="0" fontId="3" fillId="2" borderId="4" xfId="2" applyFill="1" applyBorder="1"/>
    <xf numFmtId="0" fontId="3" fillId="3" borderId="4" xfId="3" applyBorder="1"/>
    <xf numFmtId="0" fontId="3" fillId="4" borderId="2" xfId="2" applyFill="1"/>
    <xf numFmtId="0" fontId="0" fillId="4" borderId="4" xfId="0" applyFill="1" applyBorder="1" applyAlignment="1">
      <alignment horizontal="center"/>
    </xf>
    <xf numFmtId="0" fontId="1" fillId="4" borderId="4" xfId="1" applyFill="1" applyBorder="1" applyAlignment="1">
      <alignment horizontal="center" vertical="center"/>
    </xf>
    <xf numFmtId="0" fontId="0" fillId="4" borderId="4" xfId="0" applyFill="1" applyBorder="1"/>
    <xf numFmtId="0" fontId="3" fillId="4" borderId="4" xfId="2" applyFill="1" applyBorder="1"/>
    <xf numFmtId="0" fontId="1" fillId="0" borderId="4" xfId="1" applyBorder="1" applyAlignment="1">
      <alignment horizontal="center" vertical="center"/>
    </xf>
    <xf numFmtId="0" fontId="0" fillId="0" borderId="0" xfId="0" applyNumberFormat="1" applyAlignment="1">
      <alignment readingOrder="1"/>
    </xf>
    <xf numFmtId="0" fontId="2" fillId="5" borderId="6" xfId="0" applyNumberFormat="1" applyFont="1" applyFill="1" applyBorder="1" applyAlignment="1">
      <alignment vertical="center" readingOrder="1"/>
    </xf>
    <xf numFmtId="0" fontId="2" fillId="0" borderId="6" xfId="0" applyNumberFormat="1" applyFont="1" applyBorder="1" applyAlignment="1">
      <alignment vertical="center" wrapText="1" readingOrder="1"/>
    </xf>
    <xf numFmtId="0" fontId="2" fillId="0" borderId="6" xfId="0" applyNumberFormat="1" applyFont="1" applyBorder="1" applyAlignment="1">
      <alignment vertical="center" readingOrder="1"/>
    </xf>
    <xf numFmtId="0" fontId="2" fillId="0" borderId="7" xfId="0" applyNumberFormat="1" applyFont="1" applyBorder="1" applyAlignment="1">
      <alignment vertical="center" readingOrder="1"/>
    </xf>
    <xf numFmtId="0" fontId="0" fillId="0" borderId="0" xfId="0" applyAlignment="1">
      <alignment horizontal="left"/>
    </xf>
  </cellXfs>
  <cellStyles count="4">
    <cellStyle name="Anglia Austria" xfId="3"/>
    <cellStyle name="Hiperłącze" xfId="1" builtinId="8"/>
    <cellStyle name="Normalny" xfId="0" builtinId="0"/>
    <cellStyle name="tylko projekt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164"/>
  <sheetViews>
    <sheetView tabSelected="1" zoomScaleNormal="100" workbookViewId="0">
      <selection activeCell="M12" sqref="M12"/>
    </sheetView>
  </sheetViews>
  <sheetFormatPr defaultRowHeight="15" x14ac:dyDescent="0.25"/>
  <cols>
    <col min="1" max="1" width="8.7109375" style="55" customWidth="1"/>
    <col min="2" max="2" width="4.7109375" style="1" customWidth="1"/>
    <col min="3" max="3" width="23.7109375" customWidth="1"/>
    <col min="4" max="4" width="15.7109375" style="1" customWidth="1"/>
    <col min="5" max="5" width="26.7109375" customWidth="1"/>
    <col min="6" max="6" width="12.7109375" customWidth="1"/>
    <col min="7" max="7" width="22.7109375" style="1" customWidth="1"/>
    <col min="8" max="8" width="6.7109375" customWidth="1"/>
    <col min="9" max="9" width="12.7109375" style="2" customWidth="1"/>
    <col min="10" max="10" width="53.28515625" bestFit="1" customWidth="1"/>
    <col min="11" max="11" width="12.140625" customWidth="1"/>
    <col min="13" max="13" width="56.5703125" bestFit="1" customWidth="1"/>
  </cols>
  <sheetData>
    <row r="1" spans="1:11" ht="15.75" thickBot="1" x14ac:dyDescent="0.3">
      <c r="A1" s="55" t="s">
        <v>160</v>
      </c>
      <c r="B1" s="55" t="s">
        <v>161</v>
      </c>
      <c r="C1" s="55" t="s">
        <v>162</v>
      </c>
      <c r="D1" s="55" t="s">
        <v>163</v>
      </c>
      <c r="E1" s="55" t="s">
        <v>164</v>
      </c>
      <c r="F1" s="55" t="s">
        <v>165</v>
      </c>
      <c r="G1" s="55" t="s">
        <v>166</v>
      </c>
      <c r="H1" s="55" t="s">
        <v>167</v>
      </c>
      <c r="I1" s="55" t="s">
        <v>168</v>
      </c>
      <c r="J1" s="55" t="s">
        <v>169</v>
      </c>
      <c r="K1" s="55" t="s">
        <v>170</v>
      </c>
    </row>
    <row r="2" spans="1:11" ht="15" customHeight="1" thickBot="1" x14ac:dyDescent="0.3">
      <c r="A2" s="56" t="s">
        <v>75</v>
      </c>
      <c r="B2" s="12">
        <v>1</v>
      </c>
      <c r="C2" s="31" t="str">
        <f>HYPERLINK("\\Elam-pliki\firmowe\BUDIMEX\PROJEKTY\DANWOOD 2017\DE\01 Styczeń\01 Sulger Schubert 9850","Sulger Schubert")</f>
        <v>Sulger Schubert</v>
      </c>
      <c r="D2" s="12">
        <v>9850</v>
      </c>
      <c r="E2" s="17"/>
      <c r="F2" s="17" t="s">
        <v>1</v>
      </c>
      <c r="G2" s="7" t="s">
        <v>30</v>
      </c>
      <c r="H2" s="6"/>
      <c r="I2" s="14" t="s">
        <v>37</v>
      </c>
      <c r="J2" t="s">
        <v>87</v>
      </c>
      <c r="K2" s="6"/>
    </row>
    <row r="3" spans="1:11" ht="15.75" thickBot="1" x14ac:dyDescent="0.3">
      <c r="A3" s="56" t="s">
        <v>75</v>
      </c>
      <c r="B3" s="12">
        <v>2</v>
      </c>
      <c r="C3" s="31" t="str">
        <f>HYPERLINK("\\Elam-pliki\firmowe\BUDIMEX\Projekty\DANWOOD 2017\DE\01 Styczeń\02 Krüger Timo 9577","Krüger Timo")</f>
        <v>Krüger Timo</v>
      </c>
      <c r="D3" s="12">
        <v>9577</v>
      </c>
      <c r="E3" s="17"/>
      <c r="F3" s="17" t="s">
        <v>1</v>
      </c>
      <c r="G3" s="7" t="s">
        <v>11</v>
      </c>
      <c r="H3" s="6"/>
      <c r="I3" s="14" t="s">
        <v>42</v>
      </c>
      <c r="J3" s="60" t="s">
        <v>88</v>
      </c>
      <c r="K3" s="6"/>
    </row>
    <row r="4" spans="1:11" ht="15.75" thickBot="1" x14ac:dyDescent="0.3">
      <c r="A4" s="56" t="s">
        <v>75</v>
      </c>
      <c r="B4" s="12">
        <v>3</v>
      </c>
      <c r="C4" s="31" t="str">
        <f>HYPERLINK("\\Elam-pliki\firmowe\BUDIMEX\Projekty\DANWOOD 2017\DE\01 Styczeń\03 Bohl 9389","Bohl")</f>
        <v>Bohl</v>
      </c>
      <c r="D4" s="12">
        <v>9389</v>
      </c>
      <c r="E4" s="17"/>
      <c r="F4" s="17" t="s">
        <v>1</v>
      </c>
      <c r="G4" s="7" t="s">
        <v>27</v>
      </c>
      <c r="H4" s="6"/>
      <c r="I4" s="14" t="s">
        <v>37</v>
      </c>
      <c r="J4" t="s">
        <v>87</v>
      </c>
      <c r="K4" s="6"/>
    </row>
    <row r="5" spans="1:11" ht="15.75" thickBot="1" x14ac:dyDescent="0.3">
      <c r="A5" s="56" t="s">
        <v>75</v>
      </c>
      <c r="B5" s="26">
        <v>4</v>
      </c>
      <c r="C5" s="35" t="str">
        <f>HYPERLINK("\\Elam-pliki\firmowe\BUDIMEX\Projekty\DANWOOD 2017\DE\01 Styczeń\04 Schuler 9570","Schuler")</f>
        <v>Schuler</v>
      </c>
      <c r="D5" s="26">
        <v>9570</v>
      </c>
      <c r="E5" s="27" t="s">
        <v>5</v>
      </c>
      <c r="F5" s="28" t="s">
        <v>4</v>
      </c>
      <c r="G5" s="7" t="s">
        <v>21</v>
      </c>
      <c r="H5" s="6" t="s">
        <v>0</v>
      </c>
      <c r="I5" s="14" t="s">
        <v>37</v>
      </c>
      <c r="J5" t="s">
        <v>159</v>
      </c>
      <c r="K5" s="25" t="s">
        <v>2</v>
      </c>
    </row>
    <row r="6" spans="1:11" ht="15.75" thickBot="1" x14ac:dyDescent="0.3">
      <c r="A6" s="56" t="s">
        <v>75</v>
      </c>
      <c r="B6" s="12">
        <v>5</v>
      </c>
      <c r="C6" s="31" t="str">
        <f>HYPERLINK("\\\\Elam-pliki\firmowe\BUDIMEX\Projekty\DANWOOD 2017\DE\01 Styczeń\05 Braun 9755","Braun")</f>
        <v>Braun</v>
      </c>
      <c r="D6" s="12">
        <v>9755</v>
      </c>
      <c r="E6" s="17"/>
      <c r="F6" s="17" t="s">
        <v>1</v>
      </c>
      <c r="G6" s="7" t="s">
        <v>27</v>
      </c>
      <c r="H6" s="6"/>
      <c r="I6" s="14" t="s">
        <v>37</v>
      </c>
      <c r="J6" t="s">
        <v>87</v>
      </c>
      <c r="K6" s="6"/>
    </row>
    <row r="7" spans="1:11" ht="15.75" thickBot="1" x14ac:dyDescent="0.3">
      <c r="A7" s="56" t="s">
        <v>75</v>
      </c>
      <c r="B7" s="12">
        <v>6</v>
      </c>
      <c r="C7" s="31" t="str">
        <f>HYPERLINK("\\Elam-pliki\firmowe\BUDIMEX\Projekty\DANWOOD 2017\DE\01 Styczeń\06 Carres 9130","Carres")</f>
        <v>Carres</v>
      </c>
      <c r="D7" s="12">
        <v>9130</v>
      </c>
      <c r="E7" s="17"/>
      <c r="F7" s="17" t="s">
        <v>1</v>
      </c>
      <c r="G7" s="7" t="s">
        <v>17</v>
      </c>
      <c r="H7" s="6"/>
      <c r="I7" s="14" t="s">
        <v>39</v>
      </c>
      <c r="J7" t="s">
        <v>87</v>
      </c>
      <c r="K7" s="6"/>
    </row>
    <row r="8" spans="1:11" ht="15.75" thickBot="1" x14ac:dyDescent="0.3">
      <c r="A8" s="56" t="s">
        <v>75</v>
      </c>
      <c r="B8" s="12">
        <v>7</v>
      </c>
      <c r="C8" s="31" t="str">
        <f>HYPERLINK("\\Elam-pliki\firmowe\BUDIMEX\Projekty\DANWOOD 2017\DE\01 Styczeń\07 Hennig Norman 9356","Hennig Norman")</f>
        <v>Hennig Norman</v>
      </c>
      <c r="D8" s="12">
        <v>9356</v>
      </c>
      <c r="E8" s="17"/>
      <c r="F8" s="17" t="s">
        <v>1</v>
      </c>
      <c r="G8" s="7" t="s">
        <v>9</v>
      </c>
      <c r="H8" s="6"/>
      <c r="I8" s="14" t="s">
        <v>37</v>
      </c>
      <c r="J8" t="s">
        <v>87</v>
      </c>
      <c r="K8" s="6"/>
    </row>
    <row r="9" spans="1:11" ht="15.75" thickBot="1" x14ac:dyDescent="0.3">
      <c r="A9" s="56" t="s">
        <v>75</v>
      </c>
      <c r="B9" s="12">
        <v>8</v>
      </c>
      <c r="C9" s="31" t="str">
        <f>HYPERLINK("\\Elam-pliki\firmowe\BUDIMEX\Projekty\DANWOOD 2017\DE\01 Styczeń\08 Shaw 9164","Shaw")</f>
        <v>Shaw</v>
      </c>
      <c r="D9" s="12">
        <v>9164</v>
      </c>
      <c r="E9" s="23" t="s">
        <v>5</v>
      </c>
      <c r="F9" s="17" t="s">
        <v>1</v>
      </c>
      <c r="G9" s="11" t="s">
        <v>23</v>
      </c>
      <c r="H9" s="29" t="s">
        <v>0</v>
      </c>
      <c r="I9" s="30" t="s">
        <v>41</v>
      </c>
      <c r="J9" t="s">
        <v>87</v>
      </c>
      <c r="K9" s="25" t="s">
        <v>6</v>
      </c>
    </row>
    <row r="10" spans="1:11" ht="15.75" thickBot="1" x14ac:dyDescent="0.3">
      <c r="A10" s="56" t="s">
        <v>75</v>
      </c>
      <c r="B10" s="12">
        <v>9</v>
      </c>
      <c r="C10" s="31" t="str">
        <f>HYPERLINK("\\Elam-pliki\firmowe\BUDIMEX\PROJEKTY\DANWOOD 2017\DE\01 Styczeń\09 Eichel Rabich 9847","Eichel Rabich")</f>
        <v>Eichel Rabich</v>
      </c>
      <c r="D10" s="12">
        <v>9847</v>
      </c>
      <c r="E10" s="17"/>
      <c r="F10" s="17" t="s">
        <v>1</v>
      </c>
      <c r="G10" s="7" t="s">
        <v>12</v>
      </c>
      <c r="H10" s="6"/>
      <c r="I10" s="14" t="s">
        <v>39</v>
      </c>
      <c r="J10" t="s">
        <v>87</v>
      </c>
      <c r="K10" s="6"/>
    </row>
    <row r="11" spans="1:11" ht="15.75" thickBot="1" x14ac:dyDescent="0.3">
      <c r="A11" s="56" t="s">
        <v>75</v>
      </c>
      <c r="B11" s="12">
        <v>10</v>
      </c>
      <c r="C11" s="31" t="str">
        <f>HYPERLINK("\\Elam-pliki\firmowe\BUDIMEX\PROJEKTY\DANWOOD 2017\DE\01 Styczeń\10 Friedrich Daniel 8730","Friedrich Daniel")</f>
        <v>Friedrich Daniel</v>
      </c>
      <c r="D11" s="12">
        <v>8730</v>
      </c>
      <c r="E11" s="17"/>
      <c r="F11" s="17" t="s">
        <v>1</v>
      </c>
      <c r="G11" s="7" t="s">
        <v>27</v>
      </c>
      <c r="H11" s="6"/>
      <c r="I11" s="14" t="s">
        <v>37</v>
      </c>
      <c r="J11" t="s">
        <v>87</v>
      </c>
      <c r="K11" s="6"/>
    </row>
    <row r="12" spans="1:11" ht="15.75" thickBot="1" x14ac:dyDescent="0.3">
      <c r="A12" s="56" t="s">
        <v>75</v>
      </c>
      <c r="B12" s="12">
        <v>11</v>
      </c>
      <c r="C12" s="31" t="str">
        <f>HYPERLINK("\\Elam-pliki\firmowe\BUDIMEX\PROJEKTY\DANWOOD 2017\DE\01 Styczeń\11 Rott Michael 9965","Rott Michael")</f>
        <v>Rott Michael</v>
      </c>
      <c r="D12" s="12">
        <v>9965</v>
      </c>
      <c r="E12" s="17"/>
      <c r="F12" s="17" t="s">
        <v>1</v>
      </c>
      <c r="G12" s="7" t="s">
        <v>11</v>
      </c>
      <c r="H12" s="6"/>
      <c r="I12" s="14" t="s">
        <v>37</v>
      </c>
      <c r="J12" t="s">
        <v>87</v>
      </c>
      <c r="K12" s="6"/>
    </row>
    <row r="13" spans="1:11" ht="15.75" thickBot="1" x14ac:dyDescent="0.3">
      <c r="A13" s="56" t="s">
        <v>75</v>
      </c>
      <c r="B13" s="12">
        <v>12</v>
      </c>
      <c r="C13" s="31" t="str">
        <f>HYPERLINK("\\Elam-pliki\firmowe\BUDIMEX\PROJEKTY\DANWOOD 2017\DE\01 Styczeń\12 Albert 8577","Albert")</f>
        <v>Albert</v>
      </c>
      <c r="D13" s="12">
        <v>8577</v>
      </c>
      <c r="E13" s="17"/>
      <c r="F13" s="17" t="s">
        <v>1</v>
      </c>
      <c r="G13" s="7" t="s">
        <v>13</v>
      </c>
      <c r="H13" s="6"/>
      <c r="I13" s="14" t="s">
        <v>42</v>
      </c>
      <c r="J13" t="s">
        <v>87</v>
      </c>
      <c r="K13" s="6"/>
    </row>
    <row r="14" spans="1:11" ht="15.75" thickBot="1" x14ac:dyDescent="0.3">
      <c r="A14" s="56" t="s">
        <v>75</v>
      </c>
      <c r="B14" s="12">
        <v>13</v>
      </c>
      <c r="C14" s="31" t="str">
        <f>HYPERLINK("\\Elam-pliki\firmowe\BUDIMEX\PROJEKTY\DANWOOD 2017\DE\01 Styczeń\13 Ilg 9445","Ilg")</f>
        <v>Ilg</v>
      </c>
      <c r="D14" s="12">
        <v>9445</v>
      </c>
      <c r="E14" s="17"/>
      <c r="F14" s="17" t="s">
        <v>1</v>
      </c>
      <c r="G14" s="7" t="s">
        <v>27</v>
      </c>
      <c r="H14" s="6"/>
      <c r="I14" s="14" t="s">
        <v>42</v>
      </c>
      <c r="J14" t="s">
        <v>87</v>
      </c>
      <c r="K14" s="6"/>
    </row>
    <row r="15" spans="1:11" ht="15.75" thickBot="1" x14ac:dyDescent="0.3">
      <c r="A15" s="56" t="s">
        <v>75</v>
      </c>
      <c r="B15" s="12">
        <v>14</v>
      </c>
      <c r="C15" s="31" t="str">
        <f>HYPERLINK("\\Elam-pliki\firmowe\BUDIMEX\Projekty\DANWOOD 2017\DE\01 Styczeń\14 Platt Michael 9924","Platt Michael")</f>
        <v>Platt Michael</v>
      </c>
      <c r="D15" s="12">
        <v>9924</v>
      </c>
      <c r="E15" s="17"/>
      <c r="F15" s="17" t="s">
        <v>1</v>
      </c>
      <c r="G15" s="7" t="s">
        <v>13</v>
      </c>
      <c r="H15" s="6"/>
      <c r="I15" s="14" t="s">
        <v>39</v>
      </c>
      <c r="J15" t="s">
        <v>87</v>
      </c>
      <c r="K15" s="6"/>
    </row>
    <row r="16" spans="1:11" ht="15.75" thickBot="1" x14ac:dyDescent="0.3">
      <c r="A16" s="56" t="s">
        <v>75</v>
      </c>
      <c r="B16" s="26">
        <v>15</v>
      </c>
      <c r="C16" s="35" t="str">
        <f>HYPERLINK("\\Elam-pliki\firmowe\BUDIMEX\Projekty\DANWOOD 2017\DE\01 Styczeń\15 Ilg 9443","Ilg")</f>
        <v>Ilg</v>
      </c>
      <c r="D16" s="26">
        <v>9443</v>
      </c>
      <c r="E16" s="28"/>
      <c r="F16" s="28" t="s">
        <v>4</v>
      </c>
      <c r="G16" s="7" t="s">
        <v>27</v>
      </c>
      <c r="H16" s="6"/>
      <c r="I16" s="14" t="s">
        <v>39</v>
      </c>
      <c r="J16" t="s">
        <v>87</v>
      </c>
      <c r="K16" s="6"/>
    </row>
    <row r="17" spans="1:11" ht="15.75" thickBot="1" x14ac:dyDescent="0.3">
      <c r="A17" s="56" t="s">
        <v>75</v>
      </c>
      <c r="B17" s="12">
        <v>16</v>
      </c>
      <c r="C17" s="31" t="str">
        <f>HYPERLINK("\\Elam-pliki\firmowe\BUDIMEX\Projekty\DANWOOD 2017\DE\01 Styczeń\16 Mühling Alexander 1 10216","Mühling Alexander 1")</f>
        <v>Mühling Alexander 1</v>
      </c>
      <c r="D17" s="12">
        <v>10216</v>
      </c>
      <c r="E17" s="17" t="s">
        <v>44</v>
      </c>
      <c r="F17" s="17" t="s">
        <v>1</v>
      </c>
      <c r="G17" s="7" t="s">
        <v>13</v>
      </c>
      <c r="H17" s="6"/>
      <c r="I17" s="14" t="s">
        <v>37</v>
      </c>
      <c r="J17" t="s">
        <v>89</v>
      </c>
      <c r="K17" s="6"/>
    </row>
    <row r="18" spans="1:11" ht="15.75" thickBot="1" x14ac:dyDescent="0.3">
      <c r="A18" s="56" t="s">
        <v>75</v>
      </c>
      <c r="B18" s="12">
        <v>17</v>
      </c>
      <c r="C18" s="31" t="str">
        <f>HYPERLINK("\\Elam-pliki\firmowe\BUDIMEX\Projekty\DANWOOD 2017\DE\01 Styczeń\17 Ilg 9444","Ilg")</f>
        <v>Ilg</v>
      </c>
      <c r="D18" s="12">
        <v>9444</v>
      </c>
      <c r="E18" s="17"/>
      <c r="F18" s="17" t="s">
        <v>1</v>
      </c>
      <c r="G18" s="7" t="s">
        <v>27</v>
      </c>
      <c r="H18" s="6"/>
      <c r="I18" s="14" t="s">
        <v>39</v>
      </c>
      <c r="J18" t="s">
        <v>87</v>
      </c>
      <c r="K18" s="6"/>
    </row>
    <row r="19" spans="1:11" ht="15.75" thickBot="1" x14ac:dyDescent="0.3">
      <c r="A19" s="56" t="s">
        <v>75</v>
      </c>
      <c r="B19" s="12">
        <v>18</v>
      </c>
      <c r="C19" s="31" t="str">
        <f>HYPERLINK("\\Elam-pliki\firmowe\BUDIMEX\Projekty\DANWOOD 2017\DE\01 Styczeń\18 Schütze Manuel 9799","Schütze Manuel")</f>
        <v>Schütze Manuel</v>
      </c>
      <c r="D19" s="12">
        <v>9799</v>
      </c>
      <c r="E19" s="17"/>
      <c r="F19" s="17" t="s">
        <v>1</v>
      </c>
      <c r="G19" s="7" t="s">
        <v>11</v>
      </c>
      <c r="H19" s="6"/>
      <c r="I19" s="14" t="s">
        <v>42</v>
      </c>
      <c r="J19" t="s">
        <v>87</v>
      </c>
      <c r="K19" s="6"/>
    </row>
    <row r="20" spans="1:11" ht="15.75" thickBot="1" x14ac:dyDescent="0.3">
      <c r="A20" s="56" t="s">
        <v>75</v>
      </c>
      <c r="B20" s="12">
        <v>19</v>
      </c>
      <c r="C20" s="31" t="str">
        <f>HYPERLINK("\\Elam-pliki\firmowe\BUDIMEX\Projekty\DANWOOD 2017\DE\01 Styczeń\19 Gerlach 9566","Gerlach")</f>
        <v>Gerlach</v>
      </c>
      <c r="D20" s="12">
        <v>9566</v>
      </c>
      <c r="E20" s="17"/>
      <c r="F20" s="17" t="s">
        <v>1</v>
      </c>
      <c r="G20" s="7" t="s">
        <v>8</v>
      </c>
      <c r="H20" s="6"/>
      <c r="I20" s="14" t="s">
        <v>39</v>
      </c>
      <c r="J20" t="s">
        <v>87</v>
      </c>
      <c r="K20" s="6"/>
    </row>
    <row r="21" spans="1:11" ht="15.75" thickBot="1" x14ac:dyDescent="0.3">
      <c r="A21" s="56" t="s">
        <v>75</v>
      </c>
      <c r="B21" s="12">
        <v>20</v>
      </c>
      <c r="C21" s="31" t="str">
        <f>HYPERLINK("\\Elam-pliki\firmowe\BUDIMEX\Projekty\DANWOOD 2017\DE\01 Styczeń\20 Mühling Alexander 2 10217","Mühling Alexander 2")</f>
        <v>Mühling Alexander 2</v>
      </c>
      <c r="D21" s="12">
        <v>10217</v>
      </c>
      <c r="E21" s="17" t="s">
        <v>44</v>
      </c>
      <c r="F21" s="17" t="s">
        <v>1</v>
      </c>
      <c r="G21" s="7" t="s">
        <v>13</v>
      </c>
      <c r="H21" s="6"/>
      <c r="I21" s="14" t="s">
        <v>37</v>
      </c>
      <c r="J21" t="s">
        <v>87</v>
      </c>
      <c r="K21" s="6"/>
    </row>
    <row r="22" spans="1:11" ht="15.75" thickBot="1" x14ac:dyDescent="0.3">
      <c r="A22" s="56" t="s">
        <v>75</v>
      </c>
      <c r="B22" s="12">
        <v>21</v>
      </c>
      <c r="C22" s="31" t="str">
        <f>HYPERLINK("\\Elam-pliki\firmowe\BUDIMEX\Projekty\DANWOOD 2017\DE\01 Styczeń\21 Berger Kerstin 8433","Berger Kerstin")</f>
        <v>Berger Kerstin</v>
      </c>
      <c r="D22" s="12">
        <v>8433</v>
      </c>
      <c r="E22" s="17"/>
      <c r="F22" s="17" t="s">
        <v>1</v>
      </c>
      <c r="G22" s="7" t="s">
        <v>19</v>
      </c>
      <c r="H22" s="6"/>
      <c r="I22" s="14" t="s">
        <v>39</v>
      </c>
      <c r="J22" t="s">
        <v>90</v>
      </c>
      <c r="K22" s="6"/>
    </row>
    <row r="23" spans="1:11" ht="15.75" thickBot="1" x14ac:dyDescent="0.3">
      <c r="A23" s="56" t="s">
        <v>75</v>
      </c>
      <c r="B23" s="12">
        <v>22</v>
      </c>
      <c r="C23" s="31" t="str">
        <f>HYPERLINK("\\Elam-pliki\firmowe\BUDIMEX\Projekty\DANWOOD 2017\DE\01 Styczeń\22 Hartmann Simone 9833","Hartmann Simone")</f>
        <v>Hartmann Simone</v>
      </c>
      <c r="D23" s="12">
        <v>9833</v>
      </c>
      <c r="E23" s="17"/>
      <c r="F23" s="17" t="s">
        <v>1</v>
      </c>
      <c r="G23" s="7" t="s">
        <v>20</v>
      </c>
      <c r="H23" s="6"/>
      <c r="I23" s="14" t="s">
        <v>39</v>
      </c>
      <c r="J23" t="s">
        <v>87</v>
      </c>
      <c r="K23" s="6"/>
    </row>
    <row r="24" spans="1:11" ht="15.75" thickBot="1" x14ac:dyDescent="0.3">
      <c r="A24" s="56" t="s">
        <v>75</v>
      </c>
      <c r="B24" s="12">
        <v>23</v>
      </c>
      <c r="C24" s="31" t="str">
        <f>HYPERLINK("\\Elam-pliki\firmowe\BUDIMEX\Projekty\DANWOOD 2017\DE\01 Styczeń\23 Michels Torsten 9759","Michels Torsten")</f>
        <v>Michels Torsten</v>
      </c>
      <c r="D24" s="12">
        <v>9759</v>
      </c>
      <c r="E24" s="17"/>
      <c r="F24" s="17" t="s">
        <v>1</v>
      </c>
      <c r="G24" s="7" t="s">
        <v>40</v>
      </c>
      <c r="H24" s="6"/>
      <c r="I24" s="14" t="s">
        <v>42</v>
      </c>
      <c r="J24" t="s">
        <v>87</v>
      </c>
      <c r="K24" s="6"/>
    </row>
    <row r="25" spans="1:11" ht="15.75" thickBot="1" x14ac:dyDescent="0.3">
      <c r="A25" s="56" t="s">
        <v>75</v>
      </c>
      <c r="B25" s="12">
        <v>24</v>
      </c>
      <c r="C25" s="31" t="str">
        <f>HYPERLINK("\\Elam-pliki\firmowe\BUDIMEX\Projekty\DANWOOD 2017\DE\01 Styczeń\24 Fix 9975","Fix")</f>
        <v>Fix</v>
      </c>
      <c r="D25" s="12">
        <v>9975</v>
      </c>
      <c r="E25" s="13"/>
      <c r="F25" s="17" t="s">
        <v>1</v>
      </c>
      <c r="G25" s="7" t="s">
        <v>14</v>
      </c>
      <c r="H25" s="6"/>
      <c r="I25" s="14" t="s">
        <v>39</v>
      </c>
      <c r="J25" t="s">
        <v>87</v>
      </c>
      <c r="K25" s="6"/>
    </row>
    <row r="26" spans="1:11" ht="15.75" thickBot="1" x14ac:dyDescent="0.3">
      <c r="A26" s="56" t="s">
        <v>75</v>
      </c>
      <c r="B26" s="12">
        <v>25</v>
      </c>
      <c r="C26" s="31" t="str">
        <f>HYPERLINK("\\Elam-pliki\firmowe\BUDIMEX\Projekty\DANWOOD 2017\DE\01 Styczeń\25 Dür Hubmaier 10229","Dür Hubmaier")</f>
        <v>Dür Hubmaier</v>
      </c>
      <c r="D26" s="12">
        <v>10229</v>
      </c>
      <c r="E26" s="23" t="s">
        <v>5</v>
      </c>
      <c r="F26" s="17" t="s">
        <v>1</v>
      </c>
      <c r="G26" s="7" t="s">
        <v>21</v>
      </c>
      <c r="H26" s="6" t="s">
        <v>0</v>
      </c>
      <c r="I26" s="14" t="s">
        <v>37</v>
      </c>
      <c r="J26" t="s">
        <v>87</v>
      </c>
      <c r="K26" s="22" t="s">
        <v>3</v>
      </c>
    </row>
    <row r="27" spans="1:11" ht="15.75" thickBot="1" x14ac:dyDescent="0.3">
      <c r="A27" s="56" t="s">
        <v>75</v>
      </c>
      <c r="B27" s="12">
        <v>26</v>
      </c>
      <c r="C27" s="31" t="str">
        <f>HYPERLINK("\\Elam-pliki\firmowe\BUDIMEX\Projekty\DANWOOD 2017\DE\01 Styczeń\26 Schell 9462","Schell")</f>
        <v>Schell</v>
      </c>
      <c r="D27" s="12">
        <v>9462</v>
      </c>
      <c r="E27" s="17"/>
      <c r="F27" s="17" t="s">
        <v>1</v>
      </c>
      <c r="G27" s="7" t="s">
        <v>16</v>
      </c>
      <c r="H27" s="6"/>
      <c r="I27" s="14" t="s">
        <v>42</v>
      </c>
      <c r="J27" t="s">
        <v>87</v>
      </c>
      <c r="K27" s="6"/>
    </row>
    <row r="28" spans="1:11" ht="15.75" thickBot="1" x14ac:dyDescent="0.3">
      <c r="A28" s="56" t="s">
        <v>75</v>
      </c>
      <c r="B28" s="12">
        <v>27</v>
      </c>
      <c r="C28" s="31" t="str">
        <f>HYPERLINK("\\Elam-pliki\firmowe\BUDIMEX\Projekty\DANWOOD 2017\DE\01 Styczeń\27 Limmer 9560","Limmer")</f>
        <v>Limmer</v>
      </c>
      <c r="D28" s="12">
        <v>9560</v>
      </c>
      <c r="E28" s="17"/>
      <c r="F28" s="17" t="s">
        <v>1</v>
      </c>
      <c r="G28" s="7" t="s">
        <v>19</v>
      </c>
      <c r="H28" s="6"/>
      <c r="I28" s="14" t="s">
        <v>39</v>
      </c>
      <c r="J28" t="s">
        <v>87</v>
      </c>
      <c r="K28" s="6"/>
    </row>
    <row r="29" spans="1:11" ht="15.75" thickBot="1" x14ac:dyDescent="0.3">
      <c r="A29" s="56" t="s">
        <v>75</v>
      </c>
      <c r="B29" s="12">
        <v>28</v>
      </c>
      <c r="C29" s="31" t="str">
        <f>HYPERLINK("\\Elam-pliki\firmowe\BUDIMEX\Projekty\DANWOOD 2017\DE\01 Styczeń\28 Werner Daniel 10000","Werner Daniel")</f>
        <v>Werner Daniel</v>
      </c>
      <c r="D29" s="12">
        <v>10000</v>
      </c>
      <c r="E29" s="17"/>
      <c r="F29" s="17" t="s">
        <v>1</v>
      </c>
      <c r="G29" s="7" t="s">
        <v>13</v>
      </c>
      <c r="H29" s="6"/>
      <c r="I29" s="14" t="s">
        <v>37</v>
      </c>
      <c r="J29" t="s">
        <v>87</v>
      </c>
      <c r="K29" s="6"/>
    </row>
    <row r="30" spans="1:11" ht="15.75" thickBot="1" x14ac:dyDescent="0.3">
      <c r="A30" s="56" t="s">
        <v>75</v>
      </c>
      <c r="B30" s="19">
        <v>29</v>
      </c>
      <c r="C30" s="32" t="str">
        <f>HYPERLINK("\\Elam-pliki\firmowe\BUDIMEX\PROJEKTY\DANWOOD 2017\DE\01 Styczeń\29 Rongitsch-Ahamed 10034","Rongitsch-Ahamed")</f>
        <v>Rongitsch-Ahamed</v>
      </c>
      <c r="D30" s="19">
        <v>10034</v>
      </c>
      <c r="E30" s="33" t="s">
        <v>5</v>
      </c>
      <c r="F30" s="20" t="s">
        <v>1</v>
      </c>
      <c r="G30" s="9" t="s">
        <v>21</v>
      </c>
      <c r="H30" s="8"/>
      <c r="I30" s="16" t="s">
        <v>42</v>
      </c>
      <c r="J30" s="3" t="s">
        <v>87</v>
      </c>
      <c r="K30" s="21" t="s">
        <v>3</v>
      </c>
    </row>
    <row r="31" spans="1:11" ht="15.75" thickBot="1" x14ac:dyDescent="0.3">
      <c r="A31" s="57" t="s">
        <v>76</v>
      </c>
      <c r="B31" s="12">
        <v>1</v>
      </c>
      <c r="C31" s="31" t="str">
        <f>HYPERLINK("\\Elam-pliki\firmowe\BUDIMEX\PROJEKTY\DANWOOD 2017\DE\02 Luty\01 Engert Michael 9719","Engert Michael")</f>
        <v>Engert Michael</v>
      </c>
      <c r="D31" s="12">
        <v>9719</v>
      </c>
      <c r="E31" s="17"/>
      <c r="F31" s="17" t="s">
        <v>1</v>
      </c>
      <c r="G31" s="7" t="s">
        <v>13</v>
      </c>
      <c r="H31" s="6"/>
      <c r="I31" s="14" t="s">
        <v>37</v>
      </c>
      <c r="J31" t="s">
        <v>87</v>
      </c>
      <c r="K31" s="6"/>
    </row>
    <row r="32" spans="1:11" ht="15.75" thickBot="1" x14ac:dyDescent="0.3">
      <c r="A32" s="57" t="s">
        <v>76</v>
      </c>
      <c r="B32" s="12">
        <v>2</v>
      </c>
      <c r="C32" s="31" t="str">
        <f>HYPERLINK("\\Elam-pliki\firmowe\BUDIMEX\PROJEKTY\DANWOOD 2017\DE\02 Luty\02 Melzow 9787","Melzow")</f>
        <v>Melzow</v>
      </c>
      <c r="D32" s="12">
        <v>9787</v>
      </c>
      <c r="E32" s="17"/>
      <c r="F32" s="17" t="s">
        <v>1</v>
      </c>
      <c r="G32" s="7" t="s">
        <v>13</v>
      </c>
      <c r="H32" s="6"/>
      <c r="I32" s="14" t="s">
        <v>39</v>
      </c>
      <c r="J32" t="s">
        <v>87</v>
      </c>
      <c r="K32" s="6"/>
    </row>
    <row r="33" spans="1:11" ht="15.75" thickBot="1" x14ac:dyDescent="0.3">
      <c r="A33" s="57" t="s">
        <v>76</v>
      </c>
      <c r="B33" s="12">
        <v>3</v>
      </c>
      <c r="C33" s="31" t="str">
        <f>HYPERLINK("\\Elam-pliki\firmowe\BUDIMEX\PROJEKTY\DANWOOD 2017\DE\02 Luty\03 Meier Stefan 9818","Meier Stefan")</f>
        <v>Meier Stefan</v>
      </c>
      <c r="D33" s="12">
        <v>9818</v>
      </c>
      <c r="E33" s="17"/>
      <c r="F33" s="17" t="s">
        <v>1</v>
      </c>
      <c r="G33" s="7" t="s">
        <v>31</v>
      </c>
      <c r="H33" s="6"/>
      <c r="I33" s="14" t="s">
        <v>42</v>
      </c>
      <c r="J33" t="s">
        <v>87</v>
      </c>
      <c r="K33" s="6"/>
    </row>
    <row r="34" spans="1:11" ht="15.75" thickBot="1" x14ac:dyDescent="0.3">
      <c r="A34" s="57" t="s">
        <v>76</v>
      </c>
      <c r="B34" s="12">
        <v>4</v>
      </c>
      <c r="C34" s="31" t="str">
        <f>HYPERLINK("\\Elam-pliki\firmowe\BUDIMEX\PROJEKTY\DANWOOD 2017\DE\02 Luty\04 Herrmann  9613","Herrmann")</f>
        <v>Herrmann</v>
      </c>
      <c r="D34" s="12">
        <v>9613</v>
      </c>
      <c r="E34" s="17"/>
      <c r="F34" s="17" t="s">
        <v>1</v>
      </c>
      <c r="G34" s="7" t="s">
        <v>27</v>
      </c>
      <c r="H34" s="6"/>
      <c r="I34" s="14" t="s">
        <v>37</v>
      </c>
      <c r="J34" t="s">
        <v>87</v>
      </c>
      <c r="K34" s="6"/>
    </row>
    <row r="35" spans="1:11" ht="15.75" thickBot="1" x14ac:dyDescent="0.3">
      <c r="A35" s="57" t="s">
        <v>76</v>
      </c>
      <c r="B35" s="12">
        <v>5</v>
      </c>
      <c r="C35" s="31" t="str">
        <f>HYPERLINK("\\Elam-pliki\firmowe\BUDIMEX\PROJEKTY\DANWOOD 2017\DE\02 Luty\05 Eichler Jens 9645","Eichler Jens")</f>
        <v>Eichler Jens</v>
      </c>
      <c r="D35" s="12">
        <v>9645</v>
      </c>
      <c r="E35" s="17"/>
      <c r="F35" s="17" t="s">
        <v>1</v>
      </c>
      <c r="G35" s="7" t="s">
        <v>9</v>
      </c>
      <c r="H35" s="6"/>
      <c r="I35" s="14" t="s">
        <v>37</v>
      </c>
      <c r="J35" t="s">
        <v>87</v>
      </c>
      <c r="K35" s="6"/>
    </row>
    <row r="36" spans="1:11" ht="15.75" thickBot="1" x14ac:dyDescent="0.3">
      <c r="A36" s="57" t="s">
        <v>76</v>
      </c>
      <c r="B36" s="12">
        <v>6</v>
      </c>
      <c r="C36" s="31" t="str">
        <f>HYPERLINK("\\Elam-pliki\firmowe\BUDIMEX\PROJEKTY\DANWOOD 2017\DE\02 Luty\06 Leimig 10213","Leimig")</f>
        <v>Leimig</v>
      </c>
      <c r="D36" s="12">
        <v>10213</v>
      </c>
      <c r="E36" s="17"/>
      <c r="F36" s="17" t="s">
        <v>1</v>
      </c>
      <c r="G36" s="7" t="s">
        <v>31</v>
      </c>
      <c r="H36" s="6"/>
      <c r="I36" s="14" t="s">
        <v>37</v>
      </c>
      <c r="J36" t="s">
        <v>91</v>
      </c>
      <c r="K36" s="6"/>
    </row>
    <row r="37" spans="1:11" ht="15.75" thickBot="1" x14ac:dyDescent="0.3">
      <c r="A37" s="57" t="s">
        <v>76</v>
      </c>
      <c r="B37" s="26">
        <v>7</v>
      </c>
      <c r="C37" s="35" t="str">
        <f>HYPERLINK("\\Elam-pliki\firmowe\BUDIMEX\PROJEKTY\DANWOOD 2017\DE\02 Luty\07 Magnano 9871","Magnano")</f>
        <v>Magnano</v>
      </c>
      <c r="D37" s="26">
        <v>9871</v>
      </c>
      <c r="E37" s="28"/>
      <c r="F37" s="28" t="s">
        <v>4</v>
      </c>
      <c r="G37" s="7" t="s">
        <v>33</v>
      </c>
      <c r="H37" s="6"/>
      <c r="I37" s="14" t="s">
        <v>37</v>
      </c>
      <c r="J37" t="s">
        <v>92</v>
      </c>
      <c r="K37" s="6"/>
    </row>
    <row r="38" spans="1:11" ht="15.75" thickBot="1" x14ac:dyDescent="0.3">
      <c r="A38" s="57" t="s">
        <v>76</v>
      </c>
      <c r="B38" s="12">
        <v>8</v>
      </c>
      <c r="C38" s="31" t="str">
        <f>HYPERLINK("\\Elam-pliki\firmowe\BUDIMEX\PROJEKTY\DANWOOD 2017\DE\02 Luty\08 Muglich 9792","Muglich")</f>
        <v>Muglich</v>
      </c>
      <c r="D38" s="12">
        <v>9792</v>
      </c>
      <c r="E38" s="17"/>
      <c r="F38" s="17" t="s">
        <v>1</v>
      </c>
      <c r="G38" s="7" t="s">
        <v>8</v>
      </c>
      <c r="H38" s="6"/>
      <c r="I38" s="14" t="s">
        <v>39</v>
      </c>
      <c r="J38" t="s">
        <v>93</v>
      </c>
      <c r="K38" s="6"/>
    </row>
    <row r="39" spans="1:11" ht="15.75" thickBot="1" x14ac:dyDescent="0.3">
      <c r="A39" s="57" t="s">
        <v>76</v>
      </c>
      <c r="B39" s="12">
        <v>9</v>
      </c>
      <c r="C39" s="31" t="str">
        <f>HYPERLINK("\\Elam-pliki\firmowe\BUDIMEX\PROJEKTY\DANWOOD 2017\DE\02 Luty\09 Lezius 9502","Lezius")</f>
        <v>Lezius</v>
      </c>
      <c r="D39" s="12">
        <v>9502</v>
      </c>
      <c r="E39" s="17"/>
      <c r="F39" s="17" t="s">
        <v>1</v>
      </c>
      <c r="G39" s="7" t="s">
        <v>16</v>
      </c>
      <c r="H39" s="6"/>
      <c r="I39" s="14" t="s">
        <v>39</v>
      </c>
      <c r="J39" t="s">
        <v>87</v>
      </c>
      <c r="K39" s="6"/>
    </row>
    <row r="40" spans="1:11" ht="15.75" thickBot="1" x14ac:dyDescent="0.3">
      <c r="A40" s="57" t="s">
        <v>76</v>
      </c>
      <c r="B40" s="12">
        <v>10</v>
      </c>
      <c r="C40" s="31" t="str">
        <f>HYPERLINK("\\Elam-pliki\firmowe\BUDIMEX\Projekty\DANWOOD 2017\DE\02 Luty\10 Walter 8989","Walter")</f>
        <v>Walter</v>
      </c>
      <c r="D40" s="12">
        <v>8989</v>
      </c>
      <c r="E40" s="17"/>
      <c r="F40" s="17" t="s">
        <v>1</v>
      </c>
      <c r="G40" s="7" t="s">
        <v>27</v>
      </c>
      <c r="H40" s="6"/>
      <c r="I40" s="14" t="s">
        <v>42</v>
      </c>
      <c r="J40" t="s">
        <v>87</v>
      </c>
      <c r="K40" s="6"/>
    </row>
    <row r="41" spans="1:11" ht="15.75" thickBot="1" x14ac:dyDescent="0.3">
      <c r="A41" s="57" t="s">
        <v>76</v>
      </c>
      <c r="B41" s="12">
        <v>11</v>
      </c>
      <c r="C41" s="31" t="str">
        <f>HYPERLINK("\\Elam-pliki\firmowe\BUDIMEX\Projekty\DANWOOD 2017\DE\02 Luty\11 Rost 8853","Rost")</f>
        <v>Rost</v>
      </c>
      <c r="D41" s="12">
        <v>8853</v>
      </c>
      <c r="E41" s="17"/>
      <c r="F41" s="17" t="s">
        <v>1</v>
      </c>
      <c r="G41" s="7" t="s">
        <v>11</v>
      </c>
      <c r="H41" s="6"/>
      <c r="I41" s="14" t="s">
        <v>37</v>
      </c>
      <c r="J41" t="s">
        <v>87</v>
      </c>
      <c r="K41" s="6"/>
    </row>
    <row r="42" spans="1:11" ht="15.75" thickBot="1" x14ac:dyDescent="0.3">
      <c r="A42" s="57" t="s">
        <v>76</v>
      </c>
      <c r="B42" s="12">
        <v>12</v>
      </c>
      <c r="C42" s="31" t="str">
        <f>HYPERLINK("\\Elam-pliki\firmowe\BUDIMEX\Projekty\DANWOOD 2017\DE\02 Luty\12 Bär 10058","Bär")</f>
        <v>Bär</v>
      </c>
      <c r="D42" s="12">
        <v>10058</v>
      </c>
      <c r="E42" s="17"/>
      <c r="F42" s="17" t="s">
        <v>1</v>
      </c>
      <c r="G42" s="7" t="s">
        <v>8</v>
      </c>
      <c r="H42" s="6"/>
      <c r="I42" s="14" t="s">
        <v>42</v>
      </c>
      <c r="J42" t="s">
        <v>94</v>
      </c>
      <c r="K42" s="6"/>
    </row>
    <row r="43" spans="1:11" ht="15.75" thickBot="1" x14ac:dyDescent="0.3">
      <c r="A43" s="57" t="s">
        <v>76</v>
      </c>
      <c r="B43" s="12">
        <v>13</v>
      </c>
      <c r="C43" s="31" t="str">
        <f>HYPERLINK("\\Elam-pliki\firmowe\BUDIMEX\Projekty\DANWOOD 2017\DE\02 Luty\13 Frank Witzmann 8826","Frank Witzmann")</f>
        <v>Frank Witzmann</v>
      </c>
      <c r="D43" s="12">
        <v>8826</v>
      </c>
      <c r="E43" s="17"/>
      <c r="F43" s="17" t="s">
        <v>1</v>
      </c>
      <c r="G43" s="7" t="s">
        <v>13</v>
      </c>
      <c r="H43" s="6"/>
      <c r="I43" s="14" t="s">
        <v>37</v>
      </c>
      <c r="J43" t="s">
        <v>87</v>
      </c>
      <c r="K43" s="6"/>
    </row>
    <row r="44" spans="1:11" ht="15.75" thickBot="1" x14ac:dyDescent="0.3">
      <c r="A44" s="57" t="s">
        <v>76</v>
      </c>
      <c r="B44" s="12">
        <v>14</v>
      </c>
      <c r="C44" s="31" t="str">
        <f>HYPERLINK("\\Elam-pliki\firmowe\BUDIMEX\PROJEKTY\DANWOOD 2017\DE\02 Luty\14 Luthardt 8940","Luthardt")</f>
        <v>Luthardt</v>
      </c>
      <c r="D44" s="12">
        <v>8940</v>
      </c>
      <c r="E44" s="17"/>
      <c r="F44" s="17" t="s">
        <v>1</v>
      </c>
      <c r="G44" s="7" t="s">
        <v>13</v>
      </c>
      <c r="H44" s="6"/>
      <c r="I44" s="14" t="s">
        <v>42</v>
      </c>
      <c r="J44" t="s">
        <v>87</v>
      </c>
      <c r="K44" s="6"/>
    </row>
    <row r="45" spans="1:11" ht="15.75" thickBot="1" x14ac:dyDescent="0.3">
      <c r="A45" s="57" t="s">
        <v>76</v>
      </c>
      <c r="B45" s="12">
        <v>15</v>
      </c>
      <c r="C45" s="31" t="str">
        <f>HYPERLINK("\\Elam-pliki\firmowe\BUDIMEX\PROJEKTY\DANWOOD 2017\DE\02 Luty\15 Knittl Frank  10362","Knittl Frank")</f>
        <v>Knittl Frank</v>
      </c>
      <c r="D45" s="12">
        <v>10362</v>
      </c>
      <c r="E45" s="23" t="s">
        <v>5</v>
      </c>
      <c r="F45" s="17" t="s">
        <v>1</v>
      </c>
      <c r="G45" s="7" t="s">
        <v>21</v>
      </c>
      <c r="H45" s="6" t="s">
        <v>0</v>
      </c>
      <c r="I45" s="14" t="s">
        <v>39</v>
      </c>
      <c r="J45" t="s">
        <v>87</v>
      </c>
      <c r="K45" s="25" t="s">
        <v>3</v>
      </c>
    </row>
    <row r="46" spans="1:11" ht="15.75" thickBot="1" x14ac:dyDescent="0.3">
      <c r="A46" s="57" t="s">
        <v>76</v>
      </c>
      <c r="B46" s="12">
        <v>16</v>
      </c>
      <c r="C46" s="31" t="str">
        <f>HYPERLINK("\\Elam-pliki\firmowe\BUDIMEX\Projekty\DANWOOD 2017\DE\02 Luty\16 Hirsch Willi 9576","Hirsch Willi")</f>
        <v>Hirsch Willi</v>
      </c>
      <c r="D46" s="12">
        <v>9576</v>
      </c>
      <c r="E46" s="17"/>
      <c r="F46" s="17" t="s">
        <v>1</v>
      </c>
      <c r="G46" s="7" t="s">
        <v>10</v>
      </c>
      <c r="H46" s="6"/>
      <c r="I46" s="14" t="s">
        <v>42</v>
      </c>
      <c r="J46" t="s">
        <v>87</v>
      </c>
      <c r="K46" s="6"/>
    </row>
    <row r="47" spans="1:11" ht="15.75" thickBot="1" x14ac:dyDescent="0.3">
      <c r="A47" s="57" t="s">
        <v>76</v>
      </c>
      <c r="B47" s="12">
        <v>17</v>
      </c>
      <c r="C47" s="31" t="str">
        <f>HYPERLINK("\\Elam-pliki\firmowe\BUDIMEX\Projekty\DANWOOD 2017\DE\02 Luty\17 Aslan Gökhan 9013","Aslan Gökhan")</f>
        <v>Aslan Gökhan</v>
      </c>
      <c r="D47" s="12">
        <v>9013</v>
      </c>
      <c r="E47" s="17"/>
      <c r="F47" s="17" t="s">
        <v>1</v>
      </c>
      <c r="G47" s="7" t="s">
        <v>22</v>
      </c>
      <c r="H47" s="6"/>
      <c r="I47" s="14" t="s">
        <v>39</v>
      </c>
      <c r="J47" t="s">
        <v>87</v>
      </c>
      <c r="K47" s="6"/>
    </row>
    <row r="48" spans="1:11" ht="15.75" thickBot="1" x14ac:dyDescent="0.3">
      <c r="A48" s="57" t="s">
        <v>76</v>
      </c>
      <c r="B48" s="12">
        <v>18</v>
      </c>
      <c r="C48" s="31" t="str">
        <f>HYPERLINK("\\Elam-pliki\firmowe\BUDIMEX\Projekty\DANWOOD 2017\DE\02 Luty\18 Prill 9865","Prill")</f>
        <v>Prill</v>
      </c>
      <c r="D48" s="12">
        <v>9865</v>
      </c>
      <c r="E48" s="17"/>
      <c r="F48" s="17" t="s">
        <v>1</v>
      </c>
      <c r="G48" s="7" t="s">
        <v>8</v>
      </c>
      <c r="H48" s="6"/>
      <c r="I48" s="14" t="s">
        <v>39</v>
      </c>
      <c r="J48" t="s">
        <v>87</v>
      </c>
      <c r="K48" s="6"/>
    </row>
    <row r="49" spans="1:11" ht="15.75" thickBot="1" x14ac:dyDescent="0.3">
      <c r="A49" s="57" t="s">
        <v>76</v>
      </c>
      <c r="B49" s="12">
        <v>19</v>
      </c>
      <c r="C49" s="31" t="str">
        <f>HYPERLINK("\\Elam-pliki\firmowe\BUDIMEX\Projekty\DANWOOD 2017\DE\02 Luty\19 Jaworski Haid 9341","Jaworski Haid")</f>
        <v>Jaworski Haid</v>
      </c>
      <c r="D49" s="12">
        <v>9341</v>
      </c>
      <c r="E49" s="17" t="s">
        <v>15</v>
      </c>
      <c r="F49" s="17" t="s">
        <v>1</v>
      </c>
      <c r="G49" s="7" t="s">
        <v>19</v>
      </c>
      <c r="H49" s="6"/>
      <c r="I49" s="14" t="s">
        <v>42</v>
      </c>
      <c r="J49" t="s">
        <v>95</v>
      </c>
      <c r="K49" s="6"/>
    </row>
    <row r="50" spans="1:11" ht="15.75" thickBot="1" x14ac:dyDescent="0.3">
      <c r="A50" s="57" t="s">
        <v>76</v>
      </c>
      <c r="B50" s="12">
        <v>20</v>
      </c>
      <c r="C50" s="31" t="str">
        <f>HYPERLINK("\\Elam-pliki\firmowe\BUDIMEX\Projekty\DANWOOD 2017\DE\02 Luty\20 Kosak 8809","Kosak")</f>
        <v>Kosak</v>
      </c>
      <c r="D50" s="12">
        <v>8809</v>
      </c>
      <c r="E50" s="17"/>
      <c r="F50" s="17" t="s">
        <v>1</v>
      </c>
      <c r="G50" s="7" t="s">
        <v>17</v>
      </c>
      <c r="H50" s="6"/>
      <c r="I50" s="14" t="s">
        <v>37</v>
      </c>
      <c r="J50" t="s">
        <v>87</v>
      </c>
      <c r="K50" s="6"/>
    </row>
    <row r="51" spans="1:11" ht="15.75" thickBot="1" x14ac:dyDescent="0.3">
      <c r="A51" s="57" t="s">
        <v>76</v>
      </c>
      <c r="B51" s="12">
        <v>21</v>
      </c>
      <c r="C51" s="31" t="str">
        <f>HYPERLINK("\\Elam-pliki\firmowe\BUDIMEX\Projekty\DANWOOD 2017\DE\02 Luty\21 Minderlein Thomas 10018","Minderlein Thomas")</f>
        <v>Minderlein Thomas</v>
      </c>
      <c r="D51" s="12">
        <v>10018</v>
      </c>
      <c r="E51" s="17"/>
      <c r="F51" s="17" t="s">
        <v>1</v>
      </c>
      <c r="G51" s="7" t="s">
        <v>13</v>
      </c>
      <c r="H51" s="6"/>
      <c r="I51" s="14" t="s">
        <v>42</v>
      </c>
      <c r="J51" t="s">
        <v>87</v>
      </c>
      <c r="K51" s="6"/>
    </row>
    <row r="52" spans="1:11" ht="15.75" thickBot="1" x14ac:dyDescent="0.3">
      <c r="A52" s="57" t="s">
        <v>76</v>
      </c>
      <c r="B52" s="12">
        <v>22</v>
      </c>
      <c r="C52" s="31" t="str">
        <f>HYPERLINK("\\Elam-pliki\firmowe\BUDIMEX\Projekty\DANWOOD 2017\DE\02 Luty\22 Wald 9461","Wald")</f>
        <v>Wald</v>
      </c>
      <c r="D52" s="12">
        <v>9461</v>
      </c>
      <c r="E52" s="17"/>
      <c r="F52" s="17" t="s">
        <v>1</v>
      </c>
      <c r="G52" s="7" t="s">
        <v>16</v>
      </c>
      <c r="H52" s="6"/>
      <c r="I52" s="14" t="s">
        <v>41</v>
      </c>
      <c r="J52" t="s">
        <v>96</v>
      </c>
      <c r="K52" s="6"/>
    </row>
    <row r="53" spans="1:11" ht="15.75" thickBot="1" x14ac:dyDescent="0.3">
      <c r="A53" s="57" t="s">
        <v>76</v>
      </c>
      <c r="B53" s="12">
        <v>23</v>
      </c>
      <c r="C53" s="31" t="str">
        <f>HYPERLINK("\\Elam-pliki\firmowe\BUDIMEX\Projekty\DANWOOD 2017\DE\02 Luty\23 Falk 10093","Falk")</f>
        <v>Falk</v>
      </c>
      <c r="D53" s="12">
        <v>10093</v>
      </c>
      <c r="E53" s="17"/>
      <c r="F53" s="17" t="s">
        <v>1</v>
      </c>
      <c r="G53" s="7" t="s">
        <v>11</v>
      </c>
      <c r="H53" s="6"/>
      <c r="I53" s="14" t="s">
        <v>42</v>
      </c>
      <c r="J53" t="s">
        <v>87</v>
      </c>
      <c r="K53" s="6"/>
    </row>
    <row r="54" spans="1:11" ht="15.75" thickBot="1" x14ac:dyDescent="0.3">
      <c r="A54" s="57" t="s">
        <v>76</v>
      </c>
      <c r="B54" s="12">
        <v>24</v>
      </c>
      <c r="C54" s="31" t="str">
        <f>HYPERLINK("\\Elam-pliki\firmowe\BUDIMEX\Projekty\DANWOOD 2017\DE\02 Luty\24 Zimmermann Günter 10071","Zimmermann Günter")</f>
        <v>Zimmermann Günter</v>
      </c>
      <c r="D54" s="12">
        <v>10071</v>
      </c>
      <c r="E54" s="17"/>
      <c r="F54" s="17" t="s">
        <v>1</v>
      </c>
      <c r="G54" s="7" t="s">
        <v>25</v>
      </c>
      <c r="H54" s="6"/>
      <c r="I54" s="14" t="s">
        <v>39</v>
      </c>
      <c r="J54" t="s">
        <v>87</v>
      </c>
      <c r="K54" s="6"/>
    </row>
    <row r="55" spans="1:11" ht="15.75" thickBot="1" x14ac:dyDescent="0.3">
      <c r="A55" s="57" t="s">
        <v>76</v>
      </c>
      <c r="B55" s="12">
        <v>25</v>
      </c>
      <c r="C55" s="31" t="str">
        <f>HYPERLINK("\\Elam-pliki\firmowe\BUDIMEX\Projekty\DANWOOD 2017\DE\02 Luty\25 Kowol 9677","Kowol")</f>
        <v>Kowol</v>
      </c>
      <c r="D55" s="12">
        <v>9677</v>
      </c>
      <c r="E55" s="17"/>
      <c r="F55" s="17" t="s">
        <v>1</v>
      </c>
      <c r="G55" s="7" t="s">
        <v>40</v>
      </c>
      <c r="H55" s="6"/>
      <c r="I55" s="14" t="s">
        <v>37</v>
      </c>
      <c r="J55" t="s">
        <v>87</v>
      </c>
      <c r="K55" s="6"/>
    </row>
    <row r="56" spans="1:11" ht="15.75" thickBot="1" x14ac:dyDescent="0.3">
      <c r="A56" s="57" t="s">
        <v>76</v>
      </c>
      <c r="B56" s="12">
        <v>26</v>
      </c>
      <c r="C56" s="31" t="str">
        <f>HYPERLINK("\\Elam-pliki\firmowe\BUDIMEX\Projekty\DANWOOD 2017\DE\02 Luty\26 Feldmann 8793","Feldmann")</f>
        <v>Feldmann</v>
      </c>
      <c r="D56" s="12">
        <v>8793</v>
      </c>
      <c r="E56" s="17"/>
      <c r="F56" s="17" t="s">
        <v>1</v>
      </c>
      <c r="G56" s="7" t="s">
        <v>8</v>
      </c>
      <c r="H56" s="6"/>
      <c r="I56" s="14" t="s">
        <v>37</v>
      </c>
      <c r="J56" t="s">
        <v>87</v>
      </c>
      <c r="K56" s="6"/>
    </row>
    <row r="57" spans="1:11" ht="15.75" thickBot="1" x14ac:dyDescent="0.3">
      <c r="A57" s="57" t="s">
        <v>76</v>
      </c>
      <c r="B57" s="12">
        <v>27</v>
      </c>
      <c r="C57" s="31" t="str">
        <f>HYPERLINK("\\Elam-pliki\firmowe\BUDIMEX\Projekty\DANWOOD 2017\DE\02 Luty\27 Popp Peter 9951","Popp Peter")</f>
        <v>Popp Peter</v>
      </c>
      <c r="D57" s="12">
        <v>9951</v>
      </c>
      <c r="E57" s="17" t="s">
        <v>43</v>
      </c>
      <c r="F57" s="17" t="s">
        <v>1</v>
      </c>
      <c r="G57" s="7" t="s">
        <v>31</v>
      </c>
      <c r="H57" s="6"/>
      <c r="I57" s="14" t="s">
        <v>39</v>
      </c>
      <c r="J57" t="s">
        <v>87</v>
      </c>
      <c r="K57" s="6"/>
    </row>
    <row r="58" spans="1:11" ht="15.75" thickBot="1" x14ac:dyDescent="0.3">
      <c r="A58" s="57" t="s">
        <v>76</v>
      </c>
      <c r="B58" s="12">
        <v>28</v>
      </c>
      <c r="C58" s="31" t="str">
        <f>HYPERLINK("\\Elam-pliki\firmowe\BUDIMEX\Projekty\DANWOOD 2017\DE\02 Luty\28 Maier Thomas 9961","Maier Thomas")</f>
        <v>Maier Thomas</v>
      </c>
      <c r="D58" s="12">
        <v>9961</v>
      </c>
      <c r="E58" s="17"/>
      <c r="F58" s="17" t="s">
        <v>1</v>
      </c>
      <c r="G58" s="7" t="s">
        <v>20</v>
      </c>
      <c r="H58" s="6"/>
      <c r="I58" s="14" t="s">
        <v>41</v>
      </c>
      <c r="J58" t="s">
        <v>87</v>
      </c>
      <c r="K58" s="6"/>
    </row>
    <row r="59" spans="1:11" ht="15.75" thickBot="1" x14ac:dyDescent="0.3">
      <c r="A59" s="57" t="s">
        <v>76</v>
      </c>
      <c r="B59" s="12">
        <v>29</v>
      </c>
      <c r="C59" s="31" t="str">
        <f>HYPERLINK("\\Elam-pliki\firmowe\BUDIMEX\Projekty\DANWOOD 2017\DE\02 Luty\29 Gasslaer 10110","Gasslaer")</f>
        <v>Gasslaer</v>
      </c>
      <c r="D59" s="12">
        <v>10110</v>
      </c>
      <c r="E59" s="36" t="s">
        <v>5</v>
      </c>
      <c r="F59" s="17" t="s">
        <v>1</v>
      </c>
      <c r="G59" s="7" t="s">
        <v>7</v>
      </c>
      <c r="H59" s="6" t="s">
        <v>0</v>
      </c>
      <c r="I59" s="14" t="s">
        <v>37</v>
      </c>
      <c r="J59" t="s">
        <v>87</v>
      </c>
      <c r="K59" s="37" t="s">
        <v>3</v>
      </c>
    </row>
    <row r="60" spans="1:11" ht="15.75" thickBot="1" x14ac:dyDescent="0.3">
      <c r="A60" s="57" t="s">
        <v>76</v>
      </c>
      <c r="B60" s="12">
        <v>30</v>
      </c>
      <c r="C60" s="31" t="str">
        <f>HYPERLINK("\\Elam-pliki\firmowe\BUDIMEX\Projekty\DANWOOD 2017\DE\02 Luty\30 Krasselt 8958","Krasselt")</f>
        <v>Krasselt</v>
      </c>
      <c r="D60" s="12">
        <v>8958</v>
      </c>
      <c r="E60" s="17"/>
      <c r="F60" s="17" t="s">
        <v>1</v>
      </c>
      <c r="G60" s="7" t="s">
        <v>12</v>
      </c>
      <c r="H60" s="6"/>
      <c r="I60" s="14" t="s">
        <v>39</v>
      </c>
      <c r="J60" t="s">
        <v>97</v>
      </c>
      <c r="K60" s="6"/>
    </row>
    <row r="61" spans="1:11" ht="15.75" thickBot="1" x14ac:dyDescent="0.3">
      <c r="A61" s="57" t="s">
        <v>76</v>
      </c>
      <c r="B61" s="12">
        <v>31</v>
      </c>
      <c r="C61" s="31" t="str">
        <f>HYPERLINK("\\Elam-pliki\firmowe\BUDIMEX\Projekty\DANWOOD 2017\DE\02 Luty\31 Seeberger 9695","Seeberger")</f>
        <v>Seeberger</v>
      </c>
      <c r="D61" s="12">
        <v>9695</v>
      </c>
      <c r="E61" s="17"/>
      <c r="F61" s="17" t="s">
        <v>1</v>
      </c>
      <c r="G61" s="7" t="s">
        <v>27</v>
      </c>
      <c r="H61" s="6"/>
      <c r="I61" s="14" t="s">
        <v>39</v>
      </c>
      <c r="J61" t="s">
        <v>87</v>
      </c>
      <c r="K61" s="6"/>
    </row>
    <row r="62" spans="1:11" ht="15.75" thickBot="1" x14ac:dyDescent="0.3">
      <c r="A62" s="57" t="s">
        <v>76</v>
      </c>
      <c r="B62" s="12">
        <v>32</v>
      </c>
      <c r="C62" s="31" t="str">
        <f>HYPERLINK("\\Elam-pliki\firmowe\BUDIMEX\Projekty\DANWOOD 2017\DE\02 Luty\32 Zenkel 9305","Zenkel")</f>
        <v>Zenkel</v>
      </c>
      <c r="D62" s="12">
        <v>9305</v>
      </c>
      <c r="E62" s="17"/>
      <c r="F62" s="17" t="s">
        <v>1</v>
      </c>
      <c r="G62" s="7" t="s">
        <v>8</v>
      </c>
      <c r="H62" s="6"/>
      <c r="I62" s="14" t="s">
        <v>41</v>
      </c>
      <c r="J62" t="s">
        <v>87</v>
      </c>
      <c r="K62" s="6"/>
    </row>
    <row r="63" spans="1:11" ht="15.75" thickBot="1" x14ac:dyDescent="0.3">
      <c r="A63" s="57" t="s">
        <v>76</v>
      </c>
      <c r="B63" s="12">
        <v>33</v>
      </c>
      <c r="C63" s="31" t="str">
        <f>HYPERLINK("\\Elam-pliki\firmowe\BUDIMEX\Projekty\DANWOOD 2017\DE\02 Luty\33 Haaß 9486","Haaß")</f>
        <v>Haaß</v>
      </c>
      <c r="D63" s="12">
        <v>9486</v>
      </c>
      <c r="E63" s="17"/>
      <c r="F63" s="17" t="s">
        <v>1</v>
      </c>
      <c r="G63" s="7" t="s">
        <v>40</v>
      </c>
      <c r="H63" s="6"/>
      <c r="I63" s="14" t="s">
        <v>39</v>
      </c>
      <c r="J63" s="60" t="s">
        <v>98</v>
      </c>
      <c r="K63" s="6"/>
    </row>
    <row r="64" spans="1:11" ht="15.75" thickBot="1" x14ac:dyDescent="0.3">
      <c r="A64" s="57" t="s">
        <v>76</v>
      </c>
      <c r="B64" s="12">
        <v>34</v>
      </c>
      <c r="C64" s="31" t="str">
        <f>HYPERLINK("\\Elam-pliki\firmowe\BUDIMEX\Projekty\DANWOOD 2017\DE\02 Luty\34 Barreto de Pinho 8502","Barreto de Pinho")</f>
        <v>Barreto de Pinho</v>
      </c>
      <c r="D64" s="12">
        <v>8502</v>
      </c>
      <c r="E64" s="17"/>
      <c r="F64" s="17" t="s">
        <v>1</v>
      </c>
      <c r="G64" s="7" t="s">
        <v>9</v>
      </c>
      <c r="H64" s="6"/>
      <c r="I64" s="14" t="s">
        <v>37</v>
      </c>
      <c r="J64" t="s">
        <v>87</v>
      </c>
      <c r="K64" s="6"/>
    </row>
    <row r="65" spans="1:11" ht="15.75" thickBot="1" x14ac:dyDescent="0.3">
      <c r="A65" s="57" t="s">
        <v>76</v>
      </c>
      <c r="B65" s="12">
        <v>35</v>
      </c>
      <c r="C65" s="31" t="str">
        <f>HYPERLINK("\\Elam-pliki\firmowe\BUDIMEX\Projekty\DANWOOD 2017\DE\02 Luty\35 Dommer 10027","Dommer")</f>
        <v>Dommer</v>
      </c>
      <c r="D65" s="12">
        <v>10027</v>
      </c>
      <c r="E65" s="17"/>
      <c r="F65" s="17" t="s">
        <v>1</v>
      </c>
      <c r="G65" s="7" t="s">
        <v>27</v>
      </c>
      <c r="H65" s="6"/>
      <c r="I65" s="14" t="s">
        <v>42</v>
      </c>
      <c r="J65" t="s">
        <v>87</v>
      </c>
      <c r="K65" s="6"/>
    </row>
    <row r="66" spans="1:11" ht="15.75" thickBot="1" x14ac:dyDescent="0.3">
      <c r="A66" s="57" t="s">
        <v>76</v>
      </c>
      <c r="B66" s="12">
        <v>36</v>
      </c>
      <c r="C66" s="31" t="str">
        <f>HYPERLINK("\\Elam-pliki\firmowe\BUDIMEX\Projekty\DANWOOD 2017\DE\02 Luty\36 Fehr 9912","Fehr")</f>
        <v>Fehr</v>
      </c>
      <c r="D66" s="12">
        <v>9912</v>
      </c>
      <c r="E66" s="17"/>
      <c r="F66" s="17" t="s">
        <v>1</v>
      </c>
      <c r="G66" s="7" t="s">
        <v>12</v>
      </c>
      <c r="H66" s="6"/>
      <c r="I66" s="14" t="s">
        <v>37</v>
      </c>
      <c r="J66" t="s">
        <v>87</v>
      </c>
      <c r="K66" s="6"/>
    </row>
    <row r="67" spans="1:11" ht="15.75" thickBot="1" x14ac:dyDescent="0.3">
      <c r="A67" s="57" t="s">
        <v>76</v>
      </c>
      <c r="B67" s="12">
        <v>37</v>
      </c>
      <c r="C67" s="31" t="str">
        <f>HYPERLINK("\\Elam-pliki\firmowe\BUDIMEX\PROJEKTY\DANWOOD 2017\DE\02 Luty\37 Schneemann 9498","Schneemann")</f>
        <v>Schneemann</v>
      </c>
      <c r="D67" s="12">
        <v>9498</v>
      </c>
      <c r="E67" s="17"/>
      <c r="F67" s="17" t="s">
        <v>1</v>
      </c>
      <c r="G67" s="7" t="s">
        <v>11</v>
      </c>
      <c r="H67" s="6"/>
      <c r="I67" s="14" t="s">
        <v>42</v>
      </c>
      <c r="J67" t="s">
        <v>87</v>
      </c>
      <c r="K67" s="6"/>
    </row>
    <row r="68" spans="1:11" ht="15.75" thickBot="1" x14ac:dyDescent="0.3">
      <c r="A68" s="57" t="s">
        <v>76</v>
      </c>
      <c r="B68" s="12">
        <v>38</v>
      </c>
      <c r="C68" s="31" t="str">
        <f>HYPERLINK("\\Elam-pliki\firmowe\BUDIMEX\Projekty\DANWOOD 2017\DE\02 Luty\38 Heaney 9766","Heaney")</f>
        <v>Heaney</v>
      </c>
      <c r="D68" s="12">
        <v>9766</v>
      </c>
      <c r="E68" s="23" t="s">
        <v>5</v>
      </c>
      <c r="F68" s="17" t="s">
        <v>1</v>
      </c>
      <c r="G68" s="7" t="s">
        <v>23</v>
      </c>
      <c r="H68" s="6" t="s">
        <v>0</v>
      </c>
      <c r="I68" s="14" t="s">
        <v>42</v>
      </c>
      <c r="J68" t="s">
        <v>87</v>
      </c>
      <c r="K68" s="25" t="s">
        <v>6</v>
      </c>
    </row>
    <row r="69" spans="1:11" ht="15.75" thickBot="1" x14ac:dyDescent="0.3">
      <c r="A69" s="57" t="s">
        <v>76</v>
      </c>
      <c r="B69" s="12">
        <v>39</v>
      </c>
      <c r="C69" s="31" t="str">
        <f>HYPERLINK("\\Elam-pliki\firmowe\BUDIMEX\Projekty\DANWOOD 2017\DE\02 Luty\39 Geitner 9622","Geitner")</f>
        <v>Geitner</v>
      </c>
      <c r="D69" s="12">
        <v>9622</v>
      </c>
      <c r="E69" s="17"/>
      <c r="F69" s="17" t="s">
        <v>1</v>
      </c>
      <c r="G69" s="7" t="s">
        <v>27</v>
      </c>
      <c r="H69" s="6"/>
      <c r="I69" s="14" t="s">
        <v>37</v>
      </c>
      <c r="J69" t="s">
        <v>87</v>
      </c>
      <c r="K69" s="6"/>
    </row>
    <row r="70" spans="1:11" ht="15.75" thickBot="1" x14ac:dyDescent="0.3">
      <c r="A70" s="57" t="s">
        <v>76</v>
      </c>
      <c r="B70" s="12">
        <v>40</v>
      </c>
      <c r="C70" s="31" t="str">
        <f>HYPERLINK("\\Elam-pliki\firmowe\BUDIMEX\Projekty\DANWOOD 2017\DE\02 Luty\40 Klenk Björn 9641","Klenk Björn")</f>
        <v>Klenk Björn</v>
      </c>
      <c r="D70" s="12">
        <v>9641</v>
      </c>
      <c r="E70" s="17"/>
      <c r="F70" s="17" t="s">
        <v>1</v>
      </c>
      <c r="G70" s="7" t="s">
        <v>31</v>
      </c>
      <c r="H70" s="6"/>
      <c r="I70" s="14" t="s">
        <v>39</v>
      </c>
      <c r="J70" t="s">
        <v>87</v>
      </c>
      <c r="K70" s="6"/>
    </row>
    <row r="71" spans="1:11" ht="15.75" thickBot="1" x14ac:dyDescent="0.3">
      <c r="A71" s="57" t="s">
        <v>76</v>
      </c>
      <c r="B71" s="19">
        <v>41</v>
      </c>
      <c r="C71" s="32" t="str">
        <f>HYPERLINK("\\Elam-pliki\firmowe\BUDIMEX\Projekty\DANWOOD 2017\DE\02 Luty\41 Fischer Christian 9464","Fischer Christian")</f>
        <v>Fischer Christian</v>
      </c>
      <c r="D71" s="19">
        <v>9464</v>
      </c>
      <c r="E71" s="20"/>
      <c r="F71" s="20" t="s">
        <v>1</v>
      </c>
      <c r="G71" s="9" t="s">
        <v>22</v>
      </c>
      <c r="H71" s="8"/>
      <c r="I71" s="16" t="s">
        <v>39</v>
      </c>
      <c r="J71" s="3" t="s">
        <v>87</v>
      </c>
      <c r="K71" s="8"/>
    </row>
    <row r="72" spans="1:11" ht="15" customHeight="1" thickBot="1" x14ac:dyDescent="0.3">
      <c r="A72" s="57" t="s">
        <v>77</v>
      </c>
      <c r="B72" s="12">
        <v>1</v>
      </c>
      <c r="C72" s="38" t="str">
        <f>HYPERLINK("\\Elam-pliki\firmowe\BUDIMEX\Projekty\DANWOOD 2017\DE\03 Marzec\01 Wilhelm 9328","Wilhelm")</f>
        <v>Wilhelm</v>
      </c>
      <c r="D72" s="12">
        <v>9328</v>
      </c>
      <c r="E72" s="17"/>
      <c r="F72" s="17" t="s">
        <v>1</v>
      </c>
      <c r="G72" s="7" t="s">
        <v>45</v>
      </c>
      <c r="H72" s="6"/>
      <c r="I72" s="14" t="s">
        <v>41</v>
      </c>
      <c r="J72" t="s">
        <v>99</v>
      </c>
      <c r="K72" s="6"/>
    </row>
    <row r="73" spans="1:11" ht="15.75" thickBot="1" x14ac:dyDescent="0.3">
      <c r="A73" s="57" t="s">
        <v>77</v>
      </c>
      <c r="B73" s="12">
        <v>2</v>
      </c>
      <c r="C73" s="31" t="str">
        <f>HYPERLINK("\\Elam-pliki\firmowe\BUDIMEX\Projekty\DANWOOD 2017\DE\03 Marzec\02 Gartenlehner Englschall 10247","Gartenlehner Englschall")</f>
        <v>Gartenlehner Englschall</v>
      </c>
      <c r="D73" s="12">
        <v>10247</v>
      </c>
      <c r="E73" s="17"/>
      <c r="F73" s="17" t="s">
        <v>1</v>
      </c>
      <c r="G73" s="7" t="s">
        <v>17</v>
      </c>
      <c r="H73" s="6"/>
      <c r="I73" s="14" t="s">
        <v>42</v>
      </c>
      <c r="J73" t="s">
        <v>87</v>
      </c>
      <c r="K73" s="6"/>
    </row>
    <row r="74" spans="1:11" ht="15.75" thickBot="1" x14ac:dyDescent="0.3">
      <c r="A74" s="57" t="s">
        <v>77</v>
      </c>
      <c r="B74" s="12">
        <v>3</v>
      </c>
      <c r="C74" s="31" t="str">
        <f>HYPERLINK("\\Elam-pliki\firmowe\BUDIMEX\Projekty\DANWOOD 2017\DE\03 Marzec\03 Bruckmeier 9849","Bruckmeier")</f>
        <v>Bruckmeier</v>
      </c>
      <c r="D74" s="12">
        <v>9849</v>
      </c>
      <c r="E74" s="17"/>
      <c r="F74" s="17" t="s">
        <v>1</v>
      </c>
      <c r="G74" s="7" t="s">
        <v>36</v>
      </c>
      <c r="H74" s="6"/>
      <c r="I74" s="14" t="s">
        <v>42</v>
      </c>
      <c r="J74" t="s">
        <v>87</v>
      </c>
      <c r="K74" s="6"/>
    </row>
    <row r="75" spans="1:11" ht="15.75" thickBot="1" x14ac:dyDescent="0.3">
      <c r="A75" s="57" t="s">
        <v>77</v>
      </c>
      <c r="B75" s="12">
        <v>4</v>
      </c>
      <c r="C75" s="31" t="str">
        <f>HYPERLINK("\\Elam-pliki\firmowe\BUDIMEX\Projekty\DANWOOD 2017\DE\03 Marzec\04 Niedermeier 9909","Niedermeier")</f>
        <v>Niedermeier</v>
      </c>
      <c r="D75" s="12">
        <v>9909</v>
      </c>
      <c r="E75" s="17"/>
      <c r="F75" s="17" t="s">
        <v>1</v>
      </c>
      <c r="G75" s="7" t="s">
        <v>11</v>
      </c>
      <c r="H75" s="6"/>
      <c r="I75" s="14" t="s">
        <v>42</v>
      </c>
      <c r="J75" t="s">
        <v>87</v>
      </c>
      <c r="K75" s="6"/>
    </row>
    <row r="76" spans="1:11" ht="15.75" thickBot="1" x14ac:dyDescent="0.3">
      <c r="A76" s="57" t="s">
        <v>77</v>
      </c>
      <c r="B76" s="12">
        <v>5</v>
      </c>
      <c r="C76" s="31" t="str">
        <f>HYPERLINK("\\Elam-pliki\firmowe\BUDIMEX\Projekty\DANWOOD 2017\DE\03 Marzec\05 Persch 8459","Persch")</f>
        <v>Persch</v>
      </c>
      <c r="D76" s="12">
        <v>8459</v>
      </c>
      <c r="E76" s="17"/>
      <c r="F76" s="17" t="s">
        <v>1</v>
      </c>
      <c r="G76" s="7" t="s">
        <v>12</v>
      </c>
      <c r="H76" s="6"/>
      <c r="I76" s="14" t="s">
        <v>42</v>
      </c>
      <c r="J76" t="s">
        <v>87</v>
      </c>
      <c r="K76" s="6"/>
    </row>
    <row r="77" spans="1:11" ht="15.75" thickBot="1" x14ac:dyDescent="0.3">
      <c r="A77" s="57" t="s">
        <v>77</v>
      </c>
      <c r="B77" s="12">
        <v>6</v>
      </c>
      <c r="C77" s="31" t="str">
        <f>HYPERLINK("\\Elam-pliki\firmowe\BUDIMEX\Projekty\DANWOOD 2017\DE\03 Marzec\06 Müller Michael 10094","Müller Michael")</f>
        <v>Müller Michael</v>
      </c>
      <c r="D77" s="12">
        <v>10094</v>
      </c>
      <c r="E77" s="17"/>
      <c r="F77" s="17" t="s">
        <v>1</v>
      </c>
      <c r="G77" s="7" t="s">
        <v>22</v>
      </c>
      <c r="H77" s="6"/>
      <c r="I77" s="14" t="s">
        <v>41</v>
      </c>
      <c r="J77" t="s">
        <v>87</v>
      </c>
      <c r="K77" s="6"/>
    </row>
    <row r="78" spans="1:11" ht="15.75" thickBot="1" x14ac:dyDescent="0.3">
      <c r="A78" s="57" t="s">
        <v>77</v>
      </c>
      <c r="B78" s="12">
        <v>7</v>
      </c>
      <c r="C78" s="31" t="str">
        <f>HYPERLINK("\\Elam-pliki\firmowe\BUDIMEX\Projekty\DANWOOD 2017\DE\03 Marzec\07 Schweier 9977","Schweier")</f>
        <v>Schweier</v>
      </c>
      <c r="D78" s="12">
        <v>9977</v>
      </c>
      <c r="E78" s="17"/>
      <c r="F78" s="17" t="s">
        <v>1</v>
      </c>
      <c r="G78" s="7" t="s">
        <v>25</v>
      </c>
      <c r="H78" s="6"/>
      <c r="I78" s="14" t="s">
        <v>42</v>
      </c>
      <c r="J78" t="s">
        <v>87</v>
      </c>
      <c r="K78" s="6"/>
    </row>
    <row r="79" spans="1:11" ht="15.75" thickBot="1" x14ac:dyDescent="0.3">
      <c r="A79" s="57" t="s">
        <v>77</v>
      </c>
      <c r="B79" s="12">
        <v>8</v>
      </c>
      <c r="C79" s="31" t="str">
        <f>HYPERLINK("\\Elam-pliki\firmowe\BUDIMEX\Projekty\DANWOOD 2017\DE\03 Marzec\08 Schmötzer Maria-Rita 9682","Schmötzer Maria-Rita")</f>
        <v>Schmötzer Maria-Rita</v>
      </c>
      <c r="D79" s="12">
        <v>9682</v>
      </c>
      <c r="E79" s="17"/>
      <c r="F79" s="17" t="s">
        <v>1</v>
      </c>
      <c r="G79" s="7" t="s">
        <v>20</v>
      </c>
      <c r="H79" s="6"/>
      <c r="I79" s="14" t="s">
        <v>39</v>
      </c>
      <c r="J79" t="s">
        <v>92</v>
      </c>
      <c r="K79" s="6"/>
    </row>
    <row r="80" spans="1:11" ht="15.75" thickBot="1" x14ac:dyDescent="0.3">
      <c r="A80" s="57" t="s">
        <v>77</v>
      </c>
      <c r="B80" s="12">
        <v>9</v>
      </c>
      <c r="C80" s="31" t="str">
        <f>HYPERLINK("\\Elam-pliki\firmowe\BUDIMEX\PROJEKTY\DANWOOD 2017\DE\03 Marzec\09 Dahlke 10196","Dahlke")</f>
        <v>Dahlke</v>
      </c>
      <c r="D80" s="12">
        <v>10196</v>
      </c>
      <c r="E80" s="17"/>
      <c r="F80" s="17" t="s">
        <v>1</v>
      </c>
      <c r="G80" s="7" t="s">
        <v>25</v>
      </c>
      <c r="H80" s="6"/>
      <c r="I80" s="14" t="s">
        <v>37</v>
      </c>
      <c r="J80" t="s">
        <v>87</v>
      </c>
      <c r="K80" s="6"/>
    </row>
    <row r="81" spans="1:11" ht="15.75" thickBot="1" x14ac:dyDescent="0.3">
      <c r="A81" s="57" t="s">
        <v>77</v>
      </c>
      <c r="B81" s="12">
        <v>10</v>
      </c>
      <c r="C81" s="31" t="str">
        <f>HYPERLINK("\\Elam-pliki\firmowe\BUDIMEX\PROJEKTY\DANWOOD 2017\DE\03 Marzec\10 Einsiedler 9546","Einsiedler")</f>
        <v>Einsiedler</v>
      </c>
      <c r="D81" s="12">
        <v>9546</v>
      </c>
      <c r="E81" s="17"/>
      <c r="F81" s="17" t="s">
        <v>1</v>
      </c>
      <c r="G81" s="7" t="s">
        <v>24</v>
      </c>
      <c r="H81" s="6"/>
      <c r="I81" s="14" t="s">
        <v>39</v>
      </c>
      <c r="J81" t="s">
        <v>87</v>
      </c>
      <c r="K81" s="6"/>
    </row>
    <row r="82" spans="1:11" ht="15.75" thickBot="1" x14ac:dyDescent="0.3">
      <c r="A82" s="57" t="s">
        <v>77</v>
      </c>
      <c r="B82" s="12">
        <v>11</v>
      </c>
      <c r="C82" s="31" t="str">
        <f>HYPERLINK("\\Elam-pliki\firmowe\BUDIMEX\Projekty\DANWOOD 2017\DE\03 Marzec\11 Müller Marc 9541","Müller Marc")</f>
        <v>Müller Marc</v>
      </c>
      <c r="D82" s="12">
        <v>9541</v>
      </c>
      <c r="E82" s="17"/>
      <c r="F82" s="17" t="s">
        <v>1</v>
      </c>
      <c r="G82" s="7" t="s">
        <v>22</v>
      </c>
      <c r="H82" s="6"/>
      <c r="I82" s="14" t="s">
        <v>37</v>
      </c>
      <c r="J82" t="s">
        <v>87</v>
      </c>
      <c r="K82" s="6"/>
    </row>
    <row r="83" spans="1:11" ht="15.75" thickBot="1" x14ac:dyDescent="0.3">
      <c r="A83" s="57" t="s">
        <v>77</v>
      </c>
      <c r="B83" s="12">
        <v>12</v>
      </c>
      <c r="C83" s="31" t="str">
        <f>HYPERLINK("\\Elam-pliki\firmowe\BUDIMEX\Projekty\DANWOOD 2017\DE\03 Marzec\12 Kascha 9618","Kascha")</f>
        <v>Kascha</v>
      </c>
      <c r="D83" s="12">
        <v>9618</v>
      </c>
      <c r="E83" s="17"/>
      <c r="F83" s="17" t="s">
        <v>1</v>
      </c>
      <c r="G83" s="7" t="s">
        <v>36</v>
      </c>
      <c r="H83" s="6"/>
      <c r="I83" s="14" t="s">
        <v>37</v>
      </c>
      <c r="J83" t="s">
        <v>87</v>
      </c>
      <c r="K83" s="6"/>
    </row>
    <row r="84" spans="1:11" ht="15.75" thickBot="1" x14ac:dyDescent="0.3">
      <c r="A84" s="57" t="s">
        <v>77</v>
      </c>
      <c r="B84" s="12">
        <v>13</v>
      </c>
      <c r="C84" s="31" t="str">
        <f>HYPERLINK("\\Elam-pliki\firmowe\BUDIMEX\PROJEKTY\DANWOOD 2017\DE\03 Marzec\13  Felsner  8860","Felsner")</f>
        <v>Felsner</v>
      </c>
      <c r="D84" s="12">
        <v>8860</v>
      </c>
      <c r="E84" s="17"/>
      <c r="F84" s="17" t="s">
        <v>1</v>
      </c>
      <c r="G84" s="7" t="s">
        <v>8</v>
      </c>
      <c r="H84" s="6"/>
      <c r="I84" s="14" t="s">
        <v>39</v>
      </c>
      <c r="J84" t="s">
        <v>87</v>
      </c>
      <c r="K84" s="6"/>
    </row>
    <row r="85" spans="1:11" ht="15.75" thickBot="1" x14ac:dyDescent="0.3">
      <c r="A85" s="57" t="s">
        <v>77</v>
      </c>
      <c r="B85" s="12">
        <v>14</v>
      </c>
      <c r="C85" s="31" t="str">
        <f>HYPERLINK("\\Elam-pliki\firmowe\BUDIMEX\PROJEKTY\DANWOOD 2017\DE\03 Marzec\14 Kretschmer 9675","Kretschmer")</f>
        <v>Kretschmer</v>
      </c>
      <c r="D85" s="12">
        <v>9675</v>
      </c>
      <c r="E85" s="17"/>
      <c r="F85" s="17" t="s">
        <v>1</v>
      </c>
      <c r="G85" s="7" t="s">
        <v>8</v>
      </c>
      <c r="H85" s="6"/>
      <c r="I85" s="14" t="s">
        <v>37</v>
      </c>
      <c r="J85" t="s">
        <v>87</v>
      </c>
      <c r="K85" s="6"/>
    </row>
    <row r="86" spans="1:11" ht="15.75" thickBot="1" x14ac:dyDescent="0.3">
      <c r="A86" s="57" t="s">
        <v>77</v>
      </c>
      <c r="B86" s="12">
        <v>15</v>
      </c>
      <c r="C86" s="31" t="str">
        <f>HYPERLINK("\\Elam-pliki\firmowe\BUDIMEX\PROJEKTY\DANWOOD 2017\DE\03 Marzec\15 Schwab Matthias 9761","Schwab Matthias")</f>
        <v>Schwab Matthias</v>
      </c>
      <c r="D86" s="12">
        <v>9761</v>
      </c>
      <c r="E86" s="17"/>
      <c r="F86" s="17" t="s">
        <v>1</v>
      </c>
      <c r="G86" s="7" t="s">
        <v>11</v>
      </c>
      <c r="H86" s="6"/>
      <c r="I86" s="14" t="s">
        <v>37</v>
      </c>
      <c r="J86" t="s">
        <v>100</v>
      </c>
      <c r="K86" s="6"/>
    </row>
    <row r="87" spans="1:11" ht="15.75" thickBot="1" x14ac:dyDescent="0.3">
      <c r="A87" s="57" t="s">
        <v>77</v>
      </c>
      <c r="B87" s="12">
        <v>16</v>
      </c>
      <c r="C87" s="31" t="str">
        <f>HYPERLINK("\\Elam-pliki\firmowe\BUDIMEX\PROJEKTY\DANWOOD 2017\DE\03 Marzec\16 Abel Mnich 10010","Abel Mnich")</f>
        <v>Abel Mnich</v>
      </c>
      <c r="D87" s="12">
        <v>10010</v>
      </c>
      <c r="E87" s="17"/>
      <c r="F87" s="17" t="s">
        <v>1</v>
      </c>
      <c r="G87" s="7" t="s">
        <v>40</v>
      </c>
      <c r="H87" s="6"/>
      <c r="I87" s="14" t="s">
        <v>39</v>
      </c>
      <c r="J87" t="s">
        <v>87</v>
      </c>
      <c r="K87" s="6"/>
    </row>
    <row r="88" spans="1:11" ht="15.75" thickBot="1" x14ac:dyDescent="0.3">
      <c r="A88" s="57" t="s">
        <v>77</v>
      </c>
      <c r="B88" s="12">
        <v>17</v>
      </c>
      <c r="C88" s="31" t="str">
        <f>HYPERLINK("\\Elam-pliki\firmowe\BUDIMEX\PROJEKTY\DANWOOD 2017\DE\03 Marzec\17 Weise 9828","Weise")</f>
        <v>Weise</v>
      </c>
      <c r="D88" s="12">
        <v>9828</v>
      </c>
      <c r="E88" s="17" t="s">
        <v>43</v>
      </c>
      <c r="F88" s="17" t="s">
        <v>1</v>
      </c>
      <c r="G88" s="7" t="s">
        <v>26</v>
      </c>
      <c r="H88" s="6"/>
      <c r="I88" s="14" t="s">
        <v>39</v>
      </c>
      <c r="J88" t="s">
        <v>101</v>
      </c>
      <c r="K88" s="6"/>
    </row>
    <row r="89" spans="1:11" ht="15.75" thickBot="1" x14ac:dyDescent="0.3">
      <c r="A89" s="57" t="s">
        <v>77</v>
      </c>
      <c r="B89" s="12">
        <v>18</v>
      </c>
      <c r="C89" s="31" t="str">
        <f>HYPERLINK("\\Elam-pliki\firmowe\BUDIMEX\PROJEKTY\DANWOOD 2017\DE\03 Marzec\18 Berger Michael 10154","Berger Michael")</f>
        <v>Berger Michael</v>
      </c>
      <c r="D89" s="12">
        <v>10154</v>
      </c>
      <c r="E89" s="17"/>
      <c r="F89" s="17" t="s">
        <v>1</v>
      </c>
      <c r="G89" s="7" t="s">
        <v>14</v>
      </c>
      <c r="H89" s="6"/>
      <c r="I89" s="14" t="s">
        <v>42</v>
      </c>
      <c r="J89" t="s">
        <v>87</v>
      </c>
      <c r="K89" s="6"/>
    </row>
    <row r="90" spans="1:11" ht="15.75" thickBot="1" x14ac:dyDescent="0.3">
      <c r="A90" s="57" t="s">
        <v>77</v>
      </c>
      <c r="B90" s="12">
        <v>19</v>
      </c>
      <c r="C90" s="31" t="str">
        <f>HYPERLINK("\\Elam-pliki\firmowe\BUDIMEX\Projekty\DANWOOD 2017\DE\03 Marzec\19 Krober 10009","Krober")</f>
        <v>Krober</v>
      </c>
      <c r="D90" s="12">
        <v>10009</v>
      </c>
      <c r="E90" s="17"/>
      <c r="F90" s="17" t="s">
        <v>1</v>
      </c>
      <c r="G90" s="7" t="s">
        <v>8</v>
      </c>
      <c r="H90" s="6"/>
      <c r="I90" s="14" t="s">
        <v>39</v>
      </c>
      <c r="J90" t="s">
        <v>102</v>
      </c>
      <c r="K90" s="6"/>
    </row>
    <row r="91" spans="1:11" ht="15.75" thickBot="1" x14ac:dyDescent="0.3">
      <c r="A91" s="57" t="s">
        <v>77</v>
      </c>
      <c r="B91" s="12">
        <v>20</v>
      </c>
      <c r="C91" s="31" t="str">
        <f>HYPERLINK("\\Elam-pliki\firmowe\BUDIMEX\PROJEKTY\DANWOOD 2017\DE\03 Marzec\20 Fröhlich-Eiselstein 9435","Fröhlich-Sascha")</f>
        <v>Fröhlich-Sascha</v>
      </c>
      <c r="D91" s="12">
        <v>9435</v>
      </c>
      <c r="E91" s="17"/>
      <c r="F91" s="17" t="s">
        <v>1</v>
      </c>
      <c r="G91" s="7" t="s">
        <v>11</v>
      </c>
      <c r="H91" s="6"/>
      <c r="I91" s="14" t="s">
        <v>41</v>
      </c>
      <c r="J91" t="s">
        <v>87</v>
      </c>
      <c r="K91" s="6"/>
    </row>
    <row r="92" spans="1:11" ht="15.75" thickBot="1" x14ac:dyDescent="0.3">
      <c r="A92" s="57" t="s">
        <v>77</v>
      </c>
      <c r="B92" s="12">
        <v>21</v>
      </c>
      <c r="C92" s="31" t="str">
        <f>HYPERLINK("\\Elam-pliki\firmowe\BUDIMEX\PROJEKTY\DANWOOD 2017\DE\03 Marzec\21 Körkel 9611","Körkel")</f>
        <v>Körkel</v>
      </c>
      <c r="D92" s="12">
        <v>9611</v>
      </c>
      <c r="E92" s="17"/>
      <c r="F92" s="17" t="s">
        <v>1</v>
      </c>
      <c r="G92" s="7" t="s">
        <v>14</v>
      </c>
      <c r="H92" s="6"/>
      <c r="I92" s="14" t="s">
        <v>41</v>
      </c>
      <c r="J92" t="s">
        <v>87</v>
      </c>
      <c r="K92" s="6"/>
    </row>
    <row r="93" spans="1:11" ht="15.75" thickBot="1" x14ac:dyDescent="0.3">
      <c r="A93" s="57" t="s">
        <v>77</v>
      </c>
      <c r="B93" s="12">
        <v>22</v>
      </c>
      <c r="C93" s="31" t="str">
        <f>HYPERLINK("\\Elam-pliki\firmowe\BUDIMEX\PROJEKTY\DANWOOD 2017\DE\03 Marzec\22 Mundt 10259","Mundt")</f>
        <v>Mundt</v>
      </c>
      <c r="D93" s="12">
        <v>10259</v>
      </c>
      <c r="E93" s="17"/>
      <c r="F93" s="17" t="s">
        <v>1</v>
      </c>
      <c r="G93" s="7" t="s">
        <v>40</v>
      </c>
      <c r="H93" s="6"/>
      <c r="I93" s="14" t="s">
        <v>37</v>
      </c>
      <c r="J93" t="s">
        <v>87</v>
      </c>
      <c r="K93" s="6"/>
    </row>
    <row r="94" spans="1:11" ht="15.75" thickBot="1" x14ac:dyDescent="0.3">
      <c r="A94" s="57" t="s">
        <v>77</v>
      </c>
      <c r="B94" s="7">
        <v>23</v>
      </c>
      <c r="C94" s="39" t="str">
        <f>HYPERLINK("\\Elam-pliki\firmowe\BUDIMEX\PROJEKTY\DANWOOD 2017\DE\03 Marzec\23 Weber Annette 9683","Weber Annette")</f>
        <v>Weber Annette</v>
      </c>
      <c r="D94" s="7">
        <v>9683</v>
      </c>
      <c r="E94" s="6"/>
      <c r="F94" s="6"/>
      <c r="G94" s="7" t="s">
        <v>24</v>
      </c>
      <c r="H94" s="6"/>
      <c r="I94" s="14" t="s">
        <v>39</v>
      </c>
      <c r="J94" t="s">
        <v>87</v>
      </c>
      <c r="K94" s="6"/>
    </row>
    <row r="95" spans="1:11" ht="15.75" thickBot="1" x14ac:dyDescent="0.3">
      <c r="A95" s="57" t="s">
        <v>77</v>
      </c>
      <c r="B95" s="12">
        <v>24</v>
      </c>
      <c r="C95" s="31" t="str">
        <f>HYPERLINK("\\Elam-pliki\firmowe\BUDIMEX\PROJEKTY\DANWOOD 2017\DE\03 Marzec\24 Alfanz 7871","Alfanz")</f>
        <v>Alfanz</v>
      </c>
      <c r="D95" s="12">
        <v>7871</v>
      </c>
      <c r="E95" s="23" t="s">
        <v>5</v>
      </c>
      <c r="F95" s="17" t="s">
        <v>1</v>
      </c>
      <c r="G95" s="7" t="s">
        <v>21</v>
      </c>
      <c r="H95" s="6" t="s">
        <v>0</v>
      </c>
      <c r="I95" s="14" t="s">
        <v>37</v>
      </c>
      <c r="J95" t="s">
        <v>87</v>
      </c>
      <c r="K95" s="25" t="s">
        <v>3</v>
      </c>
    </row>
    <row r="96" spans="1:11" ht="15.75" thickBot="1" x14ac:dyDescent="0.3">
      <c r="A96" s="57" t="s">
        <v>77</v>
      </c>
      <c r="B96" s="12">
        <v>25</v>
      </c>
      <c r="C96" s="31" t="str">
        <f>HYPERLINK("\\Elam-pliki\firmowe\BUDIMEX\Projekty\DANWOOD 2017\DE\03 Marzec\25 Trudel 9532","Trudel")</f>
        <v>Trudel</v>
      </c>
      <c r="D96" s="12">
        <v>9532</v>
      </c>
      <c r="E96" s="17"/>
      <c r="F96" s="17" t="s">
        <v>1</v>
      </c>
      <c r="G96" s="7" t="s">
        <v>14</v>
      </c>
      <c r="H96" s="6"/>
      <c r="I96" s="14" t="s">
        <v>42</v>
      </c>
      <c r="J96" t="s">
        <v>87</v>
      </c>
      <c r="K96" s="6"/>
    </row>
    <row r="97" spans="1:11" ht="15.75" thickBot="1" x14ac:dyDescent="0.3">
      <c r="A97" s="57" t="s">
        <v>77</v>
      </c>
      <c r="B97" s="12">
        <v>26</v>
      </c>
      <c r="C97" s="31" t="str">
        <f>HYPERLINK("\\Elam-pliki\firmowe\BUDIMEX\Projekty\DANWOOD 2017\DE\03 Marzec\26 Bauer-Korfmann 9952","Bauer-Korfmann")</f>
        <v>Bauer-Korfmann</v>
      </c>
      <c r="D97" s="12">
        <v>9952</v>
      </c>
      <c r="E97" s="17"/>
      <c r="F97" s="17" t="s">
        <v>1</v>
      </c>
      <c r="G97" s="7" t="s">
        <v>22</v>
      </c>
      <c r="H97" s="6"/>
      <c r="I97" s="14" t="s">
        <v>42</v>
      </c>
      <c r="J97" t="s">
        <v>87</v>
      </c>
      <c r="K97" s="6"/>
    </row>
    <row r="98" spans="1:11" ht="15.75" thickBot="1" x14ac:dyDescent="0.3">
      <c r="A98" s="57" t="s">
        <v>77</v>
      </c>
      <c r="B98" s="12">
        <v>27</v>
      </c>
      <c r="C98" s="31" t="str">
        <f>HYPERLINK("\\Elam-pliki\firmowe\BUDIMEX\Projekty\DANWOOD 2017\DE\03 Marzec\27 Kossow 8929","Kossow")</f>
        <v>Kossow</v>
      </c>
      <c r="D98" s="12">
        <v>8929</v>
      </c>
      <c r="E98" s="17" t="s">
        <v>15</v>
      </c>
      <c r="F98" s="17" t="s">
        <v>1</v>
      </c>
      <c r="G98" s="7" t="s">
        <v>19</v>
      </c>
      <c r="H98" s="6"/>
      <c r="I98" s="14" t="s">
        <v>37</v>
      </c>
      <c r="J98" t="s">
        <v>87</v>
      </c>
      <c r="K98" s="6"/>
    </row>
    <row r="99" spans="1:11" ht="15.75" thickBot="1" x14ac:dyDescent="0.3">
      <c r="A99" s="57" t="s">
        <v>77</v>
      </c>
      <c r="B99" s="12">
        <v>28</v>
      </c>
      <c r="C99" s="31" t="str">
        <f>HYPERLINK("\\Elam-pliki\firmowe\BUDIMEX\Projekty\DANWOOD 2017\DE\03 Marzec\28 Mai Steffen 9684","Mai Steffen")</f>
        <v>Mai Steffen</v>
      </c>
      <c r="D99" s="12">
        <v>9684</v>
      </c>
      <c r="E99" s="17"/>
      <c r="F99" s="17" t="s">
        <v>1</v>
      </c>
      <c r="G99" s="7" t="s">
        <v>36</v>
      </c>
      <c r="H99" s="6"/>
      <c r="I99" s="14" t="s">
        <v>39</v>
      </c>
      <c r="J99" t="s">
        <v>87</v>
      </c>
      <c r="K99" s="6"/>
    </row>
    <row r="100" spans="1:11" ht="15.75" thickBot="1" x14ac:dyDescent="0.3">
      <c r="A100" s="57" t="s">
        <v>77</v>
      </c>
      <c r="B100" s="12">
        <v>29</v>
      </c>
      <c r="C100" s="31" t="str">
        <f>HYPERLINK("\\Elam-pliki\firmowe\BUDIMEX\Projekty\DANWOOD 2017\DE\03 Marzec\29 Kohler Markus 10087","Kohler Markus")</f>
        <v>Kohler Markus</v>
      </c>
      <c r="D100" s="12">
        <v>10087</v>
      </c>
      <c r="E100" s="17"/>
      <c r="F100" s="17" t="s">
        <v>1</v>
      </c>
      <c r="G100" s="7" t="s">
        <v>24</v>
      </c>
      <c r="H100" s="6"/>
      <c r="I100" s="14" t="s">
        <v>41</v>
      </c>
      <c r="J100" t="s">
        <v>87</v>
      </c>
      <c r="K100" s="6"/>
    </row>
    <row r="101" spans="1:11" ht="15.75" thickBot="1" x14ac:dyDescent="0.3">
      <c r="A101" s="57" t="s">
        <v>77</v>
      </c>
      <c r="B101" s="12">
        <v>30</v>
      </c>
      <c r="C101" s="31" t="str">
        <f>HYPERLINK("\\Elam-pliki\firmowe\BUDIMEX\Projekty\DANWOOD 2017\DE\03 Marzec\30 Konopka 9969","Konopka")</f>
        <v>Konopka</v>
      </c>
      <c r="D101" s="12">
        <v>9969</v>
      </c>
      <c r="E101" s="17"/>
      <c r="F101" s="17" t="s">
        <v>1</v>
      </c>
      <c r="G101" s="7" t="s">
        <v>13</v>
      </c>
      <c r="H101" s="6"/>
      <c r="I101" s="14" t="s">
        <v>39</v>
      </c>
      <c r="J101" t="s">
        <v>103</v>
      </c>
      <c r="K101" s="6"/>
    </row>
    <row r="102" spans="1:11" ht="15.75" thickBot="1" x14ac:dyDescent="0.3">
      <c r="A102" s="57" t="s">
        <v>77</v>
      </c>
      <c r="B102" s="12">
        <v>31</v>
      </c>
      <c r="C102" s="31" t="str">
        <f>HYPERLINK("\\Elam-pliki\firmowe\BUDIMEX\Projekty\DANWOOD 2017\DE\03 Marzec\31 Heinl 9994","Heinl")</f>
        <v>Heinl</v>
      </c>
      <c r="D102" s="12">
        <v>9994</v>
      </c>
      <c r="E102" s="17"/>
      <c r="F102" s="17" t="s">
        <v>1</v>
      </c>
      <c r="G102" s="7" t="s">
        <v>8</v>
      </c>
      <c r="H102" s="6"/>
      <c r="I102" s="14" t="s">
        <v>39</v>
      </c>
      <c r="J102" t="s">
        <v>87</v>
      </c>
      <c r="K102" s="6"/>
    </row>
    <row r="103" spans="1:11" ht="15.75" thickBot="1" x14ac:dyDescent="0.3">
      <c r="A103" s="57" t="s">
        <v>77</v>
      </c>
      <c r="B103" s="12">
        <v>32</v>
      </c>
      <c r="C103" s="31" t="str">
        <f>HYPERLINK("\\Elam-pliki\firmowe\BUDIMEX\Projekty\DANWOOD 2017\DE\03 Marzec\32 Benigno 8402","Benigno")</f>
        <v>Benigno</v>
      </c>
      <c r="D103" s="12">
        <v>8402</v>
      </c>
      <c r="E103" s="17"/>
      <c r="F103" s="17" t="s">
        <v>1</v>
      </c>
      <c r="G103" s="7" t="s">
        <v>19</v>
      </c>
      <c r="H103" s="6"/>
      <c r="I103" s="14" t="s">
        <v>42</v>
      </c>
      <c r="J103" t="s">
        <v>92</v>
      </c>
      <c r="K103" s="6"/>
    </row>
    <row r="104" spans="1:11" ht="15.75" thickBot="1" x14ac:dyDescent="0.3">
      <c r="A104" s="57" t="s">
        <v>77</v>
      </c>
      <c r="B104" s="12">
        <v>33</v>
      </c>
      <c r="C104" s="31" t="str">
        <f>HYPERLINK("\\Elam-pliki\firmowe\BUDIMEX\Projekty\DANWOOD 2017\DE\03 Marzec\33 Mandl 9873","Mandl")</f>
        <v>Mandl</v>
      </c>
      <c r="D104" s="12">
        <v>9873</v>
      </c>
      <c r="E104" s="17"/>
      <c r="F104" s="17" t="s">
        <v>1</v>
      </c>
      <c r="G104" s="7" t="s">
        <v>25</v>
      </c>
      <c r="H104" s="6"/>
      <c r="I104" s="14" t="s">
        <v>41</v>
      </c>
      <c r="J104" t="s">
        <v>87</v>
      </c>
      <c r="K104" s="6"/>
    </row>
    <row r="105" spans="1:11" ht="15.75" thickBot="1" x14ac:dyDescent="0.3">
      <c r="A105" s="57" t="s">
        <v>77</v>
      </c>
      <c r="B105" s="12">
        <v>34</v>
      </c>
      <c r="C105" s="31" t="str">
        <f>HYPERLINK("\\Elam-pliki\firmowe\BUDIMEX\Projekty\DANWOOD 2017\DE\03 Marzec\34 Walter Philipp(2) 10159","Walter Philipp (2)")</f>
        <v>Walter Philipp (2)</v>
      </c>
      <c r="D105" s="12">
        <v>10159</v>
      </c>
      <c r="E105" s="17"/>
      <c r="F105" s="17" t="s">
        <v>1</v>
      </c>
      <c r="G105" s="7" t="s">
        <v>14</v>
      </c>
      <c r="H105" s="6"/>
      <c r="I105" s="14" t="s">
        <v>41</v>
      </c>
      <c r="J105" t="s">
        <v>104</v>
      </c>
      <c r="K105" s="6"/>
    </row>
    <row r="106" spans="1:11" ht="15.75" thickBot="1" x14ac:dyDescent="0.3">
      <c r="A106" s="57" t="s">
        <v>77</v>
      </c>
      <c r="B106" s="12">
        <v>35</v>
      </c>
      <c r="C106" s="31" t="str">
        <f>HYPERLINK("\\Elam-pliki\firmowe\BUDIMEX\PROJEKTY\DANWOOD 2017\DE\03 Marzec\35 Lehmann 9252","Lehmann")</f>
        <v>Lehmann</v>
      </c>
      <c r="D106" s="12">
        <v>9252</v>
      </c>
      <c r="E106" s="17"/>
      <c r="F106" s="17" t="s">
        <v>1</v>
      </c>
      <c r="G106" s="7" t="s">
        <v>16</v>
      </c>
      <c r="H106" s="6"/>
      <c r="I106" s="14" t="s">
        <v>37</v>
      </c>
      <c r="J106" t="s">
        <v>87</v>
      </c>
      <c r="K106" s="6"/>
    </row>
    <row r="107" spans="1:11" ht="15.75" thickBot="1" x14ac:dyDescent="0.3">
      <c r="A107" s="57" t="s">
        <v>77</v>
      </c>
      <c r="B107" s="12">
        <v>36</v>
      </c>
      <c r="C107" s="31" t="str">
        <f>HYPERLINK("\\Elam-pliki\firmowe\BUDIMEX\PROJEKTY\DANWOOD 2017\DE\03 Marzec\36 Jovicki 10369","Jovicki")</f>
        <v>Jovicki</v>
      </c>
      <c r="D107" s="12">
        <v>10369</v>
      </c>
      <c r="E107" s="23" t="s">
        <v>5</v>
      </c>
      <c r="F107" s="17" t="s">
        <v>1</v>
      </c>
      <c r="G107" s="7" t="s">
        <v>7</v>
      </c>
      <c r="H107" s="6"/>
      <c r="I107" s="14" t="s">
        <v>37</v>
      </c>
      <c r="J107" t="s">
        <v>87</v>
      </c>
      <c r="K107" s="25" t="s">
        <v>3</v>
      </c>
    </row>
    <row r="108" spans="1:11" ht="15.75" thickBot="1" x14ac:dyDescent="0.3">
      <c r="A108" s="57" t="s">
        <v>77</v>
      </c>
      <c r="B108" s="12">
        <v>37</v>
      </c>
      <c r="C108" s="31" t="str">
        <f>HYPERLINK("\\Elam-pliki\firmowe\BUDIMEX\PROJEKTY\DANWOOD 2017\DE\03 Marzec\37 Kindt 9424","Kindt")</f>
        <v>Kindt</v>
      </c>
      <c r="D108" s="12">
        <v>9424</v>
      </c>
      <c r="E108" s="17"/>
      <c r="F108" s="17" t="s">
        <v>1</v>
      </c>
      <c r="G108" s="7" t="s">
        <v>25</v>
      </c>
      <c r="H108" s="6"/>
      <c r="I108" s="14" t="s">
        <v>37</v>
      </c>
      <c r="J108" t="s">
        <v>87</v>
      </c>
      <c r="K108" s="6"/>
    </row>
    <row r="109" spans="1:11" ht="15.75" thickBot="1" x14ac:dyDescent="0.3">
      <c r="A109" s="57" t="s">
        <v>77</v>
      </c>
      <c r="B109" s="12">
        <v>38</v>
      </c>
      <c r="C109" s="31" t="str">
        <f>HYPERLINK("\\Elam-pliki\firmowe\BUDIMEX\PROJEKTY\DANWOOD 2017\DE\03 Marzec\38 Nikolaus-Maucher 9839","Nikolaus-Maucher")</f>
        <v>Nikolaus-Maucher</v>
      </c>
      <c r="D109" s="12">
        <v>9839</v>
      </c>
      <c r="E109" s="17"/>
      <c r="F109" s="17" t="s">
        <v>1</v>
      </c>
      <c r="G109" s="7" t="s">
        <v>24</v>
      </c>
      <c r="H109" s="6"/>
      <c r="I109" s="14" t="s">
        <v>42</v>
      </c>
      <c r="J109" t="s">
        <v>105</v>
      </c>
      <c r="K109" s="6"/>
    </row>
    <row r="110" spans="1:11" ht="15.75" thickBot="1" x14ac:dyDescent="0.3">
      <c r="A110" s="57" t="s">
        <v>77</v>
      </c>
      <c r="B110" s="12">
        <v>39</v>
      </c>
      <c r="C110" s="31" t="str">
        <f>HYPERLINK("\\Elam-pliki\firmowe\BUDIMEX\PROJEKTY\DANWOOD 2017\DE\03 Marzec\39 Kuhn Mathias 10786","Kuhn Mathias")</f>
        <v>Kuhn Mathias</v>
      </c>
      <c r="D110" s="12">
        <v>10786</v>
      </c>
      <c r="E110" s="23" t="s">
        <v>5</v>
      </c>
      <c r="F110" s="17" t="s">
        <v>1</v>
      </c>
      <c r="G110" s="7" t="s">
        <v>21</v>
      </c>
      <c r="H110" s="6" t="s">
        <v>0</v>
      </c>
      <c r="I110" s="14" t="s">
        <v>42</v>
      </c>
      <c r="J110" t="s">
        <v>87</v>
      </c>
      <c r="K110" s="25" t="s">
        <v>2</v>
      </c>
    </row>
    <row r="111" spans="1:11" ht="15.75" thickBot="1" x14ac:dyDescent="0.3">
      <c r="A111" s="57" t="s">
        <v>77</v>
      </c>
      <c r="B111" s="12">
        <v>40</v>
      </c>
      <c r="C111" s="31" t="str">
        <f>HYPERLINK("\\Elam-pliki\firmowe\BUDIMEX\Projekty\DANWOOD 2017\DE\03 Marzec\40 Kuhn Manfred 10787","Kuhn Manfred")</f>
        <v>Kuhn Manfred</v>
      </c>
      <c r="D111" s="12">
        <v>10787</v>
      </c>
      <c r="E111" s="23" t="s">
        <v>5</v>
      </c>
      <c r="F111" s="17" t="s">
        <v>1</v>
      </c>
      <c r="G111" s="7" t="s">
        <v>21</v>
      </c>
      <c r="H111" s="6" t="s">
        <v>0</v>
      </c>
      <c r="I111" s="14" t="s">
        <v>42</v>
      </c>
      <c r="J111" t="s">
        <v>87</v>
      </c>
      <c r="K111" s="25" t="s">
        <v>2</v>
      </c>
    </row>
    <row r="112" spans="1:11" ht="15.75" thickBot="1" x14ac:dyDescent="0.3">
      <c r="A112" s="57" t="s">
        <v>77</v>
      </c>
      <c r="B112" s="12">
        <v>41</v>
      </c>
      <c r="C112" s="31" t="str">
        <f>HYPERLINK("\\Elam-pliki\firmowe\BUDIMEX\Projekty\DANWOOD 2017\DE\03 Marzec\41 Hartreiter 10432","Hartreiter")</f>
        <v>Hartreiter</v>
      </c>
      <c r="D112" s="12">
        <v>10432</v>
      </c>
      <c r="E112" s="17" t="s">
        <v>43</v>
      </c>
      <c r="F112" s="17" t="s">
        <v>1</v>
      </c>
      <c r="G112" s="7" t="s">
        <v>13</v>
      </c>
      <c r="H112" s="6"/>
      <c r="I112" s="14" t="s">
        <v>39</v>
      </c>
      <c r="J112" t="s">
        <v>87</v>
      </c>
      <c r="K112" s="6"/>
    </row>
    <row r="113" spans="1:11" ht="15.75" thickBot="1" x14ac:dyDescent="0.3">
      <c r="A113" s="57" t="s">
        <v>77</v>
      </c>
      <c r="B113" s="12">
        <v>42</v>
      </c>
      <c r="C113" s="31" t="str">
        <f>HYPERLINK("\\Elam-pliki\firmowe\BUDIMEX\Projekty\DANWOOD 2017\DE\03 Marzec\42 Kemnitzer 10137","Kemnitzer")</f>
        <v>Kemnitzer</v>
      </c>
      <c r="D113" s="12">
        <v>10137</v>
      </c>
      <c r="E113" s="17"/>
      <c r="F113" s="17" t="s">
        <v>1</v>
      </c>
      <c r="G113" s="7" t="s">
        <v>8</v>
      </c>
      <c r="H113" s="6"/>
      <c r="I113" s="14" t="s">
        <v>41</v>
      </c>
      <c r="J113" t="s">
        <v>87</v>
      </c>
      <c r="K113" s="6"/>
    </row>
    <row r="114" spans="1:11" ht="15.75" thickBot="1" x14ac:dyDescent="0.3">
      <c r="A114" s="57" t="s">
        <v>77</v>
      </c>
      <c r="B114" s="12">
        <v>43</v>
      </c>
      <c r="C114" s="31" t="str">
        <f>HYPERLINK("\\Elam-pliki\firmowe\BUDIMEX\Projekty\DANWOOD 2017\DE\03 Marzec\43 Passer Olaf 9476","Passer Olaf")</f>
        <v>Passer Olaf</v>
      </c>
      <c r="D114" s="12">
        <v>9476</v>
      </c>
      <c r="E114" s="17"/>
      <c r="F114" s="17" t="s">
        <v>1</v>
      </c>
      <c r="G114" s="7" t="s">
        <v>36</v>
      </c>
      <c r="H114" s="6"/>
      <c r="I114" s="14" t="s">
        <v>41</v>
      </c>
      <c r="J114" t="s">
        <v>87</v>
      </c>
      <c r="K114" s="6"/>
    </row>
    <row r="115" spans="1:11" ht="15.75" thickBot="1" x14ac:dyDescent="0.3">
      <c r="A115" s="57" t="s">
        <v>77</v>
      </c>
      <c r="B115" s="12">
        <v>44</v>
      </c>
      <c r="C115" s="31" t="str">
        <f>HYPERLINK("\\Elam-pliki\firmowe\BUDIMEX\Projekty\DANWOOD 2017\DE\03 Marzec\44 Rührer 9923","Rührer")</f>
        <v>Rührer</v>
      </c>
      <c r="D115" s="12">
        <v>9923</v>
      </c>
      <c r="E115" s="17" t="s">
        <v>43</v>
      </c>
      <c r="F115" s="17" t="s">
        <v>1</v>
      </c>
      <c r="G115" s="7" t="s">
        <v>27</v>
      </c>
      <c r="H115" s="6"/>
      <c r="I115" s="14" t="s">
        <v>39</v>
      </c>
      <c r="J115" t="s">
        <v>87</v>
      </c>
      <c r="K115" s="6"/>
    </row>
    <row r="116" spans="1:11" ht="15.75" thickBot="1" x14ac:dyDescent="0.3">
      <c r="A116" s="57" t="s">
        <v>77</v>
      </c>
      <c r="B116" s="12">
        <v>45</v>
      </c>
      <c r="C116" s="31" t="str">
        <f>HYPERLINK("\\Elam-pliki\firmowe\BUDIMEX\PROJEKTY\DANWOOD 2017\DE\03 Marzec\45 Döring Walter 9981","Döring Walter")</f>
        <v>Döring Walter</v>
      </c>
      <c r="D116" s="12">
        <v>9981</v>
      </c>
      <c r="E116" s="17"/>
      <c r="F116" s="17" t="s">
        <v>1</v>
      </c>
      <c r="G116" s="7" t="s">
        <v>13</v>
      </c>
      <c r="H116" s="6"/>
      <c r="I116" s="14" t="s">
        <v>42</v>
      </c>
      <c r="J116" t="s">
        <v>87</v>
      </c>
      <c r="K116" s="6"/>
    </row>
    <row r="117" spans="1:11" ht="15.75" thickBot="1" x14ac:dyDescent="0.3">
      <c r="A117" s="57" t="s">
        <v>77</v>
      </c>
      <c r="B117" s="12">
        <v>46</v>
      </c>
      <c r="C117" s="31" t="str">
        <f>HYPERLINK("\\Elam-pliki\firmowe\BUDIMEX\PROJEKTY\DANWOOD 2017\DE\03 Marzec\46 Hubois 9862","Hubois")</f>
        <v>Hubois</v>
      </c>
      <c r="D117" s="12">
        <v>9862</v>
      </c>
      <c r="E117" s="17"/>
      <c r="F117" s="17" t="s">
        <v>1</v>
      </c>
      <c r="G117" s="7" t="s">
        <v>11</v>
      </c>
      <c r="H117" s="6"/>
      <c r="I117" s="14" t="s">
        <v>39</v>
      </c>
      <c r="J117" t="s">
        <v>87</v>
      </c>
      <c r="K117" s="6"/>
    </row>
    <row r="118" spans="1:11" ht="15.75" thickBot="1" x14ac:dyDescent="0.3">
      <c r="A118" s="57" t="s">
        <v>77</v>
      </c>
      <c r="B118" s="12">
        <v>47</v>
      </c>
      <c r="C118" s="31" t="str">
        <f>HYPERLINK("\\Elam-pliki\firmowe\BUDIMEX\PROJEKTY\DANWOOD 2017\DE\03 Marzec\47 Kaupert 1 9812","Kaupert 1")</f>
        <v>Kaupert 1</v>
      </c>
      <c r="D118" s="12">
        <v>9812</v>
      </c>
      <c r="E118" s="17" t="s">
        <v>46</v>
      </c>
      <c r="F118" s="17" t="s">
        <v>1</v>
      </c>
      <c r="G118" s="7" t="s">
        <v>36</v>
      </c>
      <c r="H118" s="6"/>
      <c r="I118" s="14" t="s">
        <v>42</v>
      </c>
      <c r="J118" t="s">
        <v>87</v>
      </c>
      <c r="K118" s="6"/>
    </row>
    <row r="119" spans="1:11" ht="15.75" thickBot="1" x14ac:dyDescent="0.3">
      <c r="A119" s="57" t="s">
        <v>77</v>
      </c>
      <c r="B119" s="12">
        <v>48</v>
      </c>
      <c r="C119" s="31" t="str">
        <f>HYPERLINK("\\Elam-pliki\firmowe\BUDIMEX\PROJEKTY\DANWOOD 2017\DE\03 Marzec\48 Kaupert 2 9813","Kaupert 2")</f>
        <v>Kaupert 2</v>
      </c>
      <c r="D119" s="12">
        <v>9813</v>
      </c>
      <c r="E119" s="17" t="s">
        <v>46</v>
      </c>
      <c r="F119" s="17" t="s">
        <v>1</v>
      </c>
      <c r="G119" s="7" t="s">
        <v>36</v>
      </c>
      <c r="H119" s="6"/>
      <c r="I119" s="14" t="s">
        <v>42</v>
      </c>
      <c r="J119" t="s">
        <v>87</v>
      </c>
      <c r="K119" s="6"/>
    </row>
    <row r="120" spans="1:11" ht="15.75" thickBot="1" x14ac:dyDescent="0.3">
      <c r="A120" s="57" t="s">
        <v>77</v>
      </c>
      <c r="B120" s="12">
        <v>49</v>
      </c>
      <c r="C120" s="31" t="str">
        <f>HYPERLINK("\\Elam-pliki\firmowe\BUDIMEX\Projekty\DANWOOD 2017\DE\03 Marzec\49 Schulz 9421","Schulz")</f>
        <v>Schulz</v>
      </c>
      <c r="D120" s="12">
        <v>9421</v>
      </c>
      <c r="E120" s="17" t="s">
        <v>47</v>
      </c>
      <c r="F120" s="17" t="s">
        <v>1</v>
      </c>
      <c r="G120" s="7" t="s">
        <v>26</v>
      </c>
      <c r="H120" s="6"/>
      <c r="I120" s="14" t="s">
        <v>41</v>
      </c>
      <c r="J120" t="s">
        <v>87</v>
      </c>
      <c r="K120" s="6"/>
    </row>
    <row r="121" spans="1:11" ht="15.75" thickBot="1" x14ac:dyDescent="0.3">
      <c r="A121" s="57" t="s">
        <v>77</v>
      </c>
      <c r="B121" s="12">
        <v>50</v>
      </c>
      <c r="C121" s="31" t="str">
        <f>HYPERLINK("\\Elam-pliki\firmowe\BUDIMEX\Projekty\DANWOOD 2017\DE\03 Marzec\50 Wutz 9737","Wutz")</f>
        <v>Wutz</v>
      </c>
      <c r="D121" s="12">
        <v>9737</v>
      </c>
      <c r="E121" s="17"/>
      <c r="F121" s="17" t="s">
        <v>1</v>
      </c>
      <c r="G121" s="7" t="s">
        <v>11</v>
      </c>
      <c r="H121" s="6"/>
      <c r="I121" s="14" t="s">
        <v>37</v>
      </c>
      <c r="J121" t="s">
        <v>87</v>
      </c>
      <c r="K121" s="6"/>
    </row>
    <row r="122" spans="1:11" ht="15.75" thickBot="1" x14ac:dyDescent="0.3">
      <c r="A122" s="57" t="s">
        <v>77</v>
      </c>
      <c r="B122" s="12">
        <v>51</v>
      </c>
      <c r="C122" s="31" t="str">
        <f>HYPERLINK("\\Elam-pliki\firmowe\BUDIMEX\Projekty\DANWOOD 2017\DE\03 Marzec\51 Teiman 10346","Teiman")</f>
        <v>Teiman</v>
      </c>
      <c r="D122" s="12">
        <v>10346</v>
      </c>
      <c r="E122" s="17"/>
      <c r="F122" s="17" t="s">
        <v>1</v>
      </c>
      <c r="G122" s="7" t="s">
        <v>11</v>
      </c>
      <c r="H122" s="6"/>
      <c r="I122" s="14" t="s">
        <v>39</v>
      </c>
      <c r="J122" t="s">
        <v>87</v>
      </c>
      <c r="K122" s="6"/>
    </row>
    <row r="123" spans="1:11" ht="15.75" thickBot="1" x14ac:dyDescent="0.3">
      <c r="A123" s="57" t="s">
        <v>77</v>
      </c>
      <c r="B123" s="19">
        <v>52</v>
      </c>
      <c r="C123" s="32" t="str">
        <f>HYPERLINK("\\Elam-pliki\firmowe\BUDIMEX\Projekty\DANWOOD 2017\DE\03 Marzec\52 Raithel 10515","Raithel")</f>
        <v>Raithel</v>
      </c>
      <c r="D123" s="19">
        <v>10515</v>
      </c>
      <c r="E123" s="20"/>
      <c r="F123" s="20" t="s">
        <v>1</v>
      </c>
      <c r="G123" s="9" t="s">
        <v>48</v>
      </c>
      <c r="H123" s="8"/>
      <c r="I123" s="16" t="s">
        <v>37</v>
      </c>
      <c r="J123" s="3" t="s">
        <v>87</v>
      </c>
      <c r="K123" s="8"/>
    </row>
    <row r="124" spans="1:11" ht="15" customHeight="1" thickBot="1" x14ac:dyDescent="0.3">
      <c r="A124" s="57" t="s">
        <v>78</v>
      </c>
      <c r="B124" s="7">
        <v>1</v>
      </c>
      <c r="C124" s="39" t="str">
        <f>HYPERLINK("\\Elam-pliki\firmowe\BUDIMEX\Projekty\DANWOOD 2017\DE\04 Kwiecień\01 Ebert Engelbert 10102","Ebert Engelbert")</f>
        <v>Ebert Engelbert</v>
      </c>
      <c r="D124" s="7">
        <v>10102</v>
      </c>
      <c r="E124" s="6"/>
      <c r="F124" s="6"/>
      <c r="G124" s="7" t="s">
        <v>25</v>
      </c>
      <c r="H124" s="6"/>
      <c r="I124" s="14" t="s">
        <v>41</v>
      </c>
      <c r="J124" t="s">
        <v>87</v>
      </c>
      <c r="K124" s="6"/>
    </row>
    <row r="125" spans="1:11" ht="15.75" thickBot="1" x14ac:dyDescent="0.3">
      <c r="A125" s="57" t="s">
        <v>78</v>
      </c>
      <c r="B125" s="12">
        <v>2</v>
      </c>
      <c r="C125" s="31" t="str">
        <f>HYPERLINK("\\Elam-pliki\firmowe\BUDIMEX\Projekty\DANWOOD 2017\DE\04 Kwiecień\02 Dr. Fülle Uli 9972","Dr. Fülle Uli")</f>
        <v>Dr. Fülle Uli</v>
      </c>
      <c r="D125" s="12">
        <v>9972</v>
      </c>
      <c r="E125" s="17" t="s">
        <v>15</v>
      </c>
      <c r="F125" s="17" t="s">
        <v>1</v>
      </c>
      <c r="G125" s="7" t="s">
        <v>20</v>
      </c>
      <c r="H125" s="6"/>
      <c r="I125" s="14" t="s">
        <v>37</v>
      </c>
      <c r="J125" t="s">
        <v>106</v>
      </c>
      <c r="K125" s="6"/>
    </row>
    <row r="126" spans="1:11" ht="15.75" thickBot="1" x14ac:dyDescent="0.3">
      <c r="A126" s="57" t="s">
        <v>78</v>
      </c>
      <c r="B126" s="12">
        <v>3</v>
      </c>
      <c r="C126" s="31" t="str">
        <f>HYPERLINK("\\Elam-pliki\firmowe\BUDIMEX\PROJEKTY\DANWOOD 2017\DE\04 Kwiecień\03 Schmitz Christian 10237","Schmitz Christian")</f>
        <v>Schmitz Christian</v>
      </c>
      <c r="D126" s="12">
        <v>10237</v>
      </c>
      <c r="E126" s="17"/>
      <c r="F126" s="17" t="s">
        <v>1</v>
      </c>
      <c r="G126" s="7" t="s">
        <v>13</v>
      </c>
      <c r="H126" s="6"/>
      <c r="I126" s="14" t="s">
        <v>42</v>
      </c>
      <c r="J126" t="s">
        <v>87</v>
      </c>
      <c r="K126" s="6"/>
    </row>
    <row r="127" spans="1:11" ht="15.75" thickBot="1" x14ac:dyDescent="0.3">
      <c r="A127" s="57" t="s">
        <v>78</v>
      </c>
      <c r="B127" s="12">
        <v>4</v>
      </c>
      <c r="C127" s="31" t="str">
        <f>HYPERLINK("\\Elam-pliki\firmowe\BUDIMEX\Projekty\DANWOOD 2017\DE\04 Kwiecień\04 Bernd 9836","Bernd")</f>
        <v>Bernd</v>
      </c>
      <c r="D127" s="12">
        <v>9836</v>
      </c>
      <c r="E127" s="17"/>
      <c r="F127" s="17" t="s">
        <v>1</v>
      </c>
      <c r="G127" s="7" t="s">
        <v>25</v>
      </c>
      <c r="H127" s="6"/>
      <c r="I127" s="14" t="s">
        <v>39</v>
      </c>
      <c r="J127" t="s">
        <v>87</v>
      </c>
      <c r="K127" s="6"/>
    </row>
    <row r="128" spans="1:11" ht="15.75" thickBot="1" x14ac:dyDescent="0.3">
      <c r="A128" s="57" t="s">
        <v>78</v>
      </c>
      <c r="B128" s="12">
        <v>5</v>
      </c>
      <c r="C128" s="31" t="str">
        <f>HYPERLINK("\\Elam-pliki\firmowe\BUDIMEX\Projekty\DANWOOD 2017\DE\04 Kwiecień\05 Stahl Buchbinder 9772","Stahl Buchbinder")</f>
        <v>Stahl Buchbinder</v>
      </c>
      <c r="D128" s="12">
        <v>9772</v>
      </c>
      <c r="E128" s="17" t="s">
        <v>43</v>
      </c>
      <c r="F128" s="17" t="s">
        <v>1</v>
      </c>
      <c r="G128" s="7" t="s">
        <v>36</v>
      </c>
      <c r="H128" s="6"/>
      <c r="I128" s="14" t="s">
        <v>39</v>
      </c>
      <c r="J128" t="s">
        <v>105</v>
      </c>
      <c r="K128" s="6"/>
    </row>
    <row r="129" spans="1:11" ht="15.75" thickBot="1" x14ac:dyDescent="0.3">
      <c r="A129" s="57" t="s">
        <v>78</v>
      </c>
      <c r="B129" s="12">
        <v>6</v>
      </c>
      <c r="C129" s="31" t="str">
        <f>HYPERLINK("\\Elam-pliki\firmowe\BUDIMEX\Projekty\DANWOOD 2017\DE\04 Kwiecień\06 Hauboldt Kleemann 9274","Hauboldt Kleemann")</f>
        <v>Hauboldt Kleemann</v>
      </c>
      <c r="D129" s="12">
        <v>9274</v>
      </c>
      <c r="E129" s="17" t="s">
        <v>28</v>
      </c>
      <c r="F129" s="17" t="s">
        <v>1</v>
      </c>
      <c r="G129" s="7" t="s">
        <v>30</v>
      </c>
      <c r="H129" s="6"/>
      <c r="I129" s="14" t="s">
        <v>37</v>
      </c>
      <c r="J129" t="s">
        <v>87</v>
      </c>
      <c r="K129" s="6"/>
    </row>
    <row r="130" spans="1:11" ht="15.75" thickBot="1" x14ac:dyDescent="0.3">
      <c r="A130" s="57" t="s">
        <v>78</v>
      </c>
      <c r="B130" s="12">
        <v>7</v>
      </c>
      <c r="C130" s="31" t="str">
        <f>HYPERLINK("\\Elam-pliki\firmowe\BUDIMEX\Projekty\DANWOOD 2017\DE\04 Kwiecień\07 Förster Eugen 10085","Förster Eugen")</f>
        <v>Förster Eugen</v>
      </c>
      <c r="D130" s="12">
        <v>10085</v>
      </c>
      <c r="E130" s="17"/>
      <c r="F130" s="17" t="s">
        <v>1</v>
      </c>
      <c r="G130" s="7" t="s">
        <v>20</v>
      </c>
      <c r="H130" s="6"/>
      <c r="I130" s="14" t="s">
        <v>39</v>
      </c>
      <c r="J130" t="s">
        <v>87</v>
      </c>
      <c r="K130" s="6"/>
    </row>
    <row r="131" spans="1:11" ht="15.75" thickBot="1" x14ac:dyDescent="0.3">
      <c r="A131" s="57" t="s">
        <v>78</v>
      </c>
      <c r="B131" s="12">
        <v>8</v>
      </c>
      <c r="C131" s="31" t="str">
        <f>HYPERLINK("\\Elam-pliki\firmowe\BUDIMEX\Projekty\DANWOOD 2017\DE\04 Kwiecień\08 Thauer 9748","Thauer")</f>
        <v>Thauer</v>
      </c>
      <c r="D131" s="12">
        <v>9748</v>
      </c>
      <c r="E131" s="17"/>
      <c r="F131" s="17" t="s">
        <v>1</v>
      </c>
      <c r="G131" s="7" t="s">
        <v>13</v>
      </c>
      <c r="H131" s="6"/>
      <c r="I131" s="14" t="s">
        <v>42</v>
      </c>
      <c r="J131" t="s">
        <v>87</v>
      </c>
      <c r="K131" s="6"/>
    </row>
    <row r="132" spans="1:11" ht="15.75" thickBot="1" x14ac:dyDescent="0.3">
      <c r="A132" s="57" t="s">
        <v>78</v>
      </c>
      <c r="B132" s="12">
        <v>9</v>
      </c>
      <c r="C132" s="31" t="str">
        <f>HYPERLINK("\\Elam-pliki\firmowe\BUDIMEX\Projekty\DANWOOD 2017\DE\04 Kwiecień\09 Schneider Egor 10086","Schneider Egor")</f>
        <v>Schneider Egor</v>
      </c>
      <c r="D132" s="12">
        <v>10086</v>
      </c>
      <c r="E132" s="17"/>
      <c r="F132" s="17" t="s">
        <v>1</v>
      </c>
      <c r="G132" s="7" t="s">
        <v>25</v>
      </c>
      <c r="H132" s="6"/>
      <c r="I132" s="14" t="s">
        <v>37</v>
      </c>
      <c r="J132" t="s">
        <v>87</v>
      </c>
      <c r="K132" s="6"/>
    </row>
    <row r="133" spans="1:11" ht="15.75" thickBot="1" x14ac:dyDescent="0.3">
      <c r="A133" s="57" t="s">
        <v>78</v>
      </c>
      <c r="B133" s="12">
        <v>10</v>
      </c>
      <c r="C133" s="31" t="str">
        <f>HYPERLINK("\\Elam-pliki\firmowe\BUDIMEX\Projekty\DANWOOD 2017\DE\04 Kwiecień\10 Karpati 9492","Karpati")</f>
        <v>Karpati</v>
      </c>
      <c r="D133" s="12">
        <v>9492</v>
      </c>
      <c r="E133" s="17" t="s">
        <v>15</v>
      </c>
      <c r="F133" s="17" t="s">
        <v>1</v>
      </c>
      <c r="G133" s="7" t="s">
        <v>19</v>
      </c>
      <c r="H133" s="6"/>
      <c r="I133" s="14" t="s">
        <v>42</v>
      </c>
      <c r="J133" t="s">
        <v>87</v>
      </c>
      <c r="K133" s="6"/>
    </row>
    <row r="134" spans="1:11" ht="15.75" thickBot="1" x14ac:dyDescent="0.3">
      <c r="A134" s="57" t="s">
        <v>78</v>
      </c>
      <c r="B134" s="12">
        <v>11</v>
      </c>
      <c r="C134" s="31" t="str">
        <f>HYPERLINK("\\Elam-pliki\firmowe\BUDIMEX\Projekty\DANWOOD 2017\DE\04 Kwiecień\11 Wiedersich 9777","Wiedersich")</f>
        <v>Wiedersich</v>
      </c>
      <c r="D134" s="12">
        <v>9777</v>
      </c>
      <c r="E134" s="17" t="s">
        <v>43</v>
      </c>
      <c r="F134" s="17" t="s">
        <v>1</v>
      </c>
      <c r="G134" s="7" t="s">
        <v>17</v>
      </c>
      <c r="H134" s="6"/>
      <c r="I134" s="14" t="s">
        <v>42</v>
      </c>
      <c r="J134" t="s">
        <v>92</v>
      </c>
      <c r="K134" s="6"/>
    </row>
    <row r="135" spans="1:11" ht="15.75" thickBot="1" x14ac:dyDescent="0.3">
      <c r="A135" s="57" t="s">
        <v>78</v>
      </c>
      <c r="B135" s="12">
        <v>12</v>
      </c>
      <c r="C135" s="31" t="str">
        <f>HYPERLINK("\\Elam-pliki\firmowe\BUDIMEX\Projekty\DANWOOD 2017\DE\04 Kwiecień\12 Wenzel Norbert 9884","Wenzel Norbert")</f>
        <v>Wenzel Norbert</v>
      </c>
      <c r="D135" s="12">
        <v>9884</v>
      </c>
      <c r="E135" s="17"/>
      <c r="F135" s="17" t="s">
        <v>1</v>
      </c>
      <c r="G135" s="7" t="s">
        <v>35</v>
      </c>
      <c r="H135" s="6"/>
      <c r="I135" s="14" t="s">
        <v>39</v>
      </c>
      <c r="J135" t="s">
        <v>87</v>
      </c>
      <c r="K135" s="6"/>
    </row>
    <row r="136" spans="1:11" ht="15.75" thickBot="1" x14ac:dyDescent="0.3">
      <c r="A136" s="57" t="s">
        <v>78</v>
      </c>
      <c r="B136" s="12">
        <v>13</v>
      </c>
      <c r="C136" s="31" t="str">
        <f>HYPERLINK("\\Elam-pliki\firmowe\BUDIMEX\Projekty\DANWOOD 2017\DE\04 Kwiecień\13 Müller Karl 9533","Müller Karl")</f>
        <v>Müller Karl</v>
      </c>
      <c r="D136" s="12">
        <v>9533</v>
      </c>
      <c r="E136" s="17"/>
      <c r="F136" s="17" t="s">
        <v>1</v>
      </c>
      <c r="G136" s="7" t="s">
        <v>36</v>
      </c>
      <c r="H136" s="6"/>
      <c r="I136" s="14" t="s">
        <v>42</v>
      </c>
      <c r="J136" t="s">
        <v>87</v>
      </c>
      <c r="K136" s="6"/>
    </row>
    <row r="137" spans="1:11" ht="15.75" thickBot="1" x14ac:dyDescent="0.3">
      <c r="A137" s="57" t="s">
        <v>78</v>
      </c>
      <c r="B137" s="12">
        <v>14</v>
      </c>
      <c r="C137" s="31" t="str">
        <f>HYPERLINK("\\Elam-pliki\firmowe\BUDIMEX\Projekty\DANWOOD 2017\DE\04 Kwiecień\14 Siegel Kniesch 9998","Siegel Kniesch")</f>
        <v>Siegel Kniesch</v>
      </c>
      <c r="D137" s="12">
        <v>9998</v>
      </c>
      <c r="E137" s="17"/>
      <c r="F137" s="17" t="s">
        <v>1</v>
      </c>
      <c r="G137" s="7" t="s">
        <v>36</v>
      </c>
      <c r="H137" s="6"/>
      <c r="I137" s="14" t="s">
        <v>39</v>
      </c>
      <c r="J137" t="s">
        <v>92</v>
      </c>
      <c r="K137" s="6"/>
    </row>
    <row r="138" spans="1:11" ht="15.75" thickBot="1" x14ac:dyDescent="0.3">
      <c r="A138" s="57" t="s">
        <v>78</v>
      </c>
      <c r="B138" s="12">
        <v>15</v>
      </c>
      <c r="C138" s="31" t="str">
        <f>HYPERLINK("\\Elam-pliki\firmowe\BUDIMEX\Projekty\DANWOOD 2017\DE\04 Kwiecień\15 Merkel 10423","Merkel")</f>
        <v>Merkel</v>
      </c>
      <c r="D138" s="12">
        <v>10423</v>
      </c>
      <c r="E138" s="17"/>
      <c r="F138" s="17" t="s">
        <v>1</v>
      </c>
      <c r="G138" s="7" t="s">
        <v>8</v>
      </c>
      <c r="H138" s="6"/>
      <c r="I138" s="14" t="s">
        <v>42</v>
      </c>
      <c r="J138" t="s">
        <v>87</v>
      </c>
      <c r="K138" s="6"/>
    </row>
    <row r="139" spans="1:11" ht="15.75" thickBot="1" x14ac:dyDescent="0.3">
      <c r="A139" s="57" t="s">
        <v>78</v>
      </c>
      <c r="B139" s="12">
        <v>16</v>
      </c>
      <c r="C139" s="31" t="str">
        <f>HYPERLINK("\\Elam-pliki\firmowe\BUDIMEX\PROJEKTY\DANWOOD 2017\DE\04 Kwiecień\16 Lojewski 9848","Lojewski")</f>
        <v>Lojewski</v>
      </c>
      <c r="D139" s="12">
        <v>9848</v>
      </c>
      <c r="E139" s="17" t="s">
        <v>43</v>
      </c>
      <c r="F139" s="17" t="s">
        <v>1</v>
      </c>
      <c r="G139" s="7" t="s">
        <v>27</v>
      </c>
      <c r="H139" s="6"/>
      <c r="I139" s="14" t="s">
        <v>42</v>
      </c>
      <c r="J139" t="s">
        <v>87</v>
      </c>
      <c r="K139" s="6"/>
    </row>
    <row r="140" spans="1:11" ht="15.75" thickBot="1" x14ac:dyDescent="0.3">
      <c r="A140" s="57" t="s">
        <v>78</v>
      </c>
      <c r="B140" s="12">
        <v>17</v>
      </c>
      <c r="C140" s="31" t="str">
        <f>HYPERLINK("\\Elam-pliki\firmowe\BUDIMEX\PROJEKTY\DANWOOD 2017\DE\04 Kwiecień\17 Linzmaier Markus 9250","Linzmaier Markus")</f>
        <v>Linzmaier Markus</v>
      </c>
      <c r="D140" s="12">
        <v>9250</v>
      </c>
      <c r="E140" s="17"/>
      <c r="F140" s="17" t="s">
        <v>1</v>
      </c>
      <c r="G140" s="7" t="s">
        <v>35</v>
      </c>
      <c r="H140" s="6"/>
      <c r="I140" s="14" t="s">
        <v>37</v>
      </c>
      <c r="J140" t="s">
        <v>107</v>
      </c>
      <c r="K140" s="6"/>
    </row>
    <row r="141" spans="1:11" ht="15.75" thickBot="1" x14ac:dyDescent="0.3">
      <c r="A141" s="57" t="s">
        <v>78</v>
      </c>
      <c r="B141" s="12">
        <v>18</v>
      </c>
      <c r="C141" s="31" t="str">
        <f>HYPERLINK("\\Elam-pliki\firmowe\BUDIMEX\PROJEKTY\DANWOOD 2017\DE\04 Kwiecień\18 Bauer 10136","Bauer")</f>
        <v>Bauer</v>
      </c>
      <c r="D141" s="12">
        <v>10136</v>
      </c>
      <c r="E141" s="17"/>
      <c r="F141" s="17" t="s">
        <v>1</v>
      </c>
      <c r="G141" s="7" t="s">
        <v>8</v>
      </c>
      <c r="H141" s="6"/>
      <c r="I141" s="14" t="s">
        <v>42</v>
      </c>
      <c r="J141" t="s">
        <v>87</v>
      </c>
      <c r="K141" s="6"/>
    </row>
    <row r="142" spans="1:11" ht="15.75" thickBot="1" x14ac:dyDescent="0.3">
      <c r="A142" s="57" t="s">
        <v>78</v>
      </c>
      <c r="B142" s="12">
        <v>19</v>
      </c>
      <c r="C142" s="31" t="str">
        <f>HYPERLINK("\\Elam-pliki\firmowe\BUDIMEX\PROJEKTY\DANWOOD 2017\DE\04 Kwiecień\19 König Martin 9559","König Martin")</f>
        <v>König Martin</v>
      </c>
      <c r="D142" s="12">
        <v>9559</v>
      </c>
      <c r="E142" s="17"/>
      <c r="F142" s="17" t="s">
        <v>1</v>
      </c>
      <c r="G142" s="7" t="s">
        <v>13</v>
      </c>
      <c r="H142" s="6"/>
      <c r="I142" s="14" t="s">
        <v>42</v>
      </c>
      <c r="J142" t="s">
        <v>87</v>
      </c>
      <c r="K142" s="6"/>
    </row>
    <row r="143" spans="1:11" ht="15.75" thickBot="1" x14ac:dyDescent="0.3">
      <c r="A143" s="57" t="s">
        <v>78</v>
      </c>
      <c r="B143" s="26">
        <v>20</v>
      </c>
      <c r="C143" s="35" t="str">
        <f>HYPERLINK("\\Elam-pliki\firmowe\BUDIMEX\PROJEKTY\DANWOOD 2017\DE\04 Kwiecień\20 Stevenson 9030","Stevenson")</f>
        <v>Stevenson</v>
      </c>
      <c r="D143" s="26">
        <v>9030</v>
      </c>
      <c r="E143" s="27" t="s">
        <v>5</v>
      </c>
      <c r="F143" s="28" t="s">
        <v>4</v>
      </c>
      <c r="G143" s="7" t="s">
        <v>32</v>
      </c>
      <c r="H143" s="6" t="s">
        <v>0</v>
      </c>
      <c r="I143" s="14" t="s">
        <v>42</v>
      </c>
      <c r="J143" t="s">
        <v>87</v>
      </c>
      <c r="K143" s="25" t="s">
        <v>6</v>
      </c>
    </row>
    <row r="144" spans="1:11" ht="15.75" thickBot="1" x14ac:dyDescent="0.3">
      <c r="A144" s="57" t="s">
        <v>78</v>
      </c>
      <c r="B144" s="12">
        <v>21</v>
      </c>
      <c r="C144" s="31" t="str">
        <f>HYPERLINK("\\Elam-pliki\firmowe\BUDIMEX\PROJEKTY\DANWOOD 2017\DE\04 Kwiecień\21 Ewert N&amp;U","Ewert N&amp;U")</f>
        <v>Ewert N&amp;U</v>
      </c>
      <c r="D144" s="12">
        <v>9548</v>
      </c>
      <c r="E144" s="17"/>
      <c r="F144" s="17" t="s">
        <v>1</v>
      </c>
      <c r="G144" s="7" t="s">
        <v>45</v>
      </c>
      <c r="H144" s="6"/>
      <c r="I144" s="14" t="s">
        <v>39</v>
      </c>
      <c r="J144" t="s">
        <v>87</v>
      </c>
      <c r="K144" s="6"/>
    </row>
    <row r="145" spans="1:11" ht="15.75" thickBot="1" x14ac:dyDescent="0.3">
      <c r="A145" s="57" t="s">
        <v>78</v>
      </c>
      <c r="B145" s="26">
        <v>22</v>
      </c>
      <c r="C145" s="35" t="str">
        <f>HYPERLINK("\\Elam-pliki\firmowe\BUDIMEX\PROJEKTY\DANWOOD 2017\DE\04 Kwiecień\22 West 9790","West")</f>
        <v>West</v>
      </c>
      <c r="D145" s="26">
        <v>9790</v>
      </c>
      <c r="E145" s="28" t="s">
        <v>15</v>
      </c>
      <c r="F145" s="28" t="s">
        <v>4</v>
      </c>
      <c r="G145" s="7" t="s">
        <v>30</v>
      </c>
      <c r="H145" s="6"/>
      <c r="I145" s="14" t="s">
        <v>42</v>
      </c>
      <c r="J145" t="s">
        <v>87</v>
      </c>
      <c r="K145" s="6"/>
    </row>
    <row r="146" spans="1:11" ht="15.75" thickBot="1" x14ac:dyDescent="0.3">
      <c r="A146" s="57" t="s">
        <v>78</v>
      </c>
      <c r="B146" s="12">
        <v>23</v>
      </c>
      <c r="C146" s="31" t="str">
        <f>HYPERLINK("\\Elam-pliki\firmowe\BUDIMEX\PROJEKTY\DANWOOD 2017\DE\04 Kwiecień\23 Nägele 10381","Nägele")</f>
        <v>Nägele</v>
      </c>
      <c r="D146" s="12">
        <v>10381</v>
      </c>
      <c r="E146" s="17"/>
      <c r="F146" s="17" t="s">
        <v>1</v>
      </c>
      <c r="G146" s="7" t="s">
        <v>24</v>
      </c>
      <c r="H146" s="6"/>
      <c r="I146" s="14" t="s">
        <v>42</v>
      </c>
      <c r="J146" t="s">
        <v>87</v>
      </c>
      <c r="K146" s="6"/>
    </row>
    <row r="147" spans="1:11" ht="15.75" thickBot="1" x14ac:dyDescent="0.3">
      <c r="A147" s="57" t="s">
        <v>78</v>
      </c>
      <c r="B147" s="12">
        <v>24</v>
      </c>
      <c r="C147" s="31" t="str">
        <f>HYPERLINK("\\Elam-pliki\firmowe\BUDIMEX\PROJEKTY\DANWOOD 2017\DE\04 Kwiecień\24 Coarfa 10117","Coarfa")</f>
        <v>Coarfa</v>
      </c>
      <c r="D147" s="12">
        <v>10117</v>
      </c>
      <c r="E147" s="17" t="s">
        <v>28</v>
      </c>
      <c r="F147" s="17" t="s">
        <v>1</v>
      </c>
      <c r="G147" s="7" t="s">
        <v>12</v>
      </c>
      <c r="H147" s="6"/>
      <c r="I147" s="14" t="s">
        <v>41</v>
      </c>
      <c r="J147" t="s">
        <v>87</v>
      </c>
      <c r="K147" s="6"/>
    </row>
    <row r="148" spans="1:11" ht="15.75" thickBot="1" x14ac:dyDescent="0.3">
      <c r="A148" s="57" t="s">
        <v>78</v>
      </c>
      <c r="B148" s="12">
        <v>25</v>
      </c>
      <c r="C148" s="31" t="str">
        <f>HYPERLINK("\\Elam-pliki\firmowe\BUDIMEX\PROJEKTY\DANWOOD 2017\DE\04 Kwiecień\25 Nagle 9963","Nagle")</f>
        <v>Nagle</v>
      </c>
      <c r="D148" s="12">
        <v>9963</v>
      </c>
      <c r="E148" s="17" t="s">
        <v>15</v>
      </c>
      <c r="F148" s="17" t="s">
        <v>1</v>
      </c>
      <c r="G148" s="7" t="s">
        <v>24</v>
      </c>
      <c r="H148" s="6"/>
      <c r="I148" s="14" t="s">
        <v>39</v>
      </c>
      <c r="J148" t="s">
        <v>87</v>
      </c>
      <c r="K148" s="6"/>
    </row>
    <row r="149" spans="1:11" ht="15.75" thickBot="1" x14ac:dyDescent="0.3">
      <c r="A149" s="57" t="s">
        <v>78</v>
      </c>
      <c r="B149" s="12">
        <v>26</v>
      </c>
      <c r="C149" s="31" t="str">
        <f>HYPERLINK("\\Elam-pliki\firmowe\BUDIMEX\PROJEKTY\DANWOOD 2017\DE\04 Kwiecień\26 Richter 10458","Richter")</f>
        <v>Richter</v>
      </c>
      <c r="D149" s="12">
        <v>10458</v>
      </c>
      <c r="E149" s="17"/>
      <c r="F149" s="17" t="s">
        <v>1</v>
      </c>
      <c r="G149" s="7" t="s">
        <v>8</v>
      </c>
      <c r="H149" s="6"/>
      <c r="I149" s="14" t="s">
        <v>37</v>
      </c>
      <c r="J149" t="s">
        <v>87</v>
      </c>
      <c r="K149" s="6"/>
    </row>
    <row r="150" spans="1:11" ht="15.75" thickBot="1" x14ac:dyDescent="0.3">
      <c r="A150" s="57" t="s">
        <v>78</v>
      </c>
      <c r="B150" s="12">
        <v>27</v>
      </c>
      <c r="C150" s="31" t="str">
        <f>HYPERLINK("\\Elam-pliki\firmowe\BUDIMEX\PROJEKTY\DANWOOD 2017\DE\04 Kwiecień\27 Och 10105","Och")</f>
        <v>Och</v>
      </c>
      <c r="D150" s="12">
        <v>10105</v>
      </c>
      <c r="E150" s="17"/>
      <c r="F150" s="17" t="s">
        <v>1</v>
      </c>
      <c r="G150" s="7" t="s">
        <v>35</v>
      </c>
      <c r="H150" s="6"/>
      <c r="I150" s="14" t="s">
        <v>39</v>
      </c>
      <c r="J150" t="s">
        <v>87</v>
      </c>
      <c r="K150" s="6"/>
    </row>
    <row r="151" spans="1:11" ht="15.75" thickBot="1" x14ac:dyDescent="0.3">
      <c r="A151" s="57" t="s">
        <v>78</v>
      </c>
      <c r="B151" s="12">
        <v>28</v>
      </c>
      <c r="C151" s="31" t="str">
        <f>HYPERLINK("\\Elam-pliki\firmowe\BUDIMEX\PROJEKTY\DANWOOD 2017\DE\04 Kwiecień\28 Hehde 9441","Hehde")</f>
        <v>Hehde</v>
      </c>
      <c r="D151" s="12">
        <v>9441</v>
      </c>
      <c r="E151" s="17"/>
      <c r="F151" s="17" t="s">
        <v>1</v>
      </c>
      <c r="G151" s="7" t="s">
        <v>27</v>
      </c>
      <c r="H151" s="6"/>
      <c r="I151" s="14" t="s">
        <v>37</v>
      </c>
      <c r="J151" t="s">
        <v>87</v>
      </c>
      <c r="K151" s="6"/>
    </row>
    <row r="152" spans="1:11" ht="15.75" thickBot="1" x14ac:dyDescent="0.3">
      <c r="A152" s="57" t="s">
        <v>78</v>
      </c>
      <c r="B152" s="12">
        <v>29</v>
      </c>
      <c r="C152" s="31" t="str">
        <f>HYPERLINK("\\Elam-pliki\firmowe\BUDIMEX\Projekty\DANWOOD 2017\DE\04 Kwiecień\29 Neumann Wolfgang 9822","Neumann Wolfgang")</f>
        <v>Neumann Wolfgang</v>
      </c>
      <c r="D152" s="12">
        <v>9822</v>
      </c>
      <c r="E152" s="17" t="s">
        <v>15</v>
      </c>
      <c r="F152" s="17" t="s">
        <v>1</v>
      </c>
      <c r="G152" s="7" t="s">
        <v>16</v>
      </c>
      <c r="H152" s="6"/>
      <c r="I152" s="14" t="s">
        <v>42</v>
      </c>
      <c r="J152" t="s">
        <v>87</v>
      </c>
      <c r="K152" s="6"/>
    </row>
    <row r="153" spans="1:11" ht="15.75" thickBot="1" x14ac:dyDescent="0.3">
      <c r="A153" s="57" t="s">
        <v>78</v>
      </c>
      <c r="B153" s="12">
        <v>30</v>
      </c>
      <c r="C153" s="31" t="str">
        <f>HYPERLINK("\\Elam-pliki\firmowe\BUDIMEX\Projekty\DANWOOD 2017\DE\04 Kwiecień\30 Jantzen 10394","Jantzen")</f>
        <v>Jantzen</v>
      </c>
      <c r="D153" s="12">
        <v>10394</v>
      </c>
      <c r="E153" s="17"/>
      <c r="F153" s="17" t="s">
        <v>1</v>
      </c>
      <c r="G153" s="7" t="s">
        <v>35</v>
      </c>
      <c r="H153" s="6"/>
      <c r="I153" s="14" t="s">
        <v>41</v>
      </c>
      <c r="J153" t="s">
        <v>87</v>
      </c>
      <c r="K153" s="6"/>
    </row>
    <row r="154" spans="1:11" ht="15.75" thickBot="1" x14ac:dyDescent="0.3">
      <c r="A154" s="57" t="s">
        <v>78</v>
      </c>
      <c r="B154" s="12">
        <v>31</v>
      </c>
      <c r="C154" s="31" t="str">
        <f>HYPERLINK("\\Elam-pliki\firmowe\BUDIMEX\PROJEKTY\DANWOOD 2017\DE\04 Kwiecień\31 Klettenheimer 10028","Klettenheimer")</f>
        <v>Klettenheimer</v>
      </c>
      <c r="D154" s="12">
        <v>10028</v>
      </c>
      <c r="E154" s="17" t="s">
        <v>15</v>
      </c>
      <c r="F154" s="17" t="s">
        <v>1</v>
      </c>
      <c r="G154" s="7" t="s">
        <v>20</v>
      </c>
      <c r="H154" s="6"/>
      <c r="I154" s="14" t="s">
        <v>41</v>
      </c>
      <c r="J154" t="s">
        <v>87</v>
      </c>
      <c r="K154" s="6"/>
    </row>
    <row r="155" spans="1:11" ht="15.75" thickBot="1" x14ac:dyDescent="0.3">
      <c r="A155" s="57" t="s">
        <v>78</v>
      </c>
      <c r="B155" s="12">
        <v>32</v>
      </c>
      <c r="C155" s="31" t="str">
        <f>HYPERLINK("\\Elam-pliki\firmowe\BUDIMEX\PROJEKTY\DANWOOD 2017\DE\04 Kwiecień\32 Eisenknappl 10449","Eisenknappl")</f>
        <v>Eisenknappl</v>
      </c>
      <c r="D155" s="12">
        <v>10449</v>
      </c>
      <c r="E155" s="17"/>
      <c r="F155" s="17" t="s">
        <v>1</v>
      </c>
      <c r="G155" s="7" t="s">
        <v>11</v>
      </c>
      <c r="H155" s="6"/>
      <c r="I155" s="14" t="s">
        <v>42</v>
      </c>
      <c r="J155" t="s">
        <v>87</v>
      </c>
      <c r="K155" s="6"/>
    </row>
    <row r="156" spans="1:11" ht="15.75" thickBot="1" x14ac:dyDescent="0.3">
      <c r="A156" s="57" t="s">
        <v>78</v>
      </c>
      <c r="B156" s="12">
        <v>33</v>
      </c>
      <c r="C156" s="31" t="str">
        <f>HYPERLINK("\\Elam-pliki\firmowe\BUDIMEX\PROJEKTY\DANWOOD 2017\DE\04 Kwiecień\33 Leichtfuss 10230","Leichtfuss")</f>
        <v>Leichtfuss</v>
      </c>
      <c r="D156" s="12">
        <v>10230</v>
      </c>
      <c r="E156" s="17"/>
      <c r="F156" s="17" t="s">
        <v>1</v>
      </c>
      <c r="G156" s="7" t="s">
        <v>11</v>
      </c>
      <c r="H156" s="6"/>
      <c r="I156" s="14" t="s">
        <v>42</v>
      </c>
      <c r="J156" t="s">
        <v>87</v>
      </c>
      <c r="K156" s="6"/>
    </row>
    <row r="157" spans="1:11" ht="15.75" thickBot="1" x14ac:dyDescent="0.3">
      <c r="A157" s="57" t="s">
        <v>78</v>
      </c>
      <c r="B157" s="12">
        <v>34</v>
      </c>
      <c r="C157" s="31" t="str">
        <f>HYPERLINK("\\Elam-pliki\firmowe\BUDIMEX\PROJEKTY\DANWOOD 2017\DE\04 Kwiecień\34 Karabasevic 10645","Karabasevic")</f>
        <v>Karabasevic</v>
      </c>
      <c r="D157" s="12">
        <v>10645</v>
      </c>
      <c r="E157" s="17" t="s">
        <v>49</v>
      </c>
      <c r="F157" s="17" t="s">
        <v>1</v>
      </c>
      <c r="G157" s="7" t="s">
        <v>7</v>
      </c>
      <c r="H157" s="6"/>
      <c r="I157" s="14" t="s">
        <v>37</v>
      </c>
      <c r="J157" t="s">
        <v>87</v>
      </c>
      <c r="K157" s="6"/>
    </row>
    <row r="158" spans="1:11" ht="15.75" thickBot="1" x14ac:dyDescent="0.3">
      <c r="A158" s="57" t="s">
        <v>78</v>
      </c>
      <c r="B158" s="12">
        <v>35</v>
      </c>
      <c r="C158" s="31" t="str">
        <f>HYPERLINK("\\Elam-pliki\firmowe\BUDIMEX\PROJEKTY\DANWOOD 2017\DE\04 Kwiecień\35 Rychlik 8975","Rychlik")</f>
        <v>Rychlik</v>
      </c>
      <c r="D158" s="12">
        <v>8975</v>
      </c>
      <c r="E158" s="17" t="s">
        <v>29</v>
      </c>
      <c r="F158" s="17" t="s">
        <v>1</v>
      </c>
      <c r="G158" s="7" t="s">
        <v>25</v>
      </c>
      <c r="H158" s="6"/>
      <c r="I158" s="14" t="s">
        <v>41</v>
      </c>
      <c r="J158" t="s">
        <v>87</v>
      </c>
      <c r="K158" s="6"/>
    </row>
    <row r="159" spans="1:11" ht="15.75" thickBot="1" x14ac:dyDescent="0.3">
      <c r="A159" s="57" t="s">
        <v>78</v>
      </c>
      <c r="B159" s="12">
        <v>36</v>
      </c>
      <c r="C159" s="31" t="str">
        <f>HYPERLINK("\\Elam-pliki\firmowe\BUDIMEX\PROJEKTY\DANWOOD 2017\DE\04 Kwiecień\36 Denscheilmann 9742","Denscheilmann")</f>
        <v>Denscheilmann</v>
      </c>
      <c r="D159" s="12">
        <v>9742</v>
      </c>
      <c r="E159" s="17" t="s">
        <v>15</v>
      </c>
      <c r="F159" s="17" t="s">
        <v>1</v>
      </c>
      <c r="G159" s="7" t="s">
        <v>36</v>
      </c>
      <c r="H159" s="6"/>
      <c r="I159" s="14" t="s">
        <v>41</v>
      </c>
      <c r="J159" t="s">
        <v>87</v>
      </c>
      <c r="K159" s="6"/>
    </row>
    <row r="160" spans="1:11" ht="15.75" thickBot="1" x14ac:dyDescent="0.3">
      <c r="A160" s="57" t="s">
        <v>78</v>
      </c>
      <c r="B160" s="12">
        <v>37</v>
      </c>
      <c r="C160" s="31" t="str">
        <f>HYPERLINK("\\Elam-pliki\firmowe\BUDIMEX\PROJEKTY\DANWOOD 2017\DE\04 Kwiecień\37 Lommatzsch 8974","Lommatzsch")</f>
        <v>Lommatzsch</v>
      </c>
      <c r="D160" s="12">
        <v>8974</v>
      </c>
      <c r="E160" s="17" t="s">
        <v>15</v>
      </c>
      <c r="F160" s="17" t="s">
        <v>1</v>
      </c>
      <c r="G160" s="7" t="s">
        <v>24</v>
      </c>
      <c r="H160" s="6"/>
      <c r="I160" s="14" t="s">
        <v>42</v>
      </c>
      <c r="J160" t="s">
        <v>87</v>
      </c>
      <c r="K160" s="6"/>
    </row>
    <row r="161" spans="1:11" ht="15.75" thickBot="1" x14ac:dyDescent="0.3">
      <c r="A161" s="57" t="s">
        <v>78</v>
      </c>
      <c r="B161" s="12">
        <v>38</v>
      </c>
      <c r="C161" s="31" t="str">
        <f>HYPERLINK("\\Elam-pliki\firmowe\BUDIMEX\PROJEKTY\DANWOOD 2017\DE\04 Kwiecień\38 De Kuchta 9980","De Kuchta")</f>
        <v>De Kuchta</v>
      </c>
      <c r="D161" s="12">
        <v>9980</v>
      </c>
      <c r="E161" s="17"/>
      <c r="F161" s="17" t="s">
        <v>1</v>
      </c>
      <c r="G161" s="7" t="s">
        <v>8</v>
      </c>
      <c r="H161" s="6"/>
      <c r="I161" s="14" t="s">
        <v>39</v>
      </c>
      <c r="J161" t="s">
        <v>87</v>
      </c>
      <c r="K161" s="6"/>
    </row>
    <row r="162" spans="1:11" ht="15.75" thickBot="1" x14ac:dyDescent="0.3">
      <c r="A162" s="57" t="s">
        <v>78</v>
      </c>
      <c r="B162" s="12">
        <v>39</v>
      </c>
      <c r="C162" s="31" t="str">
        <f>HYPERLINK("\\Elam-pliki\firmowe\BUDIMEX\Projekty\DANWOOD 2017\DE\04 Kwiecień\39 Hummer 10462","Hummer")</f>
        <v>Hummer</v>
      </c>
      <c r="D162" s="12">
        <v>10462</v>
      </c>
      <c r="E162" s="17"/>
      <c r="F162" s="17" t="s">
        <v>1</v>
      </c>
      <c r="G162" s="7" t="s">
        <v>8</v>
      </c>
      <c r="H162" s="6"/>
      <c r="I162" s="14" t="s">
        <v>41</v>
      </c>
      <c r="J162" t="s">
        <v>87</v>
      </c>
      <c r="K162" s="6"/>
    </row>
    <row r="163" spans="1:11" ht="15.75" thickBot="1" x14ac:dyDescent="0.3">
      <c r="A163" s="57" t="s">
        <v>78</v>
      </c>
      <c r="B163" s="12">
        <v>40</v>
      </c>
      <c r="C163" s="31" t="str">
        <f>HYPERLINK("\\Elam-pliki\firmowe\BUDIMEX\Projekty\DANWOOD 2017\DE\04 Kwiecień\40 Juby 7216","Juby")</f>
        <v>Juby</v>
      </c>
      <c r="D163" s="12">
        <v>7216</v>
      </c>
      <c r="E163" s="23" t="s">
        <v>5</v>
      </c>
      <c r="F163" s="17" t="s">
        <v>1</v>
      </c>
      <c r="G163" s="7" t="s">
        <v>32</v>
      </c>
      <c r="H163" s="6" t="s">
        <v>0</v>
      </c>
      <c r="I163" s="14" t="s">
        <v>42</v>
      </c>
      <c r="J163" t="s">
        <v>87</v>
      </c>
      <c r="K163" s="25" t="s">
        <v>6</v>
      </c>
    </row>
    <row r="164" spans="1:11" ht="15.75" thickBot="1" x14ac:dyDescent="0.3">
      <c r="A164" s="57" t="s">
        <v>78</v>
      </c>
      <c r="B164" s="12">
        <v>41</v>
      </c>
      <c r="C164" s="31" t="str">
        <f>HYPERLINK("\\Elam-pliki\firmowe\BUDIMEX\Projekty\DANWOOD 2017\DE\04 Kwiecień\41 Nessensohn 10103","Nessensohn")</f>
        <v>Nessensohn</v>
      </c>
      <c r="D164" s="12">
        <v>10103</v>
      </c>
      <c r="E164" s="17" t="s">
        <v>15</v>
      </c>
      <c r="F164" s="17" t="s">
        <v>1</v>
      </c>
      <c r="G164" s="7" t="s">
        <v>24</v>
      </c>
      <c r="H164" s="6"/>
      <c r="I164" s="14" t="s">
        <v>42</v>
      </c>
      <c r="J164" t="s">
        <v>87</v>
      </c>
      <c r="K164" s="6"/>
    </row>
    <row r="165" spans="1:11" ht="15.75" thickBot="1" x14ac:dyDescent="0.3">
      <c r="A165" s="57" t="s">
        <v>78</v>
      </c>
      <c r="B165" s="12">
        <v>42</v>
      </c>
      <c r="C165" s="31" t="str">
        <f>HYPERLINK("\\Elam-pliki\firmowe\BUDIMEX\Projekty\DANWOOD 2017\DE\04 Kwiecień\42 Morgenstern Benny 9615","Morgenstern Benny")</f>
        <v>Morgenstern Benny</v>
      </c>
      <c r="D165" s="12">
        <v>9615</v>
      </c>
      <c r="E165" s="17" t="s">
        <v>28</v>
      </c>
      <c r="F165" s="17" t="s">
        <v>1</v>
      </c>
      <c r="G165" s="7" t="s">
        <v>12</v>
      </c>
      <c r="H165" s="6"/>
      <c r="I165" s="14" t="s">
        <v>39</v>
      </c>
      <c r="J165" t="s">
        <v>87</v>
      </c>
      <c r="K165" s="6"/>
    </row>
    <row r="166" spans="1:11" ht="15.75" thickBot="1" x14ac:dyDescent="0.3">
      <c r="A166" s="57" t="s">
        <v>78</v>
      </c>
      <c r="B166" s="12">
        <v>43</v>
      </c>
      <c r="C166" s="31" t="str">
        <f>HYPERLINK("\\Elam-pliki\firmowe\BUDIMEX\Projekty\DANWOOD 2017\DE\04 Kwiecień\43 Hofmann Sebastian 9586","Hofmann Sebastian")</f>
        <v>Hofmann Sebastian</v>
      </c>
      <c r="D166" s="12">
        <v>9586</v>
      </c>
      <c r="E166" s="17"/>
      <c r="F166" s="17" t="s">
        <v>1</v>
      </c>
      <c r="G166" s="7" t="s">
        <v>45</v>
      </c>
      <c r="H166" s="6"/>
      <c r="I166" s="14" t="s">
        <v>37</v>
      </c>
      <c r="J166" t="s">
        <v>87</v>
      </c>
      <c r="K166" s="6"/>
    </row>
    <row r="167" spans="1:11" ht="15.75" thickBot="1" x14ac:dyDescent="0.3">
      <c r="A167" s="57" t="s">
        <v>78</v>
      </c>
      <c r="B167" s="12">
        <v>44</v>
      </c>
      <c r="C167" s="31" t="str">
        <f>HYPERLINK("\\Elam-pliki\firmowe\BUDIMEX\Projekty\DANWOOD 2017\DE\04 Kwiecień\44 Borner 9885","Borner")</f>
        <v>Borner</v>
      </c>
      <c r="D167" s="12">
        <v>9885</v>
      </c>
      <c r="E167" s="17"/>
      <c r="F167" s="17" t="s">
        <v>1</v>
      </c>
      <c r="G167" s="7" t="s">
        <v>8</v>
      </c>
      <c r="H167" s="6"/>
      <c r="I167" s="14" t="s">
        <v>39</v>
      </c>
      <c r="J167" t="s">
        <v>87</v>
      </c>
      <c r="K167" s="6"/>
    </row>
    <row r="168" spans="1:11" ht="15.75" thickBot="1" x14ac:dyDescent="0.3">
      <c r="A168" s="57" t="s">
        <v>78</v>
      </c>
      <c r="B168" s="12">
        <v>45</v>
      </c>
      <c r="C168" s="31" t="str">
        <f>HYPERLINK("\\Elam-pliki\firmowe\BUDIMEX\Projekty\DANWOOD 2017\DE\04 Kwiecień\45 Danzer 10106","Danzer")</f>
        <v>Danzer</v>
      </c>
      <c r="D168" s="12">
        <v>10106</v>
      </c>
      <c r="E168" s="17"/>
      <c r="F168" s="17" t="s">
        <v>1</v>
      </c>
      <c r="G168" s="7" t="s">
        <v>35</v>
      </c>
      <c r="H168" s="6"/>
      <c r="I168" s="14" t="s">
        <v>42</v>
      </c>
      <c r="J168" t="s">
        <v>87</v>
      </c>
      <c r="K168" s="6"/>
    </row>
    <row r="169" spans="1:11" ht="15.75" thickBot="1" x14ac:dyDescent="0.3">
      <c r="A169" s="57" t="s">
        <v>78</v>
      </c>
      <c r="B169" s="12">
        <v>46</v>
      </c>
      <c r="C169" s="31" t="str">
        <f>HYPERLINK("\\Elam-pliki\firmowe\BUDIMEX\Projekty\DANWOOD 2017\DE\04 Kwiecień\46 Griesch 9655","Griesch")</f>
        <v>Griesch</v>
      </c>
      <c r="D169" s="12">
        <v>9655</v>
      </c>
      <c r="E169" s="17"/>
      <c r="F169" s="17" t="s">
        <v>1</v>
      </c>
      <c r="G169" s="7" t="s">
        <v>48</v>
      </c>
      <c r="H169" s="6"/>
      <c r="I169" s="14" t="s">
        <v>37</v>
      </c>
      <c r="J169" t="s">
        <v>87</v>
      </c>
      <c r="K169" s="6"/>
    </row>
    <row r="170" spans="1:11" ht="15.75" thickBot="1" x14ac:dyDescent="0.3">
      <c r="A170" s="57" t="s">
        <v>78</v>
      </c>
      <c r="B170" s="12">
        <v>47</v>
      </c>
      <c r="C170" s="31" t="str">
        <f>HYPERLINK("\\Elam-pliki\firmowe\BUDIMEX\Projekty\DANWOOD 2017\DE\04 Kwiecień\47 Schmidt 10293","Schmidt")</f>
        <v>Schmidt</v>
      </c>
      <c r="D170" s="12">
        <v>10293</v>
      </c>
      <c r="E170" s="17"/>
      <c r="F170" s="17" t="s">
        <v>1</v>
      </c>
      <c r="G170" s="7" t="s">
        <v>8</v>
      </c>
      <c r="H170" s="6"/>
      <c r="I170" s="14" t="s">
        <v>37</v>
      </c>
      <c r="J170" t="s">
        <v>87</v>
      </c>
      <c r="K170" s="6"/>
    </row>
    <row r="171" spans="1:11" ht="15.75" thickBot="1" x14ac:dyDescent="0.3">
      <c r="A171" s="57" t="s">
        <v>78</v>
      </c>
      <c r="B171" s="12">
        <v>48</v>
      </c>
      <c r="C171" s="31" t="str">
        <f>HYPERLINK("\\Elam-pliki\firmowe\BUDIMEX\Projekty\DANWOOD 2017\DE\04 Kwiecień\48 Knopp 10263","Knopp")</f>
        <v>Knopp</v>
      </c>
      <c r="D171" s="12">
        <v>10263</v>
      </c>
      <c r="E171" s="17"/>
      <c r="F171" s="17" t="s">
        <v>1</v>
      </c>
      <c r="G171" s="7" t="s">
        <v>35</v>
      </c>
      <c r="H171" s="6"/>
      <c r="I171" s="14" t="s">
        <v>39</v>
      </c>
      <c r="J171" t="s">
        <v>87</v>
      </c>
      <c r="K171" s="6"/>
    </row>
    <row r="172" spans="1:11" ht="15.75" thickBot="1" x14ac:dyDescent="0.3">
      <c r="A172" s="57" t="s">
        <v>78</v>
      </c>
      <c r="B172" s="12">
        <v>49</v>
      </c>
      <c r="C172" s="31" t="str">
        <f>HYPERLINK("\\Elam-pliki\firmowe\BUDIMEX\Projekty\DANWOOD 2017\DE\04 Kwiecień\49 Ploeckl 9055","Ploeckl")</f>
        <v>Ploeckl</v>
      </c>
      <c r="D172" s="12">
        <v>9055</v>
      </c>
      <c r="E172" s="17"/>
      <c r="F172" s="17" t="s">
        <v>1</v>
      </c>
      <c r="G172" s="7" t="s">
        <v>24</v>
      </c>
      <c r="H172" s="6"/>
      <c r="I172" s="14" t="s">
        <v>37</v>
      </c>
      <c r="J172" t="s">
        <v>87</v>
      </c>
      <c r="K172" s="6"/>
    </row>
    <row r="173" spans="1:11" ht="15.75" thickBot="1" x14ac:dyDescent="0.3">
      <c r="A173" s="57" t="s">
        <v>78</v>
      </c>
      <c r="B173" s="12">
        <v>50</v>
      </c>
      <c r="C173" s="31" t="str">
        <f>HYPERLINK("\\Elam-pliki\firmowe\BUDIMEX\Projekty\DANWOOD 2017\DE\04 Kwiecień\50 Schneidereit 10428","Schneidereit")</f>
        <v>Schneidereit</v>
      </c>
      <c r="D173" s="12">
        <v>10428</v>
      </c>
      <c r="E173" s="17"/>
      <c r="F173" s="17" t="s">
        <v>1</v>
      </c>
      <c r="G173" s="7" t="s">
        <v>35</v>
      </c>
      <c r="H173" s="6"/>
      <c r="I173" s="14" t="s">
        <v>37</v>
      </c>
      <c r="J173" t="s">
        <v>87</v>
      </c>
      <c r="K173" s="6"/>
    </row>
    <row r="174" spans="1:11" ht="15.75" thickBot="1" x14ac:dyDescent="0.3">
      <c r="A174" s="57" t="s">
        <v>78</v>
      </c>
      <c r="B174" s="12">
        <v>51</v>
      </c>
      <c r="C174" s="31" t="str">
        <f>HYPERLINK("\\Elam-pliki\firmowe\BUDIMEX\Projekty\DANWOOD 2017\DE\04 Kwiecień\51 Georgi Gerhard 10096","Georgi Gerhard")</f>
        <v>Georgi Gerhard</v>
      </c>
      <c r="D174" s="12">
        <v>10096</v>
      </c>
      <c r="E174" s="17"/>
      <c r="F174" s="17" t="s">
        <v>1</v>
      </c>
      <c r="G174" s="7" t="s">
        <v>11</v>
      </c>
      <c r="H174" s="6"/>
      <c r="I174" s="14" t="s">
        <v>37</v>
      </c>
      <c r="J174" t="s">
        <v>87</v>
      </c>
      <c r="K174" s="6"/>
    </row>
    <row r="175" spans="1:11" ht="15.75" thickBot="1" x14ac:dyDescent="0.3">
      <c r="A175" s="57" t="s">
        <v>78</v>
      </c>
      <c r="B175" s="12">
        <v>52</v>
      </c>
      <c r="C175" s="31" t="str">
        <f>HYPERLINK("\\Elam-pliki\firmowe\BUDIMEX\Projekty\DANWOOD 2017\DE\04 Kwiecień\52 Donlevy  9932","Donlevy")</f>
        <v>Donlevy</v>
      </c>
      <c r="D175" s="12">
        <v>9932</v>
      </c>
      <c r="E175" s="23" t="s">
        <v>5</v>
      </c>
      <c r="F175" s="17" t="s">
        <v>1</v>
      </c>
      <c r="G175" s="7" t="s">
        <v>38</v>
      </c>
      <c r="H175" s="6" t="s">
        <v>0</v>
      </c>
      <c r="I175" s="14" t="s">
        <v>41</v>
      </c>
      <c r="J175" t="s">
        <v>87</v>
      </c>
      <c r="K175" s="25" t="s">
        <v>6</v>
      </c>
    </row>
    <row r="176" spans="1:11" ht="15.75" thickBot="1" x14ac:dyDescent="0.3">
      <c r="A176" s="57" t="s">
        <v>78</v>
      </c>
      <c r="B176" s="12">
        <v>53</v>
      </c>
      <c r="C176" s="31" t="str">
        <f>HYPERLINK("\\Elam-pliki\firmowe\BUDIMEX\Projekty\DANWOOD 2017\DE\04 Kwiecień\53 Owczarek Katarzyna 10560","Owczarek Katarzyna")</f>
        <v>Owczarek Katarzyna</v>
      </c>
      <c r="D176" s="12">
        <v>10560</v>
      </c>
      <c r="E176" s="17"/>
      <c r="F176" s="17" t="s">
        <v>1</v>
      </c>
      <c r="G176" s="7" t="s">
        <v>48</v>
      </c>
      <c r="H176" s="6"/>
      <c r="I176" s="14" t="s">
        <v>39</v>
      </c>
      <c r="J176" t="s">
        <v>87</v>
      </c>
      <c r="K176" s="6"/>
    </row>
    <row r="177" spans="1:11" ht="15.75" thickBot="1" x14ac:dyDescent="0.3">
      <c r="A177" s="57" t="s">
        <v>78</v>
      </c>
      <c r="B177" s="12">
        <v>54</v>
      </c>
      <c r="C177" s="31" t="str">
        <f>HYPERLINK("\\Elam-pliki\firmowe\BUDIMEX\Projekty\DANWOOD 2017\DE\04 Kwiecień\54 Reimann Mälzer 9607","Reimann Mälzer")</f>
        <v>Reimann Mälzer</v>
      </c>
      <c r="D177" s="12">
        <v>9607</v>
      </c>
      <c r="E177" s="17" t="s">
        <v>28</v>
      </c>
      <c r="F177" s="17" t="s">
        <v>1</v>
      </c>
      <c r="G177" s="7" t="s">
        <v>12</v>
      </c>
      <c r="H177" s="6"/>
      <c r="I177" s="14" t="s">
        <v>42</v>
      </c>
      <c r="J177" t="s">
        <v>87</v>
      </c>
      <c r="K177" s="6"/>
    </row>
    <row r="178" spans="1:11" ht="15.75" thickBot="1" x14ac:dyDescent="0.3">
      <c r="A178" s="57" t="s">
        <v>78</v>
      </c>
      <c r="B178" s="12">
        <v>55</v>
      </c>
      <c r="C178" s="31" t="str">
        <f>HYPERLINK("\\Elam-pliki\firmowe\BUDIMEX\Projekty\DANWOOD 2017\DE\04 Kwiecień\55 Rychlik Sebastian 8976","Rychlik Sebastian")</f>
        <v>Rychlik Sebastian</v>
      </c>
      <c r="D178" s="12">
        <v>8976</v>
      </c>
      <c r="E178" s="17" t="s">
        <v>29</v>
      </c>
      <c r="F178" s="17" t="s">
        <v>1</v>
      </c>
      <c r="G178" s="7" t="s">
        <v>25</v>
      </c>
      <c r="H178" s="6"/>
      <c r="I178" s="14" t="s">
        <v>41</v>
      </c>
      <c r="J178" t="s">
        <v>87</v>
      </c>
      <c r="K178" s="6"/>
    </row>
    <row r="179" spans="1:11" ht="15.75" thickBot="1" x14ac:dyDescent="0.3">
      <c r="A179" s="57" t="s">
        <v>78</v>
      </c>
      <c r="B179" s="12">
        <v>56</v>
      </c>
      <c r="C179" s="31" t="str">
        <f>HYPERLINK("\\Elam-pliki\firmowe\BUDIMEX\Projekty\DANWOOD 2017\DE\04 Kwiecień\56 Plant 9661","Plant")</f>
        <v>Plant</v>
      </c>
      <c r="D179" s="12">
        <v>9661</v>
      </c>
      <c r="E179" s="23" t="s">
        <v>5</v>
      </c>
      <c r="F179" s="17" t="s">
        <v>1</v>
      </c>
      <c r="G179" s="7" t="s">
        <v>23</v>
      </c>
      <c r="H179" s="6" t="s">
        <v>0</v>
      </c>
      <c r="I179" s="14" t="s">
        <v>41</v>
      </c>
      <c r="J179" t="s">
        <v>87</v>
      </c>
      <c r="K179" s="25" t="s">
        <v>6</v>
      </c>
    </row>
    <row r="180" spans="1:11" ht="15.75" thickBot="1" x14ac:dyDescent="0.3">
      <c r="A180" s="57" t="s">
        <v>78</v>
      </c>
      <c r="B180" s="12">
        <v>57</v>
      </c>
      <c r="C180" s="31" t="str">
        <f>HYPERLINK("\\Elam-pliki\firmowe\BUDIMEX\Projekty\DANWOOD 2017\DE\04 Kwiecień\57 Ulbrich Robert 10292","Ulbrich Robert")</f>
        <v>Ulbrich Robert</v>
      </c>
      <c r="D180" s="12">
        <v>10292</v>
      </c>
      <c r="E180" s="17"/>
      <c r="F180" s="17" t="s">
        <v>1</v>
      </c>
      <c r="G180" s="7" t="s">
        <v>13</v>
      </c>
      <c r="H180" s="6"/>
      <c r="I180" s="14" t="s">
        <v>41</v>
      </c>
      <c r="J180" t="s">
        <v>87</v>
      </c>
      <c r="K180" s="6"/>
    </row>
    <row r="181" spans="1:11" ht="15.75" thickBot="1" x14ac:dyDescent="0.3">
      <c r="A181" s="57" t="s">
        <v>78</v>
      </c>
      <c r="B181" s="12">
        <v>58</v>
      </c>
      <c r="C181" s="31" t="str">
        <f>HYPERLINK("\\Elam-pliki\firmowe\BUDIMEX\Projekty\DANWOOD 2017\DE\04 Kwiecień\58 Manners 10277","Manners")</f>
        <v>Manners</v>
      </c>
      <c r="D181" s="12">
        <v>10277</v>
      </c>
      <c r="E181" s="23" t="s">
        <v>5</v>
      </c>
      <c r="F181" s="17" t="s">
        <v>1</v>
      </c>
      <c r="G181" s="7" t="s">
        <v>32</v>
      </c>
      <c r="H181" s="6" t="s">
        <v>0</v>
      </c>
      <c r="I181" s="14" t="s">
        <v>37</v>
      </c>
      <c r="J181" t="s">
        <v>87</v>
      </c>
      <c r="K181" s="25" t="s">
        <v>6</v>
      </c>
    </row>
    <row r="182" spans="1:11" ht="15.75" thickBot="1" x14ac:dyDescent="0.3">
      <c r="A182" s="57" t="s">
        <v>78</v>
      </c>
      <c r="B182" s="12">
        <v>59</v>
      </c>
      <c r="C182" s="31" t="str">
        <f>HYPERLINK("\\Elam-pliki\firmowe\BUDIMEX\PROJEKTY\DANWOOD 2017\DE\04 Kwiecień\59 Daff 10030","Daff")</f>
        <v>Daff</v>
      </c>
      <c r="D182" s="12">
        <v>10030</v>
      </c>
      <c r="E182" s="17"/>
      <c r="F182" s="17" t="s">
        <v>1</v>
      </c>
      <c r="G182" s="7" t="s">
        <v>27</v>
      </c>
      <c r="H182" s="6"/>
      <c r="I182" s="14" t="s">
        <v>41</v>
      </c>
      <c r="J182" t="s">
        <v>108</v>
      </c>
      <c r="K182" s="6"/>
    </row>
    <row r="183" spans="1:11" ht="15.75" thickBot="1" x14ac:dyDescent="0.3">
      <c r="A183" s="57" t="s">
        <v>78</v>
      </c>
      <c r="B183" s="12">
        <v>60</v>
      </c>
      <c r="C183" s="31" t="str">
        <f>HYPERLINK("\\Elam-pliki\firmowe\BUDIMEX\PROJEKTY\DANWOOD 2017\DE\04 Kwiecień\60 Spörlein 10202","Spörlein")</f>
        <v>Spörlein</v>
      </c>
      <c r="D183" s="12">
        <v>10202</v>
      </c>
      <c r="E183" s="17"/>
      <c r="F183" s="17" t="s">
        <v>1</v>
      </c>
      <c r="G183" s="7" t="s">
        <v>8</v>
      </c>
      <c r="H183" s="6"/>
      <c r="I183" s="14" t="s">
        <v>39</v>
      </c>
      <c r="J183" t="s">
        <v>87</v>
      </c>
      <c r="K183" s="6"/>
    </row>
    <row r="184" spans="1:11" ht="15.75" thickBot="1" x14ac:dyDescent="0.3">
      <c r="A184" s="57" t="s">
        <v>78</v>
      </c>
      <c r="B184" s="12">
        <v>61</v>
      </c>
      <c r="C184" s="31" t="str">
        <f>HYPERLINK("\\Elam-pliki\firmowe\BUDIMEX\PROJEKTY\DANWOOD 2017\DE\04 Kwiecień\61 Depaoli 9673","Depaoli")</f>
        <v>Depaoli</v>
      </c>
      <c r="D184" s="12">
        <v>9673</v>
      </c>
      <c r="E184" s="17"/>
      <c r="F184" s="17" t="s">
        <v>1</v>
      </c>
      <c r="G184" s="7" t="s">
        <v>20</v>
      </c>
      <c r="H184" s="6"/>
      <c r="I184" s="14" t="s">
        <v>42</v>
      </c>
      <c r="J184" t="s">
        <v>87</v>
      </c>
      <c r="K184" s="6"/>
    </row>
    <row r="185" spans="1:11" ht="15.75" thickBot="1" x14ac:dyDescent="0.3">
      <c r="A185" s="57" t="s">
        <v>78</v>
      </c>
      <c r="B185" s="12">
        <v>62</v>
      </c>
      <c r="C185" s="31" t="str">
        <f>HYPERLINK("\\Elam-pliki\firmowe\BUDIMEX\Projekty\DANWOOD 2017\DE\04 Kwiecień\62 Schambortzki 10003","Schambortzki")</f>
        <v>Schambortzki</v>
      </c>
      <c r="D185" s="12">
        <v>10003</v>
      </c>
      <c r="E185" s="17" t="s">
        <v>43</v>
      </c>
      <c r="F185" s="17" t="s">
        <v>1</v>
      </c>
      <c r="G185" s="7" t="s">
        <v>17</v>
      </c>
      <c r="H185" s="6"/>
      <c r="I185" s="14" t="s">
        <v>37</v>
      </c>
      <c r="J185" t="s">
        <v>87</v>
      </c>
      <c r="K185" s="6"/>
    </row>
    <row r="186" spans="1:11" ht="15.75" thickBot="1" x14ac:dyDescent="0.3">
      <c r="A186" s="57" t="s">
        <v>78</v>
      </c>
      <c r="B186" s="12">
        <v>63</v>
      </c>
      <c r="C186" s="31" t="str">
        <f>HYPERLINK("\\Elam-pliki\firmowe\BUDIMEX\Projekty\DANWOOD 2017\DE\04 Kwiecień\63 Wreschniok 9791","Wreschniok")</f>
        <v>Wreschniok</v>
      </c>
      <c r="D186" s="12">
        <v>9791</v>
      </c>
      <c r="E186" s="17"/>
      <c r="F186" s="17" t="s">
        <v>1</v>
      </c>
      <c r="G186" s="7" t="s">
        <v>8</v>
      </c>
      <c r="H186" s="6"/>
      <c r="I186" s="14" t="s">
        <v>37</v>
      </c>
      <c r="J186" t="s">
        <v>87</v>
      </c>
      <c r="K186" s="6"/>
    </row>
    <row r="187" spans="1:11" ht="15.75" thickBot="1" x14ac:dyDescent="0.3">
      <c r="A187" s="57" t="s">
        <v>78</v>
      </c>
      <c r="B187" s="12">
        <v>64</v>
      </c>
      <c r="C187" s="31" t="str">
        <f>HYPERLINK("\\Elam-pliki\firmowe\BUDIMEX\Projekty\DANWOOD 2017\DE\04 Kwiecień\64 Noga 9899","Noga")</f>
        <v>Noga</v>
      </c>
      <c r="D187" s="12">
        <v>9899</v>
      </c>
      <c r="E187" s="17"/>
      <c r="F187" s="17" t="s">
        <v>1</v>
      </c>
      <c r="G187" s="7" t="s">
        <v>8</v>
      </c>
      <c r="H187" s="6"/>
      <c r="I187" s="14" t="s">
        <v>41</v>
      </c>
      <c r="J187" t="s">
        <v>87</v>
      </c>
      <c r="K187" s="6"/>
    </row>
    <row r="188" spans="1:11" ht="15.75" thickBot="1" x14ac:dyDescent="0.3">
      <c r="A188" s="57" t="s">
        <v>78</v>
      </c>
      <c r="B188" s="19">
        <v>65</v>
      </c>
      <c r="C188" s="32" t="str">
        <f>HYPERLINK("\\Elam-pliki\firmowe\BUDIMEX\Projekty\DANWOOD 2017\DE\04 Kwiecień\65 Kasza 9913","Kasza")</f>
        <v>Kasza</v>
      </c>
      <c r="D188" s="19">
        <v>9913</v>
      </c>
      <c r="E188" s="20"/>
      <c r="F188" s="20" t="s">
        <v>1</v>
      </c>
      <c r="G188" s="9" t="s">
        <v>17</v>
      </c>
      <c r="H188" s="8"/>
      <c r="I188" s="16" t="s">
        <v>42</v>
      </c>
      <c r="J188" s="3" t="s">
        <v>87</v>
      </c>
      <c r="K188" s="8"/>
    </row>
    <row r="189" spans="1:11" ht="15" customHeight="1" thickBot="1" x14ac:dyDescent="0.3">
      <c r="A189" s="57" t="s">
        <v>79</v>
      </c>
      <c r="B189" s="12">
        <v>1</v>
      </c>
      <c r="C189" s="38" t="str">
        <f>HYPERLINK("\\Elam-pliki\firmowe\BUDIMEX\Projekty\DANWOOD 2017\DE\05 Maj\01 Riedel Dyschczyk 9985","Riedel Dyschczyk")</f>
        <v>Riedel Dyschczyk</v>
      </c>
      <c r="D189" s="12">
        <v>9985</v>
      </c>
      <c r="E189" s="17"/>
      <c r="F189" s="17" t="s">
        <v>1</v>
      </c>
      <c r="G189" s="7" t="s">
        <v>12</v>
      </c>
      <c r="H189" s="6"/>
      <c r="I189" s="14" t="s">
        <v>37</v>
      </c>
      <c r="J189" t="s">
        <v>109</v>
      </c>
      <c r="K189" s="6"/>
    </row>
    <row r="190" spans="1:11" ht="15.75" thickBot="1" x14ac:dyDescent="0.3">
      <c r="A190" s="57" t="s">
        <v>79</v>
      </c>
      <c r="B190" s="12">
        <v>2</v>
      </c>
      <c r="C190" s="31" t="str">
        <f>HYPERLINK("\\Elam-pliki\firmowe\BUDIMEX\PROJEKTY\DANWOOD 2017\DE\05 Maj\02 Frieser 10456","Frieser")</f>
        <v>Frieser</v>
      </c>
      <c r="D190" s="12">
        <v>10456</v>
      </c>
      <c r="E190" s="17"/>
      <c r="F190" s="17" t="s">
        <v>1</v>
      </c>
      <c r="G190" s="7" t="s">
        <v>35</v>
      </c>
      <c r="H190" s="6"/>
      <c r="I190" s="14" t="s">
        <v>37</v>
      </c>
      <c r="J190" t="s">
        <v>87</v>
      </c>
      <c r="K190" s="6"/>
    </row>
    <row r="191" spans="1:11" ht="15.75" thickBot="1" x14ac:dyDescent="0.3">
      <c r="A191" s="57" t="s">
        <v>79</v>
      </c>
      <c r="B191" s="12">
        <v>3</v>
      </c>
      <c r="C191" s="31" t="str">
        <f>HYPERLINK("\\Elam-pliki\firmowe\BUDIMEX\PROJEKTY\DANWOOD 2017\DE\05 Maj\03 Kessinger 9860","Kessinger")</f>
        <v>Kessinger</v>
      </c>
      <c r="D191" s="12">
        <v>9860</v>
      </c>
      <c r="E191" s="17"/>
      <c r="F191" s="17" t="s">
        <v>1</v>
      </c>
      <c r="G191" s="7" t="s">
        <v>27</v>
      </c>
      <c r="H191" s="6"/>
      <c r="I191" s="14" t="s">
        <v>39</v>
      </c>
      <c r="J191" t="s">
        <v>110</v>
      </c>
      <c r="K191" s="6"/>
    </row>
    <row r="192" spans="1:11" ht="15.75" thickBot="1" x14ac:dyDescent="0.3">
      <c r="A192" s="57" t="s">
        <v>79</v>
      </c>
      <c r="B192" s="26">
        <v>4</v>
      </c>
      <c r="C192" s="35" t="str">
        <f>HYPERLINK("\\Elam-pliki\firmowe\BUDIMEX\PROJEKTY\DANWOOD 2017\DE\05 Maj\04 Juby Sullivan 7217","Juby Sullivan")</f>
        <v>Juby Sullivan</v>
      </c>
      <c r="D192" s="26">
        <v>7217</v>
      </c>
      <c r="E192" s="27" t="s">
        <v>5</v>
      </c>
      <c r="F192" s="28" t="s">
        <v>4</v>
      </c>
      <c r="G192" s="7" t="s">
        <v>32</v>
      </c>
      <c r="H192" s="6" t="s">
        <v>0</v>
      </c>
      <c r="I192" s="14" t="s">
        <v>37</v>
      </c>
      <c r="J192" t="s">
        <v>87</v>
      </c>
      <c r="K192" s="25" t="s">
        <v>6</v>
      </c>
    </row>
    <row r="193" spans="1:11" ht="15.75" thickBot="1" x14ac:dyDescent="0.3">
      <c r="A193" s="57" t="s">
        <v>79</v>
      </c>
      <c r="B193" s="12">
        <v>5</v>
      </c>
      <c r="C193" s="31" t="str">
        <f>HYPERLINK("\\Elam-pliki\firmowe\BUDIMEX\PROJEKTY\DANWOOD 2017\DE\05 Maj\05 Kopacevic 9861","Kopacevic")</f>
        <v>Kopacevic</v>
      </c>
      <c r="D193" s="12">
        <v>9861</v>
      </c>
      <c r="E193" s="17"/>
      <c r="F193" s="17" t="s">
        <v>1</v>
      </c>
      <c r="G193" s="7" t="s">
        <v>27</v>
      </c>
      <c r="H193" s="6"/>
      <c r="I193" s="14" t="s">
        <v>37</v>
      </c>
      <c r="J193" t="s">
        <v>87</v>
      </c>
      <c r="K193" s="6"/>
    </row>
    <row r="194" spans="1:11" ht="15.75" thickBot="1" x14ac:dyDescent="0.3">
      <c r="A194" s="57" t="s">
        <v>79</v>
      </c>
      <c r="B194" s="12">
        <v>6</v>
      </c>
      <c r="C194" s="31" t="str">
        <f>HYPERLINK("\\Elam-pliki\firmowe\BUDIMEX\PROJEKTY\DANWOOD 2017\DE\05 Maj\06 Stoll 9663","Stoll")</f>
        <v>Stoll</v>
      </c>
      <c r="D194" s="12">
        <v>9663</v>
      </c>
      <c r="E194" s="17"/>
      <c r="F194" s="17" t="s">
        <v>1</v>
      </c>
      <c r="G194" s="7" t="s">
        <v>26</v>
      </c>
      <c r="H194" s="6"/>
      <c r="I194" s="14" t="s">
        <v>39</v>
      </c>
      <c r="J194" t="s">
        <v>111</v>
      </c>
      <c r="K194" s="6"/>
    </row>
    <row r="195" spans="1:11" ht="15.75" thickBot="1" x14ac:dyDescent="0.3">
      <c r="A195" s="57" t="s">
        <v>79</v>
      </c>
      <c r="B195" s="12">
        <v>7</v>
      </c>
      <c r="C195" s="31" t="str">
        <f>HYPERLINK("\\Elam-pliki\firmowe\BUDIMEX\PROJEKTY\DANWOOD 2017\DE\05 Maj\07 Feulner 10104","Feulner")</f>
        <v>Feulner</v>
      </c>
      <c r="D195" s="12">
        <v>10104</v>
      </c>
      <c r="E195" s="17"/>
      <c r="F195" s="17" t="s">
        <v>1</v>
      </c>
      <c r="G195" s="7" t="s">
        <v>35</v>
      </c>
      <c r="H195" s="6"/>
      <c r="I195" s="14" t="s">
        <v>37</v>
      </c>
      <c r="J195" t="s">
        <v>107</v>
      </c>
      <c r="K195" s="6"/>
    </row>
    <row r="196" spans="1:11" ht="15.75" thickBot="1" x14ac:dyDescent="0.3">
      <c r="A196" s="57" t="s">
        <v>79</v>
      </c>
      <c r="B196" s="12">
        <v>8</v>
      </c>
      <c r="C196" s="31" t="str">
        <f>HYPERLINK("\\Elam-pliki\firmowe\BUDIMEX\PROJEKTY\DANWOOD 2017\DE\05 Maj\08 Schmutz 9870","Schmutz")</f>
        <v>Schmutz</v>
      </c>
      <c r="D196" s="12">
        <v>9870</v>
      </c>
      <c r="E196" s="17" t="s">
        <v>15</v>
      </c>
      <c r="F196" s="17" t="s">
        <v>1</v>
      </c>
      <c r="G196" s="7" t="s">
        <v>16</v>
      </c>
      <c r="H196" s="6"/>
      <c r="I196" s="14" t="s">
        <v>42</v>
      </c>
      <c r="J196" t="s">
        <v>87</v>
      </c>
      <c r="K196" s="6"/>
    </row>
    <row r="197" spans="1:11" ht="15.75" thickBot="1" x14ac:dyDescent="0.3">
      <c r="A197" s="57" t="s">
        <v>79</v>
      </c>
      <c r="B197" s="12">
        <v>9</v>
      </c>
      <c r="C197" s="31" t="str">
        <f>HYPERLINK("\\Elam-pliki\firmowe\BUDIMEX\Projekty\DANWOOD 2017\DE\05 Maj\09 Rohrwasser 10565","Rohrwasser")</f>
        <v>Rohrwasser</v>
      </c>
      <c r="D197" s="12">
        <v>10565</v>
      </c>
      <c r="E197" s="17"/>
      <c r="F197" s="17" t="s">
        <v>1</v>
      </c>
      <c r="G197" s="7" t="s">
        <v>20</v>
      </c>
      <c r="H197" s="6"/>
      <c r="I197" s="14" t="s">
        <v>39</v>
      </c>
      <c r="J197" t="s">
        <v>87</v>
      </c>
      <c r="K197" s="6"/>
    </row>
    <row r="198" spans="1:11" ht="15.75" thickBot="1" x14ac:dyDescent="0.3">
      <c r="A198" s="57" t="s">
        <v>79</v>
      </c>
      <c r="B198" s="12">
        <v>10</v>
      </c>
      <c r="C198" s="31" t="str">
        <f>HYPERLINK("\\Elam-pliki\firmowe\BUDIMEX\Projekty\DANWOOD 2017\DE\05 Maj\10 Hauke 10569","Hauke")</f>
        <v>Hauke</v>
      </c>
      <c r="D198" s="12">
        <v>10569</v>
      </c>
      <c r="E198" s="17"/>
      <c r="F198" s="17" t="s">
        <v>1</v>
      </c>
      <c r="G198" s="7" t="s">
        <v>22</v>
      </c>
      <c r="H198" s="6"/>
      <c r="I198" s="14" t="s">
        <v>39</v>
      </c>
      <c r="J198" t="s">
        <v>87</v>
      </c>
      <c r="K198" s="6"/>
    </row>
    <row r="199" spans="1:11" ht="15.75" thickBot="1" x14ac:dyDescent="0.3">
      <c r="A199" s="57" t="s">
        <v>79</v>
      </c>
      <c r="B199" s="12">
        <v>11</v>
      </c>
      <c r="C199" s="31" t="str">
        <f>HYPERLINK("\\Elam-pliki\firmowe\BUDIMEX\Projekty\DANWOOD 2017\DE\05 Maj\11 Mai 9882","Mai")</f>
        <v>Mai</v>
      </c>
      <c r="D199" s="12">
        <v>9882</v>
      </c>
      <c r="E199" s="17"/>
      <c r="F199" s="17" t="s">
        <v>1</v>
      </c>
      <c r="G199" s="7" t="s">
        <v>8</v>
      </c>
      <c r="H199" s="6"/>
      <c r="I199" s="14" t="s">
        <v>37</v>
      </c>
      <c r="J199" t="s">
        <v>92</v>
      </c>
      <c r="K199" s="6"/>
    </row>
    <row r="200" spans="1:11" ht="15.75" thickBot="1" x14ac:dyDescent="0.3">
      <c r="A200" s="57" t="s">
        <v>79</v>
      </c>
      <c r="B200" s="12">
        <v>12</v>
      </c>
      <c r="C200" s="31" t="str">
        <f>HYPERLINK("\\Elam-pliki\firmowe\BUDIMEX\Projekty\DANWOOD 2017\DE\05 Maj\12 Bettinger 9348","Bettinger")</f>
        <v>Bettinger</v>
      </c>
      <c r="D200" s="12">
        <v>9348</v>
      </c>
      <c r="E200" s="17"/>
      <c r="F200" s="17" t="s">
        <v>1</v>
      </c>
      <c r="G200" s="7" t="s">
        <v>27</v>
      </c>
      <c r="H200" s="6"/>
      <c r="I200" s="14" t="s">
        <v>37</v>
      </c>
      <c r="J200" t="s">
        <v>112</v>
      </c>
      <c r="K200" s="6"/>
    </row>
    <row r="201" spans="1:11" ht="15.75" thickBot="1" x14ac:dyDescent="0.3">
      <c r="A201" s="57" t="s">
        <v>79</v>
      </c>
      <c r="B201" s="12">
        <v>13</v>
      </c>
      <c r="C201" s="31" t="str">
        <f>HYPERLINK("\\Elam-pliki\firmowe\BUDIMEX\Projekty\DANWOOD 2017\DE\05 Maj\13 Erwin 10634","Erwin")</f>
        <v>Erwin</v>
      </c>
      <c r="D201" s="12">
        <v>10634</v>
      </c>
      <c r="E201" s="17"/>
      <c r="F201" s="17" t="s">
        <v>1</v>
      </c>
      <c r="G201" s="7" t="s">
        <v>13</v>
      </c>
      <c r="H201" s="6"/>
      <c r="I201" s="14" t="s">
        <v>37</v>
      </c>
      <c r="J201" t="s">
        <v>87</v>
      </c>
      <c r="K201" s="6"/>
    </row>
    <row r="202" spans="1:11" ht="15.75" thickBot="1" x14ac:dyDescent="0.3">
      <c r="A202" s="57" t="s">
        <v>79</v>
      </c>
      <c r="B202" s="12">
        <v>14</v>
      </c>
      <c r="C202" s="31" t="str">
        <f>HYPERLINK("\\Elam-pliki\firmowe\BUDIMEX\Projekty\DANWOOD 2017\DE\05 Maj\14 Lohmann 9741","Lohmann")</f>
        <v>Lohmann</v>
      </c>
      <c r="D202" s="12">
        <v>9741</v>
      </c>
      <c r="E202" s="17"/>
      <c r="F202" s="17" t="s">
        <v>1</v>
      </c>
      <c r="G202" s="7" t="s">
        <v>26</v>
      </c>
      <c r="H202" s="6"/>
      <c r="I202" s="14" t="s">
        <v>39</v>
      </c>
      <c r="J202" t="s">
        <v>87</v>
      </c>
      <c r="K202" s="6"/>
    </row>
    <row r="203" spans="1:11" ht="15.75" thickBot="1" x14ac:dyDescent="0.3">
      <c r="A203" s="57" t="s">
        <v>79</v>
      </c>
      <c r="B203" s="7">
        <v>15</v>
      </c>
      <c r="C203" s="34" t="str">
        <f>HYPERLINK("\\Elam-pliki\firmowe\BUDIMEX\Projekty\DANWOOD 2017\DE\05 Maj\15 May Markus 10147","May Markus")</f>
        <v>May Markus</v>
      </c>
      <c r="D203" s="7">
        <v>10147</v>
      </c>
      <c r="E203" s="6"/>
      <c r="F203" s="6" t="s">
        <v>4</v>
      </c>
      <c r="G203" s="7" t="s">
        <v>17</v>
      </c>
      <c r="H203" s="6"/>
      <c r="I203" s="14" t="s">
        <v>37</v>
      </c>
      <c r="J203" t="s">
        <v>113</v>
      </c>
      <c r="K203" s="6"/>
    </row>
    <row r="204" spans="1:11" ht="15.75" thickBot="1" x14ac:dyDescent="0.3">
      <c r="A204" s="57" t="s">
        <v>79</v>
      </c>
      <c r="B204" s="12">
        <v>16</v>
      </c>
      <c r="C204" s="31" t="str">
        <f>HYPERLINK("\\Elam-pliki\firmowe\BUDIMEX\Projekty\DANWOOD 2017\DE\05 Maj\16 D'Addario Domenico 9762","D'Addario Domenico")</f>
        <v>D'Addario Domenico</v>
      </c>
      <c r="D204" s="12">
        <v>9762</v>
      </c>
      <c r="E204" s="17"/>
      <c r="F204" s="17" t="s">
        <v>1</v>
      </c>
      <c r="G204" s="7" t="s">
        <v>11</v>
      </c>
      <c r="H204" s="6"/>
      <c r="I204" s="14" t="s">
        <v>37</v>
      </c>
      <c r="J204" t="s">
        <v>87</v>
      </c>
      <c r="K204" s="6"/>
    </row>
    <row r="205" spans="1:11" ht="15.75" thickBot="1" x14ac:dyDescent="0.3">
      <c r="A205" s="57" t="s">
        <v>79</v>
      </c>
      <c r="B205" s="12">
        <v>17</v>
      </c>
      <c r="C205" s="31" t="str">
        <f>HYPERLINK("\\Elam-pliki\firmowe\BUDIMEX\Projekty\DANWOOD 2017\DE\05 Maj\17 Breidt 10682","Breidt")</f>
        <v>Breidt</v>
      </c>
      <c r="D205" s="12">
        <v>10682</v>
      </c>
      <c r="E205" s="23" t="s">
        <v>5</v>
      </c>
      <c r="F205" s="17" t="s">
        <v>1</v>
      </c>
      <c r="G205" s="7" t="s">
        <v>21</v>
      </c>
      <c r="H205" s="6"/>
      <c r="I205" s="14" t="s">
        <v>37</v>
      </c>
      <c r="J205" t="s">
        <v>87</v>
      </c>
      <c r="K205" s="25" t="s">
        <v>3</v>
      </c>
    </row>
    <row r="206" spans="1:11" ht="15.75" thickBot="1" x14ac:dyDescent="0.3">
      <c r="A206" s="57" t="s">
        <v>79</v>
      </c>
      <c r="B206" s="26">
        <v>18</v>
      </c>
      <c r="C206" s="35" t="str">
        <f>HYPERLINK("\\Elam-pliki\firmowe\BUDIMEX\PROJEKTY\DANWOOD 2017\DE\05 Maj\18 Twirdy&amp;Roßmann 10148","Twirdy&amp;Roßmann")</f>
        <v>Twirdy&amp;Roßmann</v>
      </c>
      <c r="D206" s="26">
        <v>10148</v>
      </c>
      <c r="E206" s="28"/>
      <c r="F206" s="28" t="s">
        <v>4</v>
      </c>
      <c r="G206" s="7" t="s">
        <v>27</v>
      </c>
      <c r="H206" s="6"/>
      <c r="I206" s="14" t="s">
        <v>39</v>
      </c>
      <c r="J206" t="s">
        <v>92</v>
      </c>
      <c r="K206" s="6"/>
    </row>
    <row r="207" spans="1:11" ht="15.75" thickBot="1" x14ac:dyDescent="0.3">
      <c r="A207" s="57" t="s">
        <v>79</v>
      </c>
      <c r="B207" s="12">
        <v>19</v>
      </c>
      <c r="C207" s="31" t="str">
        <f>HYPERLINK("\\Elam-pliki\firmowe\BUDIMEX\PROJEKTY\DANWOOD 2017\DE\05 Maj\19 Sick 10739","Sick")</f>
        <v>Sick</v>
      </c>
      <c r="D207" s="12">
        <v>10739</v>
      </c>
      <c r="E207" s="17" t="s">
        <v>28</v>
      </c>
      <c r="F207" s="17" t="s">
        <v>1</v>
      </c>
      <c r="G207" s="7" t="s">
        <v>12</v>
      </c>
      <c r="H207" s="6"/>
      <c r="I207" s="14" t="s">
        <v>37</v>
      </c>
      <c r="J207" t="s">
        <v>114</v>
      </c>
      <c r="K207" s="6"/>
    </row>
    <row r="208" spans="1:11" ht="15.75" thickBot="1" x14ac:dyDescent="0.3">
      <c r="A208" s="57" t="s">
        <v>79</v>
      </c>
      <c r="B208" s="12">
        <v>20</v>
      </c>
      <c r="C208" s="31" t="str">
        <f>HYPERLINK("\\Elam-pliki\firmowe\BUDIMEX\PROJEKTY\DANWOOD 2017\DE\05 Maj\20 Schneider Tony 9916","Schneider Tony")</f>
        <v>Schneider Tony</v>
      </c>
      <c r="D208" s="12">
        <v>9916</v>
      </c>
      <c r="E208" s="17"/>
      <c r="F208" s="17" t="s">
        <v>1</v>
      </c>
      <c r="G208" s="7" t="s">
        <v>13</v>
      </c>
      <c r="H208" s="6"/>
      <c r="I208" s="14" t="s">
        <v>37</v>
      </c>
      <c r="J208" t="s">
        <v>87</v>
      </c>
      <c r="K208" s="6"/>
    </row>
    <row r="209" spans="1:11" ht="15.75" thickBot="1" x14ac:dyDescent="0.3">
      <c r="A209" s="57" t="s">
        <v>79</v>
      </c>
      <c r="B209" s="12">
        <v>21</v>
      </c>
      <c r="C209" s="31" t="str">
        <f>HYPERLINK("\\Elam-pliki\firmowe\BUDIMEX\PROJEKTY\DANWOOD 2017\DE\05 Maj\21 Ogilvie 9931","Ogilvie")</f>
        <v>Ogilvie</v>
      </c>
      <c r="D209" s="12">
        <v>9931</v>
      </c>
      <c r="E209" s="23" t="s">
        <v>5</v>
      </c>
      <c r="F209" s="17" t="s">
        <v>1</v>
      </c>
      <c r="G209" s="11" t="s">
        <v>38</v>
      </c>
      <c r="H209" s="29" t="s">
        <v>0</v>
      </c>
      <c r="I209" s="30" t="s">
        <v>42</v>
      </c>
      <c r="J209" t="s">
        <v>87</v>
      </c>
      <c r="K209" s="25" t="s">
        <v>6</v>
      </c>
    </row>
    <row r="210" spans="1:11" ht="15.75" thickBot="1" x14ac:dyDescent="0.3">
      <c r="A210" s="57" t="s">
        <v>79</v>
      </c>
      <c r="B210" s="12">
        <v>22</v>
      </c>
      <c r="C210" s="31" t="str">
        <f>HYPERLINK("\\Elam-pliki\firmowe\BUDIMEX\PROJEKTY\DANWOOD 2017\DE\05 Maj\22 Powell 10337","Powell")</f>
        <v>Powell</v>
      </c>
      <c r="D210" s="12">
        <v>10337</v>
      </c>
      <c r="E210" s="23" t="s">
        <v>5</v>
      </c>
      <c r="F210" s="17" t="s">
        <v>1</v>
      </c>
      <c r="G210" s="7" t="s">
        <v>23</v>
      </c>
      <c r="H210" s="6" t="s">
        <v>0</v>
      </c>
      <c r="I210" s="14" t="s">
        <v>42</v>
      </c>
      <c r="J210" t="s">
        <v>87</v>
      </c>
      <c r="K210" s="25" t="s">
        <v>6</v>
      </c>
    </row>
    <row r="211" spans="1:11" ht="15.75" thickBot="1" x14ac:dyDescent="0.3">
      <c r="A211" s="57" t="s">
        <v>79</v>
      </c>
      <c r="B211" s="12">
        <v>23</v>
      </c>
      <c r="C211" s="31" t="str">
        <f>HYPERLINK("\\Elam-pliki\firmowe\BUDIMEX\Projekty\DANWOOD 2017\DE\05 Maj\23 Disiro Christina 10934","Disiro Christina")</f>
        <v>Disiro Christina</v>
      </c>
      <c r="D211" s="12">
        <v>10934</v>
      </c>
      <c r="E211" s="17"/>
      <c r="F211" s="17" t="s">
        <v>1</v>
      </c>
      <c r="G211" s="7" t="s">
        <v>20</v>
      </c>
      <c r="H211" s="6"/>
      <c r="I211" s="14" t="s">
        <v>42</v>
      </c>
      <c r="J211" t="s">
        <v>87</v>
      </c>
      <c r="K211" s="6"/>
    </row>
    <row r="212" spans="1:11" ht="15.75" thickBot="1" x14ac:dyDescent="0.3">
      <c r="A212" s="57" t="s">
        <v>79</v>
      </c>
      <c r="B212" s="12">
        <v>24</v>
      </c>
      <c r="C212" s="31" t="str">
        <f>HYPERLINK("\\Elam-pliki\firmowe\BUDIMEX\Projekty\DANWOOD 2017\DE\05 Maj\24 Gratzke 9842","Gratzke")</f>
        <v>Gratzke</v>
      </c>
      <c r="D212" s="12">
        <v>9842</v>
      </c>
      <c r="E212" s="17"/>
      <c r="F212" s="17" t="s">
        <v>1</v>
      </c>
      <c r="G212" s="7" t="s">
        <v>11</v>
      </c>
      <c r="H212" s="6"/>
      <c r="I212" s="14" t="s">
        <v>37</v>
      </c>
      <c r="J212" t="s">
        <v>87</v>
      </c>
      <c r="K212" s="6"/>
    </row>
    <row r="213" spans="1:11" ht="15.75" thickBot="1" x14ac:dyDescent="0.3">
      <c r="A213" s="57" t="s">
        <v>79</v>
      </c>
      <c r="B213" s="7">
        <v>25</v>
      </c>
      <c r="C213" s="34" t="str">
        <f>HYPERLINK("\\Elam-pliki\firmowe\BUDIMEX\Projekty\DANWOOD 2017\DE\05 Maj\25 Eberl Wimmer 10894","Eberl Wimmer")</f>
        <v>Eberl Wimmer</v>
      </c>
      <c r="D213" s="7">
        <v>10894</v>
      </c>
      <c r="E213" s="22" t="s">
        <v>5</v>
      </c>
      <c r="F213" s="6"/>
      <c r="G213" s="7" t="s">
        <v>7</v>
      </c>
      <c r="H213" s="6"/>
      <c r="I213" s="14" t="s">
        <v>42</v>
      </c>
      <c r="J213" t="s">
        <v>87</v>
      </c>
      <c r="K213" s="25" t="s">
        <v>3</v>
      </c>
    </row>
    <row r="214" spans="1:11" ht="15.75" thickBot="1" x14ac:dyDescent="0.3">
      <c r="A214" s="57" t="s">
        <v>79</v>
      </c>
      <c r="B214" s="12">
        <v>26</v>
      </c>
      <c r="C214" s="31" t="str">
        <f>HYPERLINK("\\Elam-pliki\firmowe\BUDIMEX\Projekty\DANWOOD 2017\DE\05 Maj\26 Geiblinger 10903","Geiblinger")</f>
        <v>Geiblinger</v>
      </c>
      <c r="D214" s="12">
        <v>10903</v>
      </c>
      <c r="E214" s="36" t="s">
        <v>5</v>
      </c>
      <c r="F214" s="17" t="s">
        <v>1</v>
      </c>
      <c r="G214" s="7" t="s">
        <v>21</v>
      </c>
      <c r="H214" s="6"/>
      <c r="I214" s="14" t="s">
        <v>37</v>
      </c>
      <c r="J214" t="s">
        <v>87</v>
      </c>
      <c r="K214" s="37" t="s">
        <v>3</v>
      </c>
    </row>
    <row r="215" spans="1:11" ht="15.75" thickBot="1" x14ac:dyDescent="0.3">
      <c r="A215" s="57" t="s">
        <v>79</v>
      </c>
      <c r="B215" s="12">
        <v>27</v>
      </c>
      <c r="C215" s="31" t="str">
        <f>HYPERLINK("\\Elam-pliki\firmowe\BUDIMEX\Projekty\DANWOOD 2017\DE\05 Maj\27 Badial 9396","Badial")</f>
        <v>Badial</v>
      </c>
      <c r="D215" s="40">
        <v>9396</v>
      </c>
      <c r="E215" s="36" t="s">
        <v>5</v>
      </c>
      <c r="F215" s="41" t="s">
        <v>1</v>
      </c>
      <c r="G215" s="42" t="s">
        <v>23</v>
      </c>
      <c r="H215" s="43" t="s">
        <v>0</v>
      </c>
      <c r="I215" s="24" t="s">
        <v>42</v>
      </c>
      <c r="J215" s="44" t="s">
        <v>87</v>
      </c>
      <c r="K215" s="37" t="s">
        <v>6</v>
      </c>
    </row>
    <row r="216" spans="1:11" ht="15.75" thickBot="1" x14ac:dyDescent="0.3">
      <c r="A216" s="57" t="s">
        <v>79</v>
      </c>
      <c r="B216" s="7">
        <v>28</v>
      </c>
      <c r="C216" s="34" t="str">
        <f>HYPERLINK("\\Elam-pliki\firmowe\BUDIMEX\Projekty\DANWOOD 2017\DE\05 Maj\28 Rasner 10905","Rasner")</f>
        <v>Rasner</v>
      </c>
      <c r="D216" s="7">
        <v>10905</v>
      </c>
      <c r="E216" s="45" t="s">
        <v>5</v>
      </c>
      <c r="F216" s="6"/>
      <c r="G216" s="7" t="s">
        <v>7</v>
      </c>
      <c r="H216" s="6"/>
      <c r="I216" s="14" t="s">
        <v>39</v>
      </c>
      <c r="J216" t="s">
        <v>87</v>
      </c>
      <c r="K216" s="37" t="s">
        <v>3</v>
      </c>
    </row>
    <row r="217" spans="1:11" ht="15.75" thickBot="1" x14ac:dyDescent="0.3">
      <c r="A217" s="57" t="s">
        <v>79</v>
      </c>
      <c r="B217" s="12">
        <v>29</v>
      </c>
      <c r="C217" s="31" t="str">
        <f>HYPERLINK("\\Elam-pliki\firmowe\BUDIMEX\Projekty\DANWOOD 2017\DE\05 Maj\29 Zwierlein Carolin 10124","Zwierlein Carolin")</f>
        <v>Zwierlein Carolin</v>
      </c>
      <c r="D217" s="12">
        <v>10124</v>
      </c>
      <c r="E217" s="17" t="s">
        <v>15</v>
      </c>
      <c r="F217" s="17" t="s">
        <v>1</v>
      </c>
      <c r="G217" s="7" t="s">
        <v>36</v>
      </c>
      <c r="H217" s="6"/>
      <c r="I217" s="14" t="s">
        <v>42</v>
      </c>
      <c r="J217" t="s">
        <v>87</v>
      </c>
      <c r="K217" s="6"/>
    </row>
    <row r="218" spans="1:11" ht="15.75" thickBot="1" x14ac:dyDescent="0.3">
      <c r="A218" s="57" t="s">
        <v>79</v>
      </c>
      <c r="B218" s="12">
        <v>30</v>
      </c>
      <c r="C218" s="31" t="str">
        <f>HYPERLINK("\\Elam-pliki\firmowe\BUDIMEX\Projekty\DANWOOD 2017\DE\05 Maj\30 Kistler 10165","Kistler")</f>
        <v>Kistler</v>
      </c>
      <c r="D218" s="12">
        <v>10165</v>
      </c>
      <c r="E218" s="17" t="s">
        <v>50</v>
      </c>
      <c r="F218" s="17" t="s">
        <v>1</v>
      </c>
      <c r="G218" s="7" t="s">
        <v>45</v>
      </c>
      <c r="H218" s="6"/>
      <c r="I218" s="14" t="s">
        <v>41</v>
      </c>
      <c r="J218" t="s">
        <v>92</v>
      </c>
      <c r="K218" s="6"/>
    </row>
    <row r="219" spans="1:11" ht="15.75" thickBot="1" x14ac:dyDescent="0.3">
      <c r="A219" s="57" t="s">
        <v>79</v>
      </c>
      <c r="B219" s="12">
        <v>31</v>
      </c>
      <c r="C219" s="31" t="str">
        <f>HYPERLINK("\\Elam-pliki\firmowe\BUDIMEX\PROJEKTY\DANWOOD 2017\DE\05 Maj\31 Stiefel 9439","Stiefel")</f>
        <v>Stiefel</v>
      </c>
      <c r="D219" s="12">
        <v>9439</v>
      </c>
      <c r="E219" s="17" t="s">
        <v>43</v>
      </c>
      <c r="F219" s="17" t="s">
        <v>1</v>
      </c>
      <c r="G219" s="7" t="s">
        <v>19</v>
      </c>
      <c r="H219" s="6"/>
      <c r="I219" s="14" t="s">
        <v>37</v>
      </c>
      <c r="J219" t="s">
        <v>92</v>
      </c>
      <c r="K219" s="6"/>
    </row>
    <row r="220" spans="1:11" ht="15.75" thickBot="1" x14ac:dyDescent="0.3">
      <c r="A220" s="57" t="s">
        <v>79</v>
      </c>
      <c r="B220" s="12">
        <v>32</v>
      </c>
      <c r="C220" s="31" t="str">
        <f>HYPERLINK("\\Elam-pliki\firmowe\BUDIMEX\PROJEKTY\DANWOOD 2017\DE\05 Maj\32 Redcher 10129","Redcher")</f>
        <v>Redcher</v>
      </c>
      <c r="D220" s="12">
        <v>10129</v>
      </c>
      <c r="E220" s="17"/>
      <c r="F220" s="17" t="s">
        <v>1</v>
      </c>
      <c r="G220" s="7" t="s">
        <v>51</v>
      </c>
      <c r="H220" s="6"/>
      <c r="I220" s="14" t="s">
        <v>39</v>
      </c>
      <c r="J220" t="s">
        <v>87</v>
      </c>
      <c r="K220" s="6"/>
    </row>
    <row r="221" spans="1:11" ht="15.75" thickBot="1" x14ac:dyDescent="0.3">
      <c r="A221" s="57" t="s">
        <v>79</v>
      </c>
      <c r="B221" s="12">
        <v>33</v>
      </c>
      <c r="C221" s="31" t="str">
        <f>HYPERLINK("\\Elam-pliki\firmowe\BUDIMEX\PROJEKTY\DANWOOD 2017\DE\05 Maj\33 Schuster Rupert 11005","Schuster Rupert")</f>
        <v>Schuster Rupert</v>
      </c>
      <c r="D221" s="12">
        <v>11005</v>
      </c>
      <c r="E221" s="36" t="s">
        <v>5</v>
      </c>
      <c r="F221" s="17" t="s">
        <v>1</v>
      </c>
      <c r="G221" s="7" t="s">
        <v>21</v>
      </c>
      <c r="H221" s="6" t="s">
        <v>0</v>
      </c>
      <c r="I221" s="14" t="s">
        <v>42</v>
      </c>
      <c r="J221" t="s">
        <v>87</v>
      </c>
      <c r="K221" s="37" t="s">
        <v>3</v>
      </c>
    </row>
    <row r="222" spans="1:11" ht="15.75" thickBot="1" x14ac:dyDescent="0.3">
      <c r="A222" s="57" t="s">
        <v>79</v>
      </c>
      <c r="B222" s="12">
        <v>34</v>
      </c>
      <c r="C222" s="31" t="str">
        <f>HYPERLINK("\\Elam-pliki\firmowe\BUDIMEX\PROJEKTY\DANWOOD 2017\DE\05 Maj\34 Hauss 9769","Hauss")</f>
        <v>Hauss</v>
      </c>
      <c r="D222" s="12">
        <v>9769</v>
      </c>
      <c r="E222" s="17" t="s">
        <v>52</v>
      </c>
      <c r="F222" s="17" t="s">
        <v>1</v>
      </c>
      <c r="G222" s="7" t="s">
        <v>10</v>
      </c>
      <c r="H222" s="6"/>
      <c r="I222" s="14" t="s">
        <v>37</v>
      </c>
      <c r="J222" t="s">
        <v>115</v>
      </c>
      <c r="K222" s="6"/>
    </row>
    <row r="223" spans="1:11" ht="15.75" thickBot="1" x14ac:dyDescent="0.3">
      <c r="A223" s="57" t="s">
        <v>79</v>
      </c>
      <c r="B223" s="12">
        <v>35</v>
      </c>
      <c r="C223" s="31" t="str">
        <f>HYPERLINK("\\Elam-pliki\firmowe\BUDIMEX\PROJEKTY\DANWOOD 2017\DE\05 Maj\35 Gerner Kampe 9934","Gerner Kampe")</f>
        <v>Gerner Kampe</v>
      </c>
      <c r="D223" s="12">
        <v>9934</v>
      </c>
      <c r="E223" s="17"/>
      <c r="F223" s="17" t="s">
        <v>1</v>
      </c>
      <c r="G223" s="7" t="s">
        <v>16</v>
      </c>
      <c r="H223" s="6"/>
      <c r="I223" s="14" t="s">
        <v>39</v>
      </c>
      <c r="J223" t="s">
        <v>92</v>
      </c>
      <c r="K223" s="6"/>
    </row>
    <row r="224" spans="1:11" ht="15.75" thickBot="1" x14ac:dyDescent="0.3">
      <c r="A224" s="57" t="s">
        <v>79</v>
      </c>
      <c r="B224" s="12">
        <v>36</v>
      </c>
      <c r="C224" s="31" t="str">
        <f>HYPERLINK("\\Elam-pliki\firmowe\BUDIMEX\PROJEKTY\DANWOOD 2017\DE\05 Maj\36 Wachter Benjamin 10617","Wachter Benjamin")</f>
        <v>Wachter Benjamin</v>
      </c>
      <c r="D224" s="12">
        <v>10617</v>
      </c>
      <c r="E224" s="17"/>
      <c r="F224" s="17" t="s">
        <v>1</v>
      </c>
      <c r="G224" s="7" t="s">
        <v>34</v>
      </c>
      <c r="H224" s="6"/>
      <c r="I224" s="14" t="s">
        <v>37</v>
      </c>
      <c r="J224" t="s">
        <v>87</v>
      </c>
      <c r="K224" s="6"/>
    </row>
    <row r="225" spans="1:11" ht="15.75" thickBot="1" x14ac:dyDescent="0.3">
      <c r="A225" s="57" t="s">
        <v>79</v>
      </c>
      <c r="B225" s="12">
        <v>37</v>
      </c>
      <c r="C225" s="31" t="str">
        <f>HYPERLINK("\\Elam-pliki\firmowe\BUDIMEX\PROJEKTY\DANWOOD 2017\DE\05 Maj\37 Zickler 9853","Zickler")</f>
        <v>Zickler</v>
      </c>
      <c r="D225" s="12">
        <v>9853</v>
      </c>
      <c r="E225" s="17" t="s">
        <v>43</v>
      </c>
      <c r="F225" s="17" t="s">
        <v>1</v>
      </c>
      <c r="G225" s="7" t="s">
        <v>8</v>
      </c>
      <c r="H225" s="6"/>
      <c r="I225" s="14" t="s">
        <v>41</v>
      </c>
      <c r="J225" t="s">
        <v>87</v>
      </c>
      <c r="K225" s="6"/>
    </row>
    <row r="226" spans="1:11" ht="15.75" thickBot="1" x14ac:dyDescent="0.3">
      <c r="A226" s="57" t="s">
        <v>79</v>
      </c>
      <c r="B226" s="12">
        <v>38</v>
      </c>
      <c r="C226" s="31" t="str">
        <f>HYPERLINK("\\Elam-pliki\firmowe\BUDIMEX\PROJEKTY\DANWOOD 2017\DE\05 Maj\38 Ilg Michael 4 10364","Ilg Michael 4")</f>
        <v>Ilg Michael 4</v>
      </c>
      <c r="D226" s="12">
        <v>10364</v>
      </c>
      <c r="E226" s="17" t="s">
        <v>50</v>
      </c>
      <c r="F226" s="17" t="s">
        <v>1</v>
      </c>
      <c r="G226" s="7" t="s">
        <v>27</v>
      </c>
      <c r="H226" s="6"/>
      <c r="I226" s="14" t="s">
        <v>37</v>
      </c>
      <c r="J226" t="s">
        <v>87</v>
      </c>
      <c r="K226" s="6"/>
    </row>
    <row r="227" spans="1:11" ht="15.75" thickBot="1" x14ac:dyDescent="0.3">
      <c r="A227" s="57" t="s">
        <v>79</v>
      </c>
      <c r="B227" s="12">
        <v>39</v>
      </c>
      <c r="C227" s="31" t="str">
        <f>HYPERLINK("\\Elam-pliki\firmowe\BUDIMEX\PROJEKTY\DANWOOD 2017\DE\05 Maj\39 Haupt 9554","Haupt")</f>
        <v>Haupt</v>
      </c>
      <c r="D227" s="12">
        <v>9554</v>
      </c>
      <c r="E227" s="17"/>
      <c r="F227" s="17" t="s">
        <v>1</v>
      </c>
      <c r="G227" s="7" t="s">
        <v>14</v>
      </c>
      <c r="H227" s="6"/>
      <c r="I227" s="14" t="s">
        <v>37</v>
      </c>
      <c r="J227" t="s">
        <v>87</v>
      </c>
      <c r="K227" s="6"/>
    </row>
    <row r="228" spans="1:11" ht="15.75" thickBot="1" x14ac:dyDescent="0.3">
      <c r="A228" s="57" t="s">
        <v>79</v>
      </c>
      <c r="B228" s="12">
        <v>40</v>
      </c>
      <c r="C228" s="31" t="str">
        <f>HYPERLINK("\\Elam-pliki\firmowe\BUDIMEX\PROJEKTY\DANWOOD 2017\DE\05 Maj\40 Peterson Schmitt 9845","Peterson Schmitt")</f>
        <v>Peterson Schmitt</v>
      </c>
      <c r="D228" s="12">
        <v>9845</v>
      </c>
      <c r="E228" s="17" t="s">
        <v>43</v>
      </c>
      <c r="F228" s="17" t="s">
        <v>1</v>
      </c>
      <c r="G228" s="7" t="s">
        <v>26</v>
      </c>
      <c r="H228" s="6"/>
      <c r="I228" s="14" t="s">
        <v>39</v>
      </c>
      <c r="J228" t="s">
        <v>87</v>
      </c>
      <c r="K228" s="6"/>
    </row>
    <row r="229" spans="1:11" ht="15.75" thickBot="1" x14ac:dyDescent="0.3">
      <c r="A229" s="57" t="s">
        <v>79</v>
      </c>
      <c r="B229" s="12">
        <v>41</v>
      </c>
      <c r="C229" s="31" t="str">
        <f>HYPERLINK("\\Elam-pliki\firmowe\BUDIMEX\PROJEKTY\DANWOOD 2017\DE\05 Maj\41 Maurer Artur 10242","Maurer Artur")</f>
        <v>Maurer Artur</v>
      </c>
      <c r="D229" s="12">
        <v>10242</v>
      </c>
      <c r="E229" s="17"/>
      <c r="F229" s="17" t="s">
        <v>1</v>
      </c>
      <c r="G229" s="7" t="s">
        <v>11</v>
      </c>
      <c r="H229" s="6"/>
      <c r="I229" s="14" t="s">
        <v>39</v>
      </c>
      <c r="J229" t="s">
        <v>87</v>
      </c>
      <c r="K229" s="6"/>
    </row>
    <row r="230" spans="1:11" ht="15.75" thickBot="1" x14ac:dyDescent="0.3">
      <c r="A230" s="57" t="s">
        <v>79</v>
      </c>
      <c r="B230" s="19">
        <v>42</v>
      </c>
      <c r="C230" s="32" t="str">
        <f>HYPERLINK("\\Elam-pliki\firmowe\BUDIMEX\PROJEKTY\DANWOOD 2017\DE\05 Maj\42 Bock 10422","Bock")</f>
        <v>Bock</v>
      </c>
      <c r="D230" s="19">
        <v>10422</v>
      </c>
      <c r="E230" s="20"/>
      <c r="F230" s="20" t="s">
        <v>1</v>
      </c>
      <c r="G230" s="9" t="s">
        <v>13</v>
      </c>
      <c r="H230" s="8"/>
      <c r="I230" s="16" t="s">
        <v>37</v>
      </c>
      <c r="J230" s="3" t="s">
        <v>87</v>
      </c>
      <c r="K230" s="8"/>
    </row>
    <row r="231" spans="1:11" ht="15" customHeight="1" thickBot="1" x14ac:dyDescent="0.3">
      <c r="A231" s="58" t="s">
        <v>80</v>
      </c>
      <c r="B231" s="12">
        <v>1</v>
      </c>
      <c r="C231" s="38" t="str">
        <f>HYPERLINK("\\Elam-pliki\firmowe\BUDIMEX\PROJEKTY\DANWOOD 2017\DE\06 Czerwiec\01 Reisch 10072","Reisch")</f>
        <v>Reisch</v>
      </c>
      <c r="D231" s="12">
        <v>10072</v>
      </c>
      <c r="E231" s="17"/>
      <c r="F231" s="17" t="s">
        <v>1</v>
      </c>
      <c r="G231" s="7" t="s">
        <v>35</v>
      </c>
      <c r="H231" s="6"/>
      <c r="I231" s="14" t="s">
        <v>42</v>
      </c>
      <c r="J231" t="s">
        <v>87</v>
      </c>
      <c r="K231" s="6"/>
    </row>
    <row r="232" spans="1:11" ht="15.75" thickBot="1" x14ac:dyDescent="0.3">
      <c r="A232" s="58" t="s">
        <v>80</v>
      </c>
      <c r="B232" s="12">
        <v>2</v>
      </c>
      <c r="C232" s="31" t="str">
        <f>HYPERLINK("\\Elam-pliki\firmowe\BUDIMEX\PROJEKTY\DANWOOD 2017\DE\06 Czerwiec\02 Lorenz Torsten 10606","Lorenz Torsten")</f>
        <v>Lorenz Torsten</v>
      </c>
      <c r="D232" s="12">
        <v>10606</v>
      </c>
      <c r="E232" s="17"/>
      <c r="F232" s="17" t="s">
        <v>1</v>
      </c>
      <c r="G232" s="7" t="s">
        <v>13</v>
      </c>
      <c r="H232" s="6"/>
      <c r="I232" s="14" t="s">
        <v>37</v>
      </c>
      <c r="J232" t="s">
        <v>87</v>
      </c>
      <c r="K232" s="6"/>
    </row>
    <row r="233" spans="1:11" ht="15.75" thickBot="1" x14ac:dyDescent="0.3">
      <c r="A233" s="58" t="s">
        <v>80</v>
      </c>
      <c r="B233" s="12">
        <v>3</v>
      </c>
      <c r="C233" s="31" t="str">
        <f>HYPERLINK("\\Elam-pliki\firmowe\BUDIMEX\PROJEKTY\DANWOOD 2017\DE\06 Czerwiec\03 Kojic 10638","Kojic")</f>
        <v>Kojic</v>
      </c>
      <c r="D233" s="12">
        <v>10638</v>
      </c>
      <c r="E233" s="17"/>
      <c r="F233" s="17" t="s">
        <v>1</v>
      </c>
      <c r="G233" s="7" t="s">
        <v>51</v>
      </c>
      <c r="H233" s="6"/>
      <c r="I233" s="14" t="s">
        <v>39</v>
      </c>
      <c r="J233" t="s">
        <v>87</v>
      </c>
      <c r="K233" s="6"/>
    </row>
    <row r="234" spans="1:11" ht="15.75" thickBot="1" x14ac:dyDescent="0.3">
      <c r="A234" s="58" t="s">
        <v>80</v>
      </c>
      <c r="B234" s="12">
        <v>4</v>
      </c>
      <c r="C234" s="31" t="str">
        <f>HYPERLINK("\\Elam-pliki\firmowe\BUDIMEX\PROJEKTY\DANWOOD 2017\DE\06 Czerwiec\04 Wahlwiener 10238","Wahlwiener")</f>
        <v>Wahlwiener</v>
      </c>
      <c r="D234" s="12">
        <v>10238</v>
      </c>
      <c r="E234" s="17"/>
      <c r="F234" s="17" t="s">
        <v>1</v>
      </c>
      <c r="G234" s="7" t="s">
        <v>20</v>
      </c>
      <c r="H234" s="6"/>
      <c r="I234" s="14" t="s">
        <v>42</v>
      </c>
      <c r="J234" t="s">
        <v>87</v>
      </c>
      <c r="K234" s="6"/>
    </row>
    <row r="235" spans="1:11" ht="15.75" thickBot="1" x14ac:dyDescent="0.3">
      <c r="A235" s="58" t="s">
        <v>80</v>
      </c>
      <c r="B235" s="12">
        <v>5</v>
      </c>
      <c r="C235" s="31" t="str">
        <f>HYPERLINK("\\Elam-pliki\firmowe\BUDIMEX\Projekty\DANWOOD 2017\DE\06 Czerwiec\05 Ruscher Bergrab 10397","Ruscher Bergrab")</f>
        <v>Ruscher Bergrab</v>
      </c>
      <c r="D235" s="12">
        <v>10397</v>
      </c>
      <c r="E235" s="17"/>
      <c r="F235" s="17" t="s">
        <v>1</v>
      </c>
      <c r="G235" s="7" t="s">
        <v>8</v>
      </c>
      <c r="H235" s="6"/>
      <c r="I235" s="14" t="s">
        <v>39</v>
      </c>
      <c r="J235" t="s">
        <v>87</v>
      </c>
      <c r="K235" s="6"/>
    </row>
    <row r="236" spans="1:11" ht="15.75" thickBot="1" x14ac:dyDescent="0.3">
      <c r="A236" s="58" t="s">
        <v>80</v>
      </c>
      <c r="B236" s="12">
        <v>6</v>
      </c>
      <c r="C236" s="31" t="str">
        <f>HYPERLINK("\\Elam-pliki\firmowe\BUDIMEX\Projekty\DANWOOD 2017\DE\06 Czerwiec\06 Freiberger Daniel 9993","Freiberger Daniel")</f>
        <v>Freiberger Daniel</v>
      </c>
      <c r="D236" s="12">
        <v>9993</v>
      </c>
      <c r="E236" s="17"/>
      <c r="F236" s="17" t="s">
        <v>1</v>
      </c>
      <c r="G236" s="7" t="s">
        <v>13</v>
      </c>
      <c r="H236" s="6"/>
      <c r="I236" s="14" t="s">
        <v>42</v>
      </c>
      <c r="J236" t="s">
        <v>92</v>
      </c>
      <c r="K236" s="6"/>
    </row>
    <row r="237" spans="1:11" ht="15.75" thickBot="1" x14ac:dyDescent="0.3">
      <c r="A237" s="58" t="s">
        <v>80</v>
      </c>
      <c r="B237" s="12">
        <v>7</v>
      </c>
      <c r="C237" s="31" t="str">
        <f>HYPERLINK("\\Elam-pliki\firmowe\BUDIMEX\Projekty\DANWOOD 2017\DE\06 Czerwiec\07 Bräu 9819","Bräu")</f>
        <v>Bräu</v>
      </c>
      <c r="D237" s="12">
        <v>9819</v>
      </c>
      <c r="E237" s="17" t="s">
        <v>43</v>
      </c>
      <c r="F237" s="17" t="s">
        <v>1</v>
      </c>
      <c r="G237" s="7" t="s">
        <v>19</v>
      </c>
      <c r="H237" s="6"/>
      <c r="I237" s="14" t="s">
        <v>39</v>
      </c>
      <c r="J237" t="s">
        <v>92</v>
      </c>
      <c r="K237" s="6"/>
    </row>
    <row r="238" spans="1:11" ht="15.75" thickBot="1" x14ac:dyDescent="0.3">
      <c r="A238" s="58" t="s">
        <v>80</v>
      </c>
      <c r="B238" s="12">
        <v>8</v>
      </c>
      <c r="C238" s="31" t="str">
        <f>HYPERLINK("\\Elam-pliki\firmowe\BUDIMEX\Projekty\DANWOOD 2017\DE\06 Czerwiec\08 Mayer 10984","Mayer")</f>
        <v>Mayer</v>
      </c>
      <c r="D238" s="12">
        <v>10984</v>
      </c>
      <c r="E238" s="17"/>
      <c r="F238" s="17" t="s">
        <v>1</v>
      </c>
      <c r="G238" s="7" t="s">
        <v>11</v>
      </c>
      <c r="H238" s="6"/>
      <c r="I238" s="14" t="s">
        <v>37</v>
      </c>
      <c r="J238" t="s">
        <v>92</v>
      </c>
      <c r="K238" s="6"/>
    </row>
    <row r="239" spans="1:11" ht="15.75" thickBot="1" x14ac:dyDescent="0.3">
      <c r="A239" s="58" t="s">
        <v>80</v>
      </c>
      <c r="B239" s="12">
        <v>9</v>
      </c>
      <c r="C239" s="31" t="str">
        <f>HYPERLINK("\\Elam-pliki\firmowe\BUDIMEX\Projekty\DANWOOD 2017\DE\06 Czerwiec\09 Stein Sebastian 7781","Stein Sebastian")</f>
        <v>Stein Sebastian</v>
      </c>
      <c r="D239" s="12">
        <v>7781</v>
      </c>
      <c r="E239" s="17" t="s">
        <v>53</v>
      </c>
      <c r="F239" s="17" t="s">
        <v>1</v>
      </c>
      <c r="G239" s="7" t="s">
        <v>20</v>
      </c>
      <c r="H239" s="6"/>
      <c r="I239" s="14" t="s">
        <v>39</v>
      </c>
      <c r="J239" t="s">
        <v>87</v>
      </c>
      <c r="K239" s="6"/>
    </row>
    <row r="240" spans="1:11" ht="15.75" thickBot="1" x14ac:dyDescent="0.3">
      <c r="A240" s="58" t="s">
        <v>80</v>
      </c>
      <c r="B240" s="12">
        <v>10</v>
      </c>
      <c r="C240" s="31" t="str">
        <f>HYPERLINK("\\Elam-pliki\firmowe\BUDIMEX\Projekty\DANWOOD 2017\DE\06 Czerwiec\10 Kreuter 9817","Kreuter")</f>
        <v>Kreuter</v>
      </c>
      <c r="D240" s="12">
        <v>9817</v>
      </c>
      <c r="E240" s="17"/>
      <c r="F240" s="17" t="s">
        <v>1</v>
      </c>
      <c r="G240" s="7" t="s">
        <v>13</v>
      </c>
      <c r="H240" s="6"/>
      <c r="I240" s="14" t="s">
        <v>39</v>
      </c>
      <c r="J240" t="s">
        <v>87</v>
      </c>
      <c r="K240" s="6"/>
    </row>
    <row r="241" spans="1:11" ht="15.75" thickBot="1" x14ac:dyDescent="0.3">
      <c r="A241" s="58" t="s">
        <v>80</v>
      </c>
      <c r="B241" s="12">
        <v>11</v>
      </c>
      <c r="C241" s="31" t="str">
        <f>HYPERLINK("\\Elam-pliki\firmowe\BUDIMEX\Projekty\DANWOOD 2017\DE\06 Czerwiec\11 Elias 10425","Elias")</f>
        <v>Elias</v>
      </c>
      <c r="D241" s="12">
        <v>10425</v>
      </c>
      <c r="E241" s="17" t="s">
        <v>43</v>
      </c>
      <c r="F241" s="17" t="s">
        <v>1</v>
      </c>
      <c r="G241" s="7" t="s">
        <v>8</v>
      </c>
      <c r="H241" s="6"/>
      <c r="I241" s="14" t="s">
        <v>41</v>
      </c>
      <c r="J241" t="s">
        <v>116</v>
      </c>
      <c r="K241" s="6"/>
    </row>
    <row r="242" spans="1:11" ht="15.75" thickBot="1" x14ac:dyDescent="0.3">
      <c r="A242" s="58" t="s">
        <v>80</v>
      </c>
      <c r="B242" s="12">
        <v>12</v>
      </c>
      <c r="C242" s="31" t="str">
        <f>HYPERLINK("\\Elam-pliki\firmowe\BUDIMEX\Projekty\DANWOOD 2017\DE\06 Czerwiec\12 Müller Josef 9964","Müller Josef")</f>
        <v>Müller Josef</v>
      </c>
      <c r="D242" s="12">
        <v>9964</v>
      </c>
      <c r="E242" s="17"/>
      <c r="F242" s="17" t="s">
        <v>1</v>
      </c>
      <c r="G242" s="7" t="s">
        <v>11</v>
      </c>
      <c r="H242" s="6"/>
      <c r="I242" s="14" t="s">
        <v>42</v>
      </c>
      <c r="J242" t="s">
        <v>92</v>
      </c>
      <c r="K242" s="6"/>
    </row>
    <row r="243" spans="1:11" ht="15.75" thickBot="1" x14ac:dyDescent="0.3">
      <c r="A243" s="58" t="s">
        <v>80</v>
      </c>
      <c r="B243" s="12">
        <v>13</v>
      </c>
      <c r="C243" s="31" t="str">
        <f>HYPERLINK("\\Elam-pliki\firmowe\BUDIMEX\Projekty\DANWOOD 2017\DE\06 Czerwiec\13 Walla 11123","Walla")</f>
        <v>Walla</v>
      </c>
      <c r="D243" s="12">
        <v>11123</v>
      </c>
      <c r="E243" s="36" t="s">
        <v>5</v>
      </c>
      <c r="F243" s="17" t="s">
        <v>1</v>
      </c>
      <c r="G243" s="7" t="s">
        <v>7</v>
      </c>
      <c r="H243" s="6" t="s">
        <v>0</v>
      </c>
      <c r="I243" s="14" t="s">
        <v>39</v>
      </c>
      <c r="J243" t="s">
        <v>87</v>
      </c>
      <c r="K243" s="37" t="s">
        <v>3</v>
      </c>
    </row>
    <row r="244" spans="1:11" ht="15.75" thickBot="1" x14ac:dyDescent="0.3">
      <c r="A244" s="58" t="s">
        <v>80</v>
      </c>
      <c r="B244" s="12">
        <v>14</v>
      </c>
      <c r="C244" s="31" t="str">
        <f>HYPERLINK("\\Elam-pliki\firmowe\BUDIMEX\PROJEKTY\DANWOOD 2017\DE\06 Czerwiec\14 Pichler Jürgen 10368","Pichler Jürgen")</f>
        <v>Pichler Jürgen</v>
      </c>
      <c r="D244" s="12">
        <v>10368</v>
      </c>
      <c r="E244" s="36" t="s">
        <v>5</v>
      </c>
      <c r="F244" s="17" t="s">
        <v>1</v>
      </c>
      <c r="G244" s="7" t="s">
        <v>21</v>
      </c>
      <c r="H244" s="6" t="s">
        <v>0</v>
      </c>
      <c r="I244" s="14" t="s">
        <v>37</v>
      </c>
      <c r="J244" t="s">
        <v>87</v>
      </c>
      <c r="K244" s="37" t="s">
        <v>3</v>
      </c>
    </row>
    <row r="245" spans="1:11" ht="15.75" thickBot="1" x14ac:dyDescent="0.3">
      <c r="A245" s="58" t="s">
        <v>80</v>
      </c>
      <c r="B245" s="7">
        <v>15</v>
      </c>
      <c r="C245" s="34" t="str">
        <f>HYPERLINK("\\Elam-pliki\firmowe\BUDIMEX\PROJEKTY\DANWOOD 2017\DE\06 Czerwiec\15 Stork Sabrina 9941","Stork Sabrina")</f>
        <v>Stork Sabrina</v>
      </c>
      <c r="D245" s="7">
        <v>9941</v>
      </c>
      <c r="E245" s="6"/>
      <c r="F245" s="6"/>
      <c r="G245" s="7" t="s">
        <v>19</v>
      </c>
      <c r="H245" s="6"/>
      <c r="I245" s="14" t="s">
        <v>42</v>
      </c>
      <c r="J245" t="s">
        <v>92</v>
      </c>
      <c r="K245" s="6"/>
    </row>
    <row r="246" spans="1:11" ht="15.75" thickBot="1" x14ac:dyDescent="0.3">
      <c r="A246" s="58" t="s">
        <v>80</v>
      </c>
      <c r="B246" s="12">
        <v>16</v>
      </c>
      <c r="C246" s="31" t="str">
        <f>HYPERLINK("\\Elam-pliki\firmowe\BUDIMEX\Projekty\DANWOOD 2017\DE\06 Czerwiec\16 Adam 9352","Adam")</f>
        <v>Adam</v>
      </c>
      <c r="D246" s="12">
        <v>9352</v>
      </c>
      <c r="E246" s="17"/>
      <c r="F246" s="17" t="s">
        <v>1</v>
      </c>
      <c r="G246" s="7" t="s">
        <v>16</v>
      </c>
      <c r="H246" s="6"/>
      <c r="I246" s="14" t="s">
        <v>37</v>
      </c>
      <c r="J246" t="s">
        <v>87</v>
      </c>
      <c r="K246" s="6"/>
    </row>
    <row r="247" spans="1:11" ht="15.75" thickBot="1" x14ac:dyDescent="0.3">
      <c r="A247" s="58" t="s">
        <v>80</v>
      </c>
      <c r="B247" s="7">
        <v>17</v>
      </c>
      <c r="C247" s="34" t="str">
        <f>HYPERLINK("\\Elam-pliki\firmowe\BUDIMEX\Projekty\DANWOOD 2017\DE\06 Czerwiec\17 De Mandic 10090","De Mandic")</f>
        <v>De Mandic</v>
      </c>
      <c r="D247" s="7">
        <v>10090</v>
      </c>
      <c r="E247" s="6"/>
      <c r="F247" s="6"/>
      <c r="G247" s="7" t="s">
        <v>16</v>
      </c>
      <c r="H247" s="6"/>
      <c r="I247" s="14" t="s">
        <v>42</v>
      </c>
      <c r="J247" t="s">
        <v>87</v>
      </c>
      <c r="K247" s="6"/>
    </row>
    <row r="248" spans="1:11" ht="15.75" thickBot="1" x14ac:dyDescent="0.3">
      <c r="A248" s="58" t="s">
        <v>80</v>
      </c>
      <c r="B248" s="12">
        <v>18</v>
      </c>
      <c r="C248" s="31" t="str">
        <f>HYPERLINK("\\Elam-pliki\firmowe\BUDIMEX\Projekty\DANWOOD 2017\DE\06 Czerwiec\18 Whitton 10127","Whitton")</f>
        <v>Whitton</v>
      </c>
      <c r="D248" s="12">
        <v>10127</v>
      </c>
      <c r="E248" s="36" t="s">
        <v>5</v>
      </c>
      <c r="F248" s="17" t="s">
        <v>1</v>
      </c>
      <c r="G248" s="7" t="s">
        <v>32</v>
      </c>
      <c r="H248" s="6" t="s">
        <v>0</v>
      </c>
      <c r="I248" s="14" t="s">
        <v>42</v>
      </c>
      <c r="J248" t="s">
        <v>87</v>
      </c>
      <c r="K248" s="37" t="s">
        <v>6</v>
      </c>
    </row>
    <row r="249" spans="1:11" ht="15.75" thickBot="1" x14ac:dyDescent="0.3">
      <c r="A249" s="58" t="s">
        <v>80</v>
      </c>
      <c r="B249" s="12">
        <v>19</v>
      </c>
      <c r="C249" s="31" t="str">
        <f>HYPERLINK("\\Elam-pliki\firmowe\BUDIMEX\Projekty\DANWOOD 2017\DE\06 Czerwiec\19 Krauß 8493","Krauß")</f>
        <v>Krauß</v>
      </c>
      <c r="D249" s="12">
        <v>8493</v>
      </c>
      <c r="E249" s="17" t="s">
        <v>50</v>
      </c>
      <c r="F249" s="17" t="s">
        <v>1</v>
      </c>
      <c r="G249" s="7" t="s">
        <v>27</v>
      </c>
      <c r="H249" s="6"/>
      <c r="I249" s="14" t="s">
        <v>42</v>
      </c>
      <c r="J249" t="s">
        <v>87</v>
      </c>
      <c r="K249" s="6"/>
    </row>
    <row r="250" spans="1:11" ht="15.75" thickBot="1" x14ac:dyDescent="0.3">
      <c r="A250" s="58" t="s">
        <v>80</v>
      </c>
      <c r="B250" s="12">
        <v>20</v>
      </c>
      <c r="C250" s="31" t="str">
        <f>HYPERLINK("\\Elam-pliki\firmowe\BUDIMEX\Projekty\DANWOOD 2017\DE\06 Czerwiec\20 Schatz Leopold 10393","Schatz Leopold")</f>
        <v>Schatz Leopold</v>
      </c>
      <c r="D250" s="12">
        <v>10393</v>
      </c>
      <c r="E250" s="36" t="s">
        <v>54</v>
      </c>
      <c r="F250" s="17" t="s">
        <v>1</v>
      </c>
      <c r="G250" s="7" t="s">
        <v>7</v>
      </c>
      <c r="H250" s="6" t="s">
        <v>0</v>
      </c>
      <c r="I250" s="14" t="s">
        <v>42</v>
      </c>
      <c r="J250" t="s">
        <v>87</v>
      </c>
      <c r="K250" s="37" t="s">
        <v>3</v>
      </c>
    </row>
    <row r="251" spans="1:11" ht="15.75" thickBot="1" x14ac:dyDescent="0.3">
      <c r="A251" s="58" t="s">
        <v>80</v>
      </c>
      <c r="B251" s="7">
        <v>21</v>
      </c>
      <c r="C251" s="34" t="str">
        <f>HYPERLINK("\\Elam-pliki\firmowe\BUDIMEX\Projekty\DANWOOD 2017\DE\06 Czerwiec\21 Meyer Ingeborg 10401","Meyer Ingeborg")</f>
        <v>Meyer Ingeborg</v>
      </c>
      <c r="D251" s="7">
        <v>10401</v>
      </c>
      <c r="E251" s="6"/>
      <c r="F251" s="6" t="s">
        <v>4</v>
      </c>
      <c r="G251" s="7" t="s">
        <v>30</v>
      </c>
      <c r="H251" s="6"/>
      <c r="I251" s="14" t="s">
        <v>39</v>
      </c>
      <c r="J251" t="s">
        <v>92</v>
      </c>
      <c r="K251" s="6"/>
    </row>
    <row r="252" spans="1:11" ht="15.75" thickBot="1" x14ac:dyDescent="0.3">
      <c r="A252" s="58" t="s">
        <v>80</v>
      </c>
      <c r="B252" s="12">
        <v>22</v>
      </c>
      <c r="C252" s="31" t="str">
        <f>HYPERLINK("\\Elam-pliki\firmowe\BUDIMEX\Projekty\DANWOOD 2017\DE\06 Czerwiec\22 Wilke Reinhardt 10192","Wilke Reinhardt")</f>
        <v>Wilke Reinhardt</v>
      </c>
      <c r="D252" s="12">
        <v>10192</v>
      </c>
      <c r="E252" s="17"/>
      <c r="F252" s="17" t="s">
        <v>1</v>
      </c>
      <c r="G252" s="7" t="s">
        <v>30</v>
      </c>
      <c r="H252" s="6"/>
      <c r="I252" s="14" t="s">
        <v>39</v>
      </c>
      <c r="J252" t="s">
        <v>87</v>
      </c>
      <c r="K252" s="6"/>
    </row>
    <row r="253" spans="1:11" ht="15.75" thickBot="1" x14ac:dyDescent="0.3">
      <c r="A253" s="58" t="s">
        <v>80</v>
      </c>
      <c r="B253" s="12">
        <v>23</v>
      </c>
      <c r="C253" s="31" t="str">
        <f>HYPERLINK("\\Elam-pliki\firmowe\BUDIMEX\Projekty\DANWOOD 2017\DE\06 Czerwiec\23 Lehner Christian 10089","Lehner Christian")</f>
        <v>Lehner Christian</v>
      </c>
      <c r="D253" s="12">
        <v>10089</v>
      </c>
      <c r="E253" s="17" t="s">
        <v>15</v>
      </c>
      <c r="F253" s="17" t="s">
        <v>1</v>
      </c>
      <c r="G253" s="7" t="s">
        <v>9</v>
      </c>
      <c r="H253" s="6"/>
      <c r="I253" s="14" t="s">
        <v>41</v>
      </c>
      <c r="J253" t="s">
        <v>87</v>
      </c>
      <c r="K253" s="6"/>
    </row>
    <row r="254" spans="1:11" ht="15.75" thickBot="1" x14ac:dyDescent="0.3">
      <c r="A254" s="58" t="s">
        <v>80</v>
      </c>
      <c r="B254" s="12">
        <v>24</v>
      </c>
      <c r="C254" s="31" t="str">
        <f>HYPERLINK("\\Elam-pliki\firmowe\BUDIMEX\Projekty\DANWOOD 2017\DE\06 Czerwiec\24 Seiler Martin 10062","Seiler Martin")</f>
        <v>Seiler Martin</v>
      </c>
      <c r="D254" s="12">
        <v>10062</v>
      </c>
      <c r="E254" s="17" t="s">
        <v>15</v>
      </c>
      <c r="F254" s="17" t="s">
        <v>1</v>
      </c>
      <c r="G254" s="7" t="s">
        <v>30</v>
      </c>
      <c r="H254" s="6"/>
      <c r="I254" s="14" t="s">
        <v>41</v>
      </c>
      <c r="J254" t="s">
        <v>87</v>
      </c>
      <c r="K254" s="6"/>
    </row>
    <row r="255" spans="1:11" ht="15.75" thickBot="1" x14ac:dyDescent="0.3">
      <c r="A255" s="58" t="s">
        <v>80</v>
      </c>
      <c r="B255" s="26">
        <v>25</v>
      </c>
      <c r="C255" s="35" t="str">
        <f>HYPERLINK("\\Elam-pliki\firmowe\BUDIMEX\Projekty\DANWOOD 2017\DE\06 Czerwiec\25 Heinle 10227","Heinle")</f>
        <v>Heinle</v>
      </c>
      <c r="D255" s="26">
        <v>10227</v>
      </c>
      <c r="E255" s="28" t="s">
        <v>50</v>
      </c>
      <c r="F255" s="28" t="s">
        <v>4</v>
      </c>
      <c r="G255" s="7" t="s">
        <v>27</v>
      </c>
      <c r="H255" s="6"/>
      <c r="I255" s="14" t="s">
        <v>39</v>
      </c>
      <c r="J255" t="s">
        <v>117</v>
      </c>
      <c r="K255" s="6"/>
    </row>
    <row r="256" spans="1:11" ht="15.75" thickBot="1" x14ac:dyDescent="0.3">
      <c r="A256" s="58" t="s">
        <v>80</v>
      </c>
      <c r="B256" s="26">
        <v>26</v>
      </c>
      <c r="C256" s="35" t="str">
        <f>HYPERLINK("\\Elam-pliki\firmowe\BUDIMEX\Projekty\DANWOOD 2017\DE\06 Czerwiec\26 Walther Ulf 10691","Walther Ulf")</f>
        <v>Walther Ulf</v>
      </c>
      <c r="D256" s="26">
        <v>10691</v>
      </c>
      <c r="E256" s="28"/>
      <c r="F256" s="28" t="s">
        <v>4</v>
      </c>
      <c r="G256" s="7" t="s">
        <v>12</v>
      </c>
      <c r="H256" s="6"/>
      <c r="I256" s="14" t="s">
        <v>42</v>
      </c>
      <c r="J256" t="s">
        <v>87</v>
      </c>
      <c r="K256" s="6"/>
    </row>
    <row r="257" spans="1:11" ht="15.75" thickBot="1" x14ac:dyDescent="0.3">
      <c r="A257" s="58" t="s">
        <v>80</v>
      </c>
      <c r="B257" s="12">
        <v>27</v>
      </c>
      <c r="C257" s="31" t="str">
        <f>HYPERLINK("\\Elam-pliki\firmowe\BUDIMEX\Projekty\DANWOOD 2017\DE\06 Czerwiec\27 Koglbauer Sabrina  11086","Koglbauer Sabrina")</f>
        <v>Koglbauer Sabrina</v>
      </c>
      <c r="D257" s="12">
        <v>11086</v>
      </c>
      <c r="E257" s="36" t="s">
        <v>5</v>
      </c>
      <c r="F257" s="17" t="s">
        <v>1</v>
      </c>
      <c r="G257" s="7" t="s">
        <v>7</v>
      </c>
      <c r="H257" s="6" t="s">
        <v>0</v>
      </c>
      <c r="I257" s="14" t="s">
        <v>37</v>
      </c>
      <c r="J257" t="s">
        <v>87</v>
      </c>
      <c r="K257" s="37" t="s">
        <v>3</v>
      </c>
    </row>
    <row r="258" spans="1:11" ht="15.75" thickBot="1" x14ac:dyDescent="0.3">
      <c r="A258" s="58" t="s">
        <v>80</v>
      </c>
      <c r="B258" s="12">
        <v>28</v>
      </c>
      <c r="C258" s="31" t="str">
        <f>HYPERLINK("\\Elam-pliki\firmowe\BUDIMEX\PROJEKTY\DANWOOD 2017\DE\06 Czerwiec\28 Koglbauer Rene 11085","Koglbauer Rene")</f>
        <v>Koglbauer Rene</v>
      </c>
      <c r="D258" s="12">
        <v>11085</v>
      </c>
      <c r="E258" s="36" t="s">
        <v>5</v>
      </c>
      <c r="F258" s="17" t="s">
        <v>1</v>
      </c>
      <c r="G258" s="7" t="s">
        <v>7</v>
      </c>
      <c r="H258" s="6" t="s">
        <v>0</v>
      </c>
      <c r="I258" s="14" t="s">
        <v>37</v>
      </c>
      <c r="J258" t="s">
        <v>87</v>
      </c>
      <c r="K258" s="37" t="s">
        <v>3</v>
      </c>
    </row>
    <row r="259" spans="1:11" ht="15.75" thickBot="1" x14ac:dyDescent="0.3">
      <c r="A259" s="58" t="s">
        <v>80</v>
      </c>
      <c r="B259" s="12">
        <v>29</v>
      </c>
      <c r="C259" s="31" t="str">
        <f>HYPERLINK("\\Elam-pliki\firmowe\BUDIMEX\Projekty\DANWOOD 2017\DE\06 Czerwiec\29 Hofmann 9562","Hofmann")</f>
        <v>Hofmann</v>
      </c>
      <c r="D259" s="12">
        <v>9562</v>
      </c>
      <c r="E259" s="17" t="s">
        <v>15</v>
      </c>
      <c r="F259" s="17" t="s">
        <v>1</v>
      </c>
      <c r="G259" s="7" t="s">
        <v>13</v>
      </c>
      <c r="H259" s="6"/>
      <c r="I259" s="14" t="s">
        <v>41</v>
      </c>
      <c r="J259" t="s">
        <v>87</v>
      </c>
      <c r="K259" s="6"/>
    </row>
    <row r="260" spans="1:11" ht="15.75" thickBot="1" x14ac:dyDescent="0.3">
      <c r="A260" s="58" t="s">
        <v>80</v>
      </c>
      <c r="B260" s="7">
        <v>30</v>
      </c>
      <c r="C260" s="34" t="str">
        <f>HYPERLINK("\\Elam-pliki\firmowe\BUDIMEX\Projekty\DANWOOD 2017\DE\06 Czerwiec\30 Reider 9009","Reider")</f>
        <v>Reider</v>
      </c>
      <c r="D260" s="7">
        <v>9009</v>
      </c>
      <c r="E260" s="6" t="s">
        <v>50</v>
      </c>
      <c r="F260" s="6"/>
      <c r="G260" s="7" t="s">
        <v>27</v>
      </c>
      <c r="H260" s="6"/>
      <c r="I260" s="14" t="s">
        <v>42</v>
      </c>
      <c r="J260" t="s">
        <v>87</v>
      </c>
      <c r="K260" s="6"/>
    </row>
    <row r="261" spans="1:11" ht="15.75" thickBot="1" x14ac:dyDescent="0.3">
      <c r="A261" s="58" t="s">
        <v>80</v>
      </c>
      <c r="B261" s="12">
        <v>31</v>
      </c>
      <c r="C261" s="31" t="str">
        <f>HYPERLINK("\\Elam-pliki\firmowe\BUDIMEX\Projekty\DANWOOD 2017\DE\06 Czerwiec\31 Grizis 9628","Grizis")</f>
        <v>Grizis</v>
      </c>
      <c r="D261" s="12">
        <v>9628</v>
      </c>
      <c r="E261" s="17"/>
      <c r="F261" s="17" t="s">
        <v>1</v>
      </c>
      <c r="G261" s="7" t="s">
        <v>55</v>
      </c>
      <c r="H261" s="6"/>
      <c r="I261" s="14" t="s">
        <v>39</v>
      </c>
      <c r="J261" t="s">
        <v>92</v>
      </c>
      <c r="K261" s="6"/>
    </row>
    <row r="262" spans="1:11" ht="15.75" thickBot="1" x14ac:dyDescent="0.3">
      <c r="A262" s="58" t="s">
        <v>80</v>
      </c>
      <c r="B262" s="12">
        <v>32</v>
      </c>
      <c r="C262" s="31" t="str">
        <f>HYPERLINK("\\Elam-pliki\firmowe\BUDIMEX\Projekty\DANWOOD 2017\DE\06 Czerwiec\32 Donnerstag 10717","Donnerstag")</f>
        <v>Donnerstag</v>
      </c>
      <c r="D262" s="12">
        <v>10717</v>
      </c>
      <c r="E262" s="17"/>
      <c r="F262" s="17" t="s">
        <v>1</v>
      </c>
      <c r="G262" s="7" t="s">
        <v>20</v>
      </c>
      <c r="H262" s="6"/>
      <c r="I262" s="14" t="s">
        <v>42</v>
      </c>
      <c r="J262" t="s">
        <v>87</v>
      </c>
      <c r="K262" s="6"/>
    </row>
    <row r="263" spans="1:11" ht="15.75" thickBot="1" x14ac:dyDescent="0.3">
      <c r="A263" s="58" t="s">
        <v>80</v>
      </c>
      <c r="B263" s="12">
        <v>33</v>
      </c>
      <c r="C263" s="31" t="str">
        <f>HYPERLINK("\\Elam-pliki\firmowe\BUDIMEX\Projekty\DANWOOD 2017\DE\06 Czerwiec\33 Kuke 9938","Kuke")</f>
        <v>Kuke</v>
      </c>
      <c r="D263" s="12">
        <v>9938</v>
      </c>
      <c r="E263" s="17"/>
      <c r="F263" s="17" t="s">
        <v>1</v>
      </c>
      <c r="G263" s="7" t="s">
        <v>27</v>
      </c>
      <c r="H263" s="6"/>
      <c r="I263" s="14" t="s">
        <v>39</v>
      </c>
      <c r="J263" t="s">
        <v>87</v>
      </c>
      <c r="K263" s="6"/>
    </row>
    <row r="264" spans="1:11" ht="15.75" thickBot="1" x14ac:dyDescent="0.3">
      <c r="A264" s="58" t="s">
        <v>80</v>
      </c>
      <c r="B264" s="7">
        <v>34</v>
      </c>
      <c r="C264" s="34" t="str">
        <f>HYPERLINK("\\Elam-pliki\firmowe\BUDIMEX\Projekty\DANWOOD 2017\DE\06 Czerwiec\34 Marques Jose Miguel 9241","Marques Jose Miguel")</f>
        <v>Marques Jose Miguel</v>
      </c>
      <c r="D264" s="7">
        <v>9241</v>
      </c>
      <c r="E264" s="6"/>
      <c r="F264" s="6" t="s">
        <v>4</v>
      </c>
      <c r="G264" s="7" t="s">
        <v>55</v>
      </c>
      <c r="H264" s="6"/>
      <c r="I264" s="14" t="s">
        <v>42</v>
      </c>
      <c r="J264" t="s">
        <v>92</v>
      </c>
      <c r="K264" s="6"/>
    </row>
    <row r="265" spans="1:11" ht="15.75" thickBot="1" x14ac:dyDescent="0.3">
      <c r="A265" s="58" t="s">
        <v>80</v>
      </c>
      <c r="B265" s="12">
        <v>35</v>
      </c>
      <c r="C265" s="31" t="str">
        <f>HYPERLINK("\\Elam-pliki\firmowe\BUDIMEX\Projekty\DANWOOD 2017\DE\06 Czerwiec\35 Hehle Carolin 10773","Hehle Carolin")</f>
        <v>Hehle Carolin</v>
      </c>
      <c r="D265" s="12">
        <v>10773</v>
      </c>
      <c r="E265" s="17" t="s">
        <v>43</v>
      </c>
      <c r="F265" s="17" t="s">
        <v>1</v>
      </c>
      <c r="G265" s="7" t="s">
        <v>34</v>
      </c>
      <c r="H265" s="6"/>
      <c r="I265" s="14" t="s">
        <v>42</v>
      </c>
      <c r="J265" t="s">
        <v>87</v>
      </c>
      <c r="K265" s="6"/>
    </row>
    <row r="266" spans="1:11" ht="15.75" thickBot="1" x14ac:dyDescent="0.3">
      <c r="A266" s="58" t="s">
        <v>80</v>
      </c>
      <c r="B266" s="12">
        <v>36</v>
      </c>
      <c r="C266" s="31" t="str">
        <f>HYPERLINK("\\Elam-pliki\firmowe\BUDIMEX\Projekty\DANWOOD 2017\DE\06 Czerwiec\36 Artner 11061","Artner")</f>
        <v>Artner</v>
      </c>
      <c r="D266" s="12">
        <v>11061</v>
      </c>
      <c r="E266" s="36" t="s">
        <v>5</v>
      </c>
      <c r="F266" s="17" t="s">
        <v>1</v>
      </c>
      <c r="G266" s="7" t="s">
        <v>21</v>
      </c>
      <c r="H266" s="6" t="s">
        <v>0</v>
      </c>
      <c r="I266" s="14" t="s">
        <v>37</v>
      </c>
      <c r="J266" t="s">
        <v>87</v>
      </c>
      <c r="K266" s="37" t="s">
        <v>3</v>
      </c>
    </row>
    <row r="267" spans="1:11" ht="15.75" thickBot="1" x14ac:dyDescent="0.3">
      <c r="A267" s="58" t="s">
        <v>80</v>
      </c>
      <c r="B267" s="12">
        <v>37</v>
      </c>
      <c r="C267" s="31" t="str">
        <f>HYPERLINK("\\Elam-pliki\firmowe\BUDIMEX\Projekty\DANWOOD 2017\DE\06 Czerwiec\37 Loibl 10211","Loibl")</f>
        <v>Loibl</v>
      </c>
      <c r="D267" s="12">
        <v>10211</v>
      </c>
      <c r="E267" s="17" t="s">
        <v>50</v>
      </c>
      <c r="F267" s="17" t="s">
        <v>1</v>
      </c>
      <c r="G267" s="7" t="s">
        <v>11</v>
      </c>
      <c r="H267" s="6"/>
      <c r="I267" s="14" t="s">
        <v>37</v>
      </c>
      <c r="J267" t="s">
        <v>87</v>
      </c>
      <c r="K267" s="6"/>
    </row>
    <row r="268" spans="1:11" ht="15.75" thickBot="1" x14ac:dyDescent="0.3">
      <c r="A268" s="58" t="s">
        <v>80</v>
      </c>
      <c r="B268" s="26">
        <v>38</v>
      </c>
      <c r="C268" s="35" t="str">
        <f>HYPERLINK("\\Elam-pliki\firmowe\BUDIMEX\Projekty\DANWOOD 2017\DE\06 Czerwiec\38 Hertenstein Bernd 9326","Hertenstein Bernd")</f>
        <v>Hertenstein Bernd</v>
      </c>
      <c r="D268" s="26">
        <v>9326</v>
      </c>
      <c r="E268" s="28" t="s">
        <v>43</v>
      </c>
      <c r="F268" s="28" t="s">
        <v>4</v>
      </c>
      <c r="G268" s="7" t="s">
        <v>17</v>
      </c>
      <c r="H268" s="6"/>
      <c r="I268" s="14" t="s">
        <v>39</v>
      </c>
      <c r="J268" t="s">
        <v>118</v>
      </c>
      <c r="K268" s="6"/>
    </row>
    <row r="269" spans="1:11" ht="15.75" thickBot="1" x14ac:dyDescent="0.3">
      <c r="A269" s="58" t="s">
        <v>80</v>
      </c>
      <c r="B269" s="12">
        <v>39</v>
      </c>
      <c r="C269" s="31" t="str">
        <f>HYPERLINK("\\Elam-pliki\firmowe\BUDIMEX\Projekty\DANWOOD 2017\DE\06 Czerwiec\39 Park 10380","Park")</f>
        <v>Park</v>
      </c>
      <c r="D269" s="12">
        <v>10380</v>
      </c>
      <c r="E269" s="36" t="s">
        <v>5</v>
      </c>
      <c r="F269" s="17" t="s">
        <v>1</v>
      </c>
      <c r="G269" s="7" t="s">
        <v>32</v>
      </c>
      <c r="H269" s="6"/>
      <c r="I269" s="14" t="s">
        <v>41</v>
      </c>
      <c r="J269" t="s">
        <v>87</v>
      </c>
      <c r="K269" s="37" t="s">
        <v>6</v>
      </c>
    </row>
    <row r="270" spans="1:11" ht="15.75" thickBot="1" x14ac:dyDescent="0.3">
      <c r="A270" s="58" t="s">
        <v>80</v>
      </c>
      <c r="B270" s="26">
        <v>40</v>
      </c>
      <c r="C270" s="35" t="str">
        <f>HYPERLINK("\\Elam-pliki\firmowe\BUDIMEX\Projekty\DANWOOD 2017\DE\06 Czerwiec\40 Kalbacher 1 10372","Kalbacher 1")</f>
        <v>Kalbacher 1</v>
      </c>
      <c r="D270" s="26">
        <v>10372</v>
      </c>
      <c r="E270" s="28"/>
      <c r="F270" s="28" t="s">
        <v>4</v>
      </c>
      <c r="G270" s="7" t="s">
        <v>55</v>
      </c>
      <c r="H270" s="6"/>
      <c r="I270" s="14" t="s">
        <v>37</v>
      </c>
      <c r="J270" t="s">
        <v>119</v>
      </c>
      <c r="K270" s="6"/>
    </row>
    <row r="271" spans="1:11" ht="15.75" thickBot="1" x14ac:dyDescent="0.3">
      <c r="A271" s="58" t="s">
        <v>80</v>
      </c>
      <c r="B271" s="26">
        <v>41</v>
      </c>
      <c r="C271" s="35" t="str">
        <f>HYPERLINK("\\Elam-pliki\firmowe\BUDIMEX\Projekty\DANWOOD 2017\DE\06 Czerwiec\41 Kalbacher 2 10373","Kalbacher 2")</f>
        <v>Kalbacher 2</v>
      </c>
      <c r="D271" s="26">
        <v>10373</v>
      </c>
      <c r="E271" s="28"/>
      <c r="F271" s="28" t="s">
        <v>4</v>
      </c>
      <c r="G271" s="7" t="s">
        <v>55</v>
      </c>
      <c r="H271" s="6"/>
      <c r="I271" s="14" t="s">
        <v>37</v>
      </c>
      <c r="J271" t="s">
        <v>119</v>
      </c>
      <c r="K271" s="6"/>
    </row>
    <row r="272" spans="1:11" ht="15.75" thickBot="1" x14ac:dyDescent="0.3">
      <c r="A272" s="58" t="s">
        <v>80</v>
      </c>
      <c r="B272" s="12">
        <v>42</v>
      </c>
      <c r="C272" s="31" t="str">
        <f>HYPERLINK("\\Elam-pliki\firmowe\BUDIMEX\Projekty\DANWOOD 2017\DE\06 Czerwiec\42 Lommatzsch Leandro 9921","Lommatzsch Leandro")</f>
        <v>Lommatzsch Leandro</v>
      </c>
      <c r="D272" s="12">
        <v>9921</v>
      </c>
      <c r="E272" s="17" t="s">
        <v>43</v>
      </c>
      <c r="F272" s="17" t="s">
        <v>1</v>
      </c>
      <c r="G272" s="7" t="s">
        <v>17</v>
      </c>
      <c r="H272" s="6"/>
      <c r="I272" s="14" t="s">
        <v>37</v>
      </c>
      <c r="J272" t="s">
        <v>120</v>
      </c>
      <c r="K272" s="6"/>
    </row>
    <row r="273" spans="1:11" ht="15.75" thickBot="1" x14ac:dyDescent="0.3">
      <c r="A273" s="58" t="s">
        <v>80</v>
      </c>
      <c r="B273" s="12">
        <v>43</v>
      </c>
      <c r="C273" s="31" t="str">
        <f>HYPERLINK("\\Elam-pliki\firmowe\BUDIMEX\Projekty\DANWOOD 2017\DE\06 Czerwiec\43 Bschierl DHH A 10091","Bschierl DHH A")</f>
        <v>Bschierl DHH A</v>
      </c>
      <c r="D273" s="12">
        <v>10091</v>
      </c>
      <c r="E273" s="17" t="s">
        <v>29</v>
      </c>
      <c r="F273" s="17" t="s">
        <v>1</v>
      </c>
      <c r="G273" s="7" t="s">
        <v>10</v>
      </c>
      <c r="H273" s="6"/>
      <c r="I273" s="14" t="s">
        <v>42</v>
      </c>
      <c r="J273" t="s">
        <v>92</v>
      </c>
      <c r="K273" s="6"/>
    </row>
    <row r="274" spans="1:11" ht="15.75" thickBot="1" x14ac:dyDescent="0.3">
      <c r="A274" s="58" t="s">
        <v>80</v>
      </c>
      <c r="B274" s="12">
        <v>44</v>
      </c>
      <c r="C274" s="31" t="str">
        <f>HYPERLINK("\\Elam-pliki\firmowe\BUDIMEX\Projekty\DANWOOD 2017\DE\06 Czerwiec\44 Bschierl DHH B 10092","Bschierl DHH B")</f>
        <v>Bschierl DHH B</v>
      </c>
      <c r="D274" s="12">
        <v>10092</v>
      </c>
      <c r="E274" s="17" t="s">
        <v>29</v>
      </c>
      <c r="F274" s="17" t="s">
        <v>1</v>
      </c>
      <c r="G274" s="7" t="s">
        <v>10</v>
      </c>
      <c r="H274" s="6"/>
      <c r="I274" s="14" t="s">
        <v>42</v>
      </c>
      <c r="J274" t="s">
        <v>121</v>
      </c>
      <c r="K274" s="6"/>
    </row>
    <row r="275" spans="1:11" ht="15.75" thickBot="1" x14ac:dyDescent="0.3">
      <c r="A275" s="58" t="s">
        <v>80</v>
      </c>
      <c r="B275" s="7">
        <v>45</v>
      </c>
      <c r="C275" s="34" t="str">
        <f>HYPERLINK("\\Elam-pliki\firmowe\BUDIMEX\Projekty\DANWOOD 2017\DE\06 Czerwiec\45 Chlupka 10315","Chlupka")</f>
        <v>Chlupka</v>
      </c>
      <c r="D275" s="7">
        <v>10315</v>
      </c>
      <c r="E275" s="6" t="s">
        <v>43</v>
      </c>
      <c r="F275" s="6"/>
      <c r="G275" s="7" t="s">
        <v>19</v>
      </c>
      <c r="H275" s="6"/>
      <c r="I275" s="14" t="s">
        <v>39</v>
      </c>
      <c r="J275" t="s">
        <v>122</v>
      </c>
      <c r="K275" s="6"/>
    </row>
    <row r="276" spans="1:11" ht="15.75" thickBot="1" x14ac:dyDescent="0.3">
      <c r="A276" s="58" t="s">
        <v>80</v>
      </c>
      <c r="B276" s="26">
        <v>46</v>
      </c>
      <c r="C276" s="35" t="str">
        <f>HYPERLINK("\\Elam-pliki\firmowe\BUDIMEX\Projekty\DANWOOD 2017\DE\06 Czerwiec\46 Glück Claudia 9629","Glück Claudia")</f>
        <v>Glück Claudia</v>
      </c>
      <c r="D276" s="26">
        <v>9629</v>
      </c>
      <c r="E276" s="28"/>
      <c r="F276" s="28" t="s">
        <v>4</v>
      </c>
      <c r="G276" s="7" t="s">
        <v>17</v>
      </c>
      <c r="H276" s="6"/>
      <c r="I276" s="14" t="s">
        <v>39</v>
      </c>
      <c r="J276" t="s">
        <v>87</v>
      </c>
      <c r="K276" s="6"/>
    </row>
    <row r="277" spans="1:11" ht="15.75" thickBot="1" x14ac:dyDescent="0.3">
      <c r="A277" s="58" t="s">
        <v>80</v>
      </c>
      <c r="B277" s="12">
        <v>47</v>
      </c>
      <c r="C277" s="31" t="str">
        <f>HYPERLINK("\\Elam-pliki\firmowe\BUDIMEX\Projekty\DANWOOD 2017\DE\06 Czerwiec\47 Prowatschke Schnelle 10012","Prowatschke Schnelle")</f>
        <v>Prowatschke Schnelle</v>
      </c>
      <c r="D277" s="12">
        <v>10012</v>
      </c>
      <c r="E277" s="17"/>
      <c r="F277" s="17" t="s">
        <v>1</v>
      </c>
      <c r="G277" s="7" t="s">
        <v>12</v>
      </c>
      <c r="H277" s="6"/>
      <c r="I277" s="14" t="s">
        <v>37</v>
      </c>
      <c r="J277" t="s">
        <v>87</v>
      </c>
      <c r="K277" s="6"/>
    </row>
    <row r="278" spans="1:11" ht="15.75" thickBot="1" x14ac:dyDescent="0.3">
      <c r="A278" s="58" t="s">
        <v>80</v>
      </c>
      <c r="B278" s="12">
        <v>48</v>
      </c>
      <c r="C278" s="31" t="str">
        <f>HYPERLINK("\\Elam-pliki\firmowe\BUDIMEX\Projekty\DANWOOD 2017\DE\06 Czerwiec\48 Brunschwiler 9688","Brunschwiler")</f>
        <v>Brunschwiler</v>
      </c>
      <c r="D278" s="12">
        <v>9688</v>
      </c>
      <c r="E278" s="17" t="s">
        <v>56</v>
      </c>
      <c r="F278" s="17" t="s">
        <v>1</v>
      </c>
      <c r="G278" s="7" t="s">
        <v>45</v>
      </c>
      <c r="H278" s="6"/>
      <c r="I278" s="14" t="s">
        <v>39</v>
      </c>
      <c r="J278" s="46" t="s">
        <v>123</v>
      </c>
      <c r="K278" s="6"/>
    </row>
    <row r="279" spans="1:11" ht="15.75" thickBot="1" x14ac:dyDescent="0.3">
      <c r="A279" s="58" t="s">
        <v>80</v>
      </c>
      <c r="B279" s="12">
        <v>49</v>
      </c>
      <c r="C279" s="31" t="str">
        <f>HYPERLINK("\\Elam-pliki\firmowe\BUDIMEX\PROJEKTY\DANWOOD 2017\DE\06 Czerwiec\49 Steinmayr 9470","Steinmayr")</f>
        <v>Steinmayr</v>
      </c>
      <c r="D279" s="12">
        <v>9470</v>
      </c>
      <c r="E279" s="17" t="s">
        <v>15</v>
      </c>
      <c r="F279" s="17" t="s">
        <v>1</v>
      </c>
      <c r="G279" s="11" t="s">
        <v>19</v>
      </c>
      <c r="H279" s="6"/>
      <c r="I279" s="14" t="s">
        <v>37</v>
      </c>
      <c r="J279" t="s">
        <v>87</v>
      </c>
      <c r="K279" s="6"/>
    </row>
    <row r="280" spans="1:11" ht="15.75" thickBot="1" x14ac:dyDescent="0.3">
      <c r="A280" s="58" t="s">
        <v>80</v>
      </c>
      <c r="B280" s="26">
        <v>50</v>
      </c>
      <c r="C280" s="35" t="str">
        <f>HYPERLINK("\\Elam-pliki\firmowe\BUDIMEX\Projekty\DANWOOD 2017\DE\06 Czerwiec\50 Schubarth 9883","Schubarth")</f>
        <v>Schubarth</v>
      </c>
      <c r="D280" s="26">
        <v>9883</v>
      </c>
      <c r="E280" s="28"/>
      <c r="F280" s="28" t="s">
        <v>4</v>
      </c>
      <c r="G280" s="7" t="s">
        <v>13</v>
      </c>
      <c r="H280" s="6"/>
      <c r="I280" s="14" t="s">
        <v>39</v>
      </c>
      <c r="J280" t="s">
        <v>92</v>
      </c>
      <c r="K280" s="6"/>
    </row>
    <row r="281" spans="1:11" ht="15.75" thickBot="1" x14ac:dyDescent="0.3">
      <c r="A281" s="58" t="s">
        <v>80</v>
      </c>
      <c r="B281" s="7">
        <v>51</v>
      </c>
      <c r="C281" s="34" t="str">
        <f>HYPERLINK("\\Elam-pliki\firmowe\BUDIMEX\Projekty\DANWOOD 2017\DE\06 Czerwiec\51 Salathe 10290","Salathe")</f>
        <v>Salathe</v>
      </c>
      <c r="D281" s="7">
        <v>10290</v>
      </c>
      <c r="E281" s="6"/>
      <c r="F281" s="6"/>
      <c r="G281" s="7" t="s">
        <v>55</v>
      </c>
      <c r="H281" s="6"/>
      <c r="I281" s="14" t="s">
        <v>39</v>
      </c>
      <c r="J281" t="s">
        <v>87</v>
      </c>
      <c r="K281" s="6"/>
    </row>
    <row r="282" spans="1:11" ht="15.75" thickBot="1" x14ac:dyDescent="0.3">
      <c r="A282" s="58" t="s">
        <v>80</v>
      </c>
      <c r="B282" s="12">
        <v>52</v>
      </c>
      <c r="C282" s="31" t="str">
        <f>HYPERLINK("\\Elam-pliki\firmowe\BUDIMEX\Projekty\DANWOOD 2017\DE\06 Czerwiec\52 Mayer Marc-Andre 10135","Mayer Marc-Andre")</f>
        <v>Mayer Marc-Andre</v>
      </c>
      <c r="D282" s="12">
        <v>10135</v>
      </c>
      <c r="E282" s="17"/>
      <c r="F282" s="17" t="s">
        <v>1</v>
      </c>
      <c r="G282" s="7" t="s">
        <v>27</v>
      </c>
      <c r="H282" s="6"/>
      <c r="I282" s="14" t="s">
        <v>37</v>
      </c>
      <c r="J282" t="s">
        <v>124</v>
      </c>
      <c r="K282" s="6"/>
    </row>
    <row r="283" spans="1:11" ht="15.75" thickBot="1" x14ac:dyDescent="0.3">
      <c r="A283" s="58" t="s">
        <v>80</v>
      </c>
      <c r="B283" s="12">
        <v>53</v>
      </c>
      <c r="C283" s="31" t="str">
        <f>HYPERLINK("\\Elam-pliki\firmowe\BUDIMEX\Projekty\DANWOOD 2017\DE\06 Czerwiec\53 Schmidtner 10271","Schmidtner")</f>
        <v>Schmidtner</v>
      </c>
      <c r="D283" s="12">
        <v>10271</v>
      </c>
      <c r="E283" s="17"/>
      <c r="F283" s="17" t="s">
        <v>1</v>
      </c>
      <c r="G283" s="7" t="s">
        <v>11</v>
      </c>
      <c r="H283" s="6"/>
      <c r="I283" s="14" t="s">
        <v>39</v>
      </c>
      <c r="J283" t="s">
        <v>87</v>
      </c>
      <c r="K283" s="6"/>
    </row>
    <row r="284" spans="1:11" ht="15.75" thickBot="1" x14ac:dyDescent="0.3">
      <c r="A284" s="58" t="s">
        <v>80</v>
      </c>
      <c r="B284" s="12">
        <v>54</v>
      </c>
      <c r="C284" s="31" t="str">
        <f>HYPERLINK("\\Elam-pliki\firmowe\BUDIMEX\Projekty\DANWOOD 2017\DE\06 Czerwiec\54 Knaier 10195","Knaier")</f>
        <v>Knaier</v>
      </c>
      <c r="D284" s="12">
        <v>10195</v>
      </c>
      <c r="E284" s="17"/>
      <c r="F284" s="17" t="s">
        <v>1</v>
      </c>
      <c r="G284" s="7" t="s">
        <v>13</v>
      </c>
      <c r="H284" s="6"/>
      <c r="I284" s="14" t="s">
        <v>42</v>
      </c>
      <c r="J284" t="s">
        <v>87</v>
      </c>
      <c r="K284" s="6"/>
    </row>
    <row r="285" spans="1:11" ht="15.75" thickBot="1" x14ac:dyDescent="0.3">
      <c r="A285" s="58" t="s">
        <v>80</v>
      </c>
      <c r="B285" s="26">
        <v>55</v>
      </c>
      <c r="C285" s="35" t="str">
        <f>HYPERLINK("\\Elam-pliki\firmowe\BUDIMEX\Projekty\DANWOOD 2017\DE\06 Czerwiec\55 Burkhardt 9929","Burkhardt")</f>
        <v>Burkhardt</v>
      </c>
      <c r="D285" s="26">
        <v>9929</v>
      </c>
      <c r="E285" s="28"/>
      <c r="F285" s="28" t="s">
        <v>4</v>
      </c>
      <c r="G285" s="7" t="s">
        <v>16</v>
      </c>
      <c r="H285" s="6"/>
      <c r="I285" s="14" t="s">
        <v>39</v>
      </c>
      <c r="J285" t="s">
        <v>87</v>
      </c>
      <c r="K285" s="6"/>
    </row>
    <row r="286" spans="1:11" ht="15.75" thickBot="1" x14ac:dyDescent="0.3">
      <c r="A286" s="58" t="s">
        <v>80</v>
      </c>
      <c r="B286" s="12">
        <v>56</v>
      </c>
      <c r="C286" s="31" t="str">
        <f>HYPERLINK("\\Elam-pliki\firmowe\BUDIMEX\Projekty\DANWOOD 2017\DE\06 Czerwiec\56 Dressendörfer 10460","Dressendörfer")</f>
        <v>Dressendörfer</v>
      </c>
      <c r="D286" s="12">
        <v>10460</v>
      </c>
      <c r="E286" s="17"/>
      <c r="F286" s="17" t="s">
        <v>1</v>
      </c>
      <c r="G286" s="7" t="s">
        <v>13</v>
      </c>
      <c r="H286" s="6"/>
      <c r="I286" s="14" t="s">
        <v>39</v>
      </c>
      <c r="J286" t="s">
        <v>87</v>
      </c>
      <c r="K286" s="6"/>
    </row>
    <row r="287" spans="1:11" ht="15.75" thickBot="1" x14ac:dyDescent="0.3">
      <c r="A287" s="58" t="s">
        <v>80</v>
      </c>
      <c r="B287" s="12">
        <v>57</v>
      </c>
      <c r="C287" s="31" t="str">
        <f>HYPERLINK("\\Elam-pliki\firmowe\BUDIMEX\Projekty\DANWOOD 2017\DE\06 Czerwiec\57  Fritsch 10558","Fritsch")</f>
        <v>Fritsch</v>
      </c>
      <c r="D287" s="12">
        <v>10558</v>
      </c>
      <c r="E287" s="17"/>
      <c r="F287" s="17" t="s">
        <v>1</v>
      </c>
      <c r="G287" s="7" t="s">
        <v>51</v>
      </c>
      <c r="H287" s="6"/>
      <c r="I287" s="14" t="s">
        <v>39</v>
      </c>
      <c r="J287" t="s">
        <v>125</v>
      </c>
      <c r="K287" s="6"/>
    </row>
    <row r="288" spans="1:11" ht="15.75" thickBot="1" x14ac:dyDescent="0.3">
      <c r="A288" s="58" t="s">
        <v>80</v>
      </c>
      <c r="B288" s="19">
        <v>58</v>
      </c>
      <c r="C288" s="32" t="str">
        <f>HYPERLINK("\\Elam-pliki\firmowe\BUDIMEX\Projekty\DANWOOD 2017\DE\06 Czerwiec\58 Schleich 11413","Schleich")</f>
        <v>Schleich</v>
      </c>
      <c r="D288" s="19">
        <v>11413</v>
      </c>
      <c r="E288" s="47" t="s">
        <v>5</v>
      </c>
      <c r="F288" s="20" t="s">
        <v>1</v>
      </c>
      <c r="G288" s="9" t="s">
        <v>21</v>
      </c>
      <c r="H288" s="8" t="s">
        <v>0</v>
      </c>
      <c r="I288" s="16" t="s">
        <v>37</v>
      </c>
      <c r="J288" s="3" t="s">
        <v>87</v>
      </c>
      <c r="K288" s="48" t="s">
        <v>3</v>
      </c>
    </row>
    <row r="289" spans="1:11" ht="15" customHeight="1" thickBot="1" x14ac:dyDescent="0.3">
      <c r="A289" s="58" t="s">
        <v>81</v>
      </c>
      <c r="B289" s="12">
        <v>1</v>
      </c>
      <c r="C289" s="31" t="str">
        <f>HYPERLINK("\\Elam-pliki\firmowe\BUDIMEX\Projekty\DANWOOD 2017\DE\07 Lipiec\01 Ginkel 10901","Ginkel")</f>
        <v>Ginkel</v>
      </c>
      <c r="D289" s="12">
        <v>10901</v>
      </c>
      <c r="E289" s="17" t="s">
        <v>15</v>
      </c>
      <c r="F289" s="17" t="s">
        <v>1</v>
      </c>
      <c r="G289" s="7" t="s">
        <v>13</v>
      </c>
      <c r="H289" s="6"/>
      <c r="I289" s="14" t="s">
        <v>39</v>
      </c>
      <c r="J289" t="s">
        <v>87</v>
      </c>
      <c r="K289" s="6"/>
    </row>
    <row r="290" spans="1:11" ht="15.75" thickBot="1" x14ac:dyDescent="0.3">
      <c r="A290" s="58" t="s">
        <v>81</v>
      </c>
      <c r="B290" s="12">
        <v>2</v>
      </c>
      <c r="C290" s="31" t="str">
        <f>HYPERLINK("\\Elam-pliki\firmowe\BUDIMEX\Projekty\DANWOOD 2017\DE\07 Lipiec\02 Wagenbrenner  10604","Wagenbrenner")</f>
        <v>Wagenbrenner</v>
      </c>
      <c r="D290" s="12">
        <v>10604</v>
      </c>
      <c r="E290" s="17"/>
      <c r="F290" s="17" t="s">
        <v>1</v>
      </c>
      <c r="G290" s="7" t="s">
        <v>30</v>
      </c>
      <c r="H290" s="6"/>
      <c r="I290" s="14" t="s">
        <v>39</v>
      </c>
      <c r="J290" t="s">
        <v>87</v>
      </c>
      <c r="K290" s="6"/>
    </row>
    <row r="291" spans="1:11" ht="15.75" thickBot="1" x14ac:dyDescent="0.3">
      <c r="A291" s="58" t="s">
        <v>81</v>
      </c>
      <c r="B291" s="12">
        <v>3</v>
      </c>
      <c r="C291" s="31" t="str">
        <f>HYPERLINK("\\Elam-pliki\firmowe\BUDIMEX\Projekty\DANWOOD 2017\DE\07 Lipiec\03 Hurter 9672","Hurter")</f>
        <v>Hurter</v>
      </c>
      <c r="D291" s="12">
        <v>9672</v>
      </c>
      <c r="E291" s="17" t="s">
        <v>15</v>
      </c>
      <c r="F291" s="17" t="s">
        <v>1</v>
      </c>
      <c r="G291" s="7" t="s">
        <v>24</v>
      </c>
      <c r="H291" s="6"/>
      <c r="I291" s="14" t="s">
        <v>37</v>
      </c>
      <c r="J291" t="s">
        <v>87</v>
      </c>
      <c r="K291" s="6"/>
    </row>
    <row r="292" spans="1:11" ht="15.75" thickBot="1" x14ac:dyDescent="0.3">
      <c r="A292" s="58" t="s">
        <v>81</v>
      </c>
      <c r="B292" s="12">
        <v>4</v>
      </c>
      <c r="C292" s="31" t="str">
        <f>HYPERLINK("\\Elam-pliki\firmowe\BUDIMEX\Projekty\DANWOOD 2017\DE\07 Lipiec\04 Karl Werner 10925","Karl Werner")</f>
        <v>Karl Werner</v>
      </c>
      <c r="D292" s="12">
        <v>10925</v>
      </c>
      <c r="E292" s="17" t="s">
        <v>15</v>
      </c>
      <c r="F292" s="17" t="s">
        <v>1</v>
      </c>
      <c r="G292" s="7" t="s">
        <v>13</v>
      </c>
      <c r="H292" s="6"/>
      <c r="I292" s="14" t="s">
        <v>39</v>
      </c>
      <c r="J292" t="s">
        <v>87</v>
      </c>
      <c r="K292" s="6"/>
    </row>
    <row r="293" spans="1:11" ht="15.75" thickBot="1" x14ac:dyDescent="0.3">
      <c r="A293" s="58" t="s">
        <v>81</v>
      </c>
      <c r="B293" s="26">
        <v>5</v>
      </c>
      <c r="C293" s="35" t="str">
        <f>HYPERLINK("\\Elam-pliki\firmowe\BUDIMEX\Projekty\DANWOOD 2017\DE\07 Lipiec\05 Kochanek 10199","Kochanek")</f>
        <v>Kochanek</v>
      </c>
      <c r="D293" s="26">
        <v>10199</v>
      </c>
      <c r="E293" s="28" t="s">
        <v>43</v>
      </c>
      <c r="F293" s="28" t="s">
        <v>4</v>
      </c>
      <c r="G293" s="7" t="s">
        <v>14</v>
      </c>
      <c r="H293" s="6"/>
      <c r="I293" s="14" t="s">
        <v>37</v>
      </c>
      <c r="J293" t="s">
        <v>119</v>
      </c>
      <c r="K293" s="6"/>
    </row>
    <row r="294" spans="1:11" ht="15.75" thickBot="1" x14ac:dyDescent="0.3">
      <c r="A294" s="58" t="s">
        <v>81</v>
      </c>
      <c r="B294" s="26">
        <v>6</v>
      </c>
      <c r="C294" s="35" t="str">
        <f>HYPERLINK("\\Elam-pliki\firmowe\BUDIMEX\Projekty\DANWOOD 2017\DE\07 Lipiec\06 Lauers 10453","Lauers")</f>
        <v>Lauers</v>
      </c>
      <c r="D294" s="26">
        <v>10453</v>
      </c>
      <c r="E294" s="28" t="s">
        <v>43</v>
      </c>
      <c r="F294" s="28" t="s">
        <v>4</v>
      </c>
      <c r="G294" s="7" t="s">
        <v>14</v>
      </c>
      <c r="H294" s="6"/>
      <c r="I294" s="14" t="s">
        <v>39</v>
      </c>
      <c r="J294" t="s">
        <v>87</v>
      </c>
      <c r="K294" s="6"/>
    </row>
    <row r="295" spans="1:11" ht="15.75" thickBot="1" x14ac:dyDescent="0.3">
      <c r="A295" s="58" t="s">
        <v>81</v>
      </c>
      <c r="B295" s="12">
        <v>7</v>
      </c>
      <c r="C295" s="31" t="str">
        <f>HYPERLINK("\\Elam-pliki\firmowe\BUDIMEX\Projekty\DANWOOD 2017\DE\07 Lipiec\07 Kleppich 10644","Kleppich")</f>
        <v>Kleppich</v>
      </c>
      <c r="D295" s="12">
        <v>10644</v>
      </c>
      <c r="E295" s="17" t="s">
        <v>15</v>
      </c>
      <c r="F295" s="17" t="s">
        <v>1</v>
      </c>
      <c r="G295" s="7" t="s">
        <v>36</v>
      </c>
      <c r="H295" s="6"/>
      <c r="I295" s="14" t="s">
        <v>37</v>
      </c>
      <c r="J295" t="s">
        <v>87</v>
      </c>
      <c r="K295" s="6"/>
    </row>
    <row r="296" spans="1:11" ht="15.75" thickBot="1" x14ac:dyDescent="0.3">
      <c r="A296" s="58" t="s">
        <v>81</v>
      </c>
      <c r="B296" s="12">
        <v>8</v>
      </c>
      <c r="C296" s="31" t="str">
        <f>HYPERLINK("\\Elam-pliki\firmowe\BUDIMEX\Projekty\DANWOOD 2017\DE\07 Lipiec\08 Klühr 9751","Klühr")</f>
        <v>Klühr</v>
      </c>
      <c r="D296" s="12">
        <v>9751</v>
      </c>
      <c r="E296" s="17" t="s">
        <v>15</v>
      </c>
      <c r="F296" s="17" t="s">
        <v>1</v>
      </c>
      <c r="G296" s="7" t="s">
        <v>45</v>
      </c>
      <c r="H296" s="6"/>
      <c r="I296" s="14" t="s">
        <v>39</v>
      </c>
      <c r="J296" t="s">
        <v>87</v>
      </c>
      <c r="K296" s="6"/>
    </row>
    <row r="297" spans="1:11" ht="15.75" thickBot="1" x14ac:dyDescent="0.3">
      <c r="A297" s="58" t="s">
        <v>81</v>
      </c>
      <c r="B297" s="12">
        <v>9</v>
      </c>
      <c r="C297" s="31" t="str">
        <f>HYPERLINK("\\Elam-pliki\firmowe\BUDIMEX\Projekty\DANWOOD 2017\DE\07 Lipiec\09 Szyszlowski 9950","Szyszlowski")</f>
        <v>Szyszlowski</v>
      </c>
      <c r="D297" s="12">
        <v>9950</v>
      </c>
      <c r="E297" s="17"/>
      <c r="F297" s="17" t="s">
        <v>1</v>
      </c>
      <c r="G297" s="7" t="s">
        <v>11</v>
      </c>
      <c r="H297" s="6"/>
      <c r="I297" s="14" t="s">
        <v>39</v>
      </c>
      <c r="J297" t="s">
        <v>126</v>
      </c>
      <c r="K297" s="6"/>
    </row>
    <row r="298" spans="1:11" ht="15.75" thickBot="1" x14ac:dyDescent="0.3">
      <c r="A298" s="58" t="s">
        <v>81</v>
      </c>
      <c r="B298" s="12">
        <v>10</v>
      </c>
      <c r="C298" s="31" t="str">
        <f>HYPERLINK("\\Elam-pliki\firmowe\BUDIMEX\Projekty\DANWOOD 2017\DE\07 Lipiec\10 Käßmair 9246","Käßmair")</f>
        <v>Käßmair</v>
      </c>
      <c r="D298" s="12">
        <v>9246</v>
      </c>
      <c r="E298" s="17" t="s">
        <v>15</v>
      </c>
      <c r="F298" s="17" t="s">
        <v>1</v>
      </c>
      <c r="G298" s="7" t="s">
        <v>16</v>
      </c>
      <c r="H298" s="6"/>
      <c r="I298" s="14" t="s">
        <v>42</v>
      </c>
      <c r="J298" t="s">
        <v>87</v>
      </c>
      <c r="K298" s="6"/>
    </row>
    <row r="299" spans="1:11" ht="15.75" thickBot="1" x14ac:dyDescent="0.3">
      <c r="A299" s="58" t="s">
        <v>81</v>
      </c>
      <c r="B299" s="12">
        <v>11</v>
      </c>
      <c r="C299" s="31" t="str">
        <f>HYPERLINK("\\Elam-pliki\firmowe\BUDIMEX\Projekty\DANWOOD 2017\DE\07 Lipiec\11 Perez Moreno 10439","Perez Moreno")</f>
        <v>Perez Moreno</v>
      </c>
      <c r="D299" s="12">
        <v>10439</v>
      </c>
      <c r="E299" s="17"/>
      <c r="F299" s="17" t="s">
        <v>1</v>
      </c>
      <c r="G299" s="7" t="s">
        <v>11</v>
      </c>
      <c r="H299" s="6"/>
      <c r="I299" s="14" t="s">
        <v>42</v>
      </c>
      <c r="J299" t="s">
        <v>127</v>
      </c>
      <c r="K299" s="6"/>
    </row>
    <row r="300" spans="1:11" ht="15.75" thickBot="1" x14ac:dyDescent="0.3">
      <c r="A300" s="58" t="s">
        <v>81</v>
      </c>
      <c r="B300" s="12">
        <v>12</v>
      </c>
      <c r="C300" s="31" t="str">
        <f>HYPERLINK("\\Elam-pliki\firmowe\BUDIMEX\Projekty\DANWOOD 2017\DE\07 Lipiec\12 Tutal 10363","Tutal")</f>
        <v>Tutal</v>
      </c>
      <c r="D300" s="12">
        <v>10363</v>
      </c>
      <c r="E300" s="17"/>
      <c r="F300" s="17" t="s">
        <v>1</v>
      </c>
      <c r="G300" s="7" t="s">
        <v>55</v>
      </c>
      <c r="H300" s="6"/>
      <c r="I300" s="14" t="s">
        <v>39</v>
      </c>
      <c r="J300" t="s">
        <v>92</v>
      </c>
      <c r="K300" s="6"/>
    </row>
    <row r="301" spans="1:11" ht="15.75" thickBot="1" x14ac:dyDescent="0.3">
      <c r="A301" s="58" t="s">
        <v>81</v>
      </c>
      <c r="B301" s="12">
        <v>13</v>
      </c>
      <c r="C301" s="31" t="str">
        <f>HYPERLINK("\\Elam-pliki\firmowe\BUDIMEX\Projekty\DANWOOD 2017\DE\07 Lipiec\13 Eder Margit 10304","Eder Margit")</f>
        <v>Eder Margit</v>
      </c>
      <c r="D301" s="12">
        <v>10304</v>
      </c>
      <c r="E301" s="17"/>
      <c r="F301" s="17" t="s">
        <v>1</v>
      </c>
      <c r="G301" s="7" t="s">
        <v>11</v>
      </c>
      <c r="H301" s="6"/>
      <c r="I301" s="14" t="s">
        <v>42</v>
      </c>
      <c r="J301" t="s">
        <v>92</v>
      </c>
      <c r="K301" s="6"/>
    </row>
    <row r="302" spans="1:11" ht="15.75" thickBot="1" x14ac:dyDescent="0.3">
      <c r="A302" s="58" t="s">
        <v>81</v>
      </c>
      <c r="B302" s="12">
        <v>14</v>
      </c>
      <c r="C302" s="31" t="str">
        <f>HYPERLINK("\\Elam-pliki\firmowe\BUDIMEX\Projekty\DANWOOD 2017\DE\07 Lipiec\14 Dollhardt 9898","Dollhardt")</f>
        <v>Dollhardt</v>
      </c>
      <c r="D302" s="12">
        <v>9898</v>
      </c>
      <c r="E302" s="17"/>
      <c r="F302" s="17" t="s">
        <v>1</v>
      </c>
      <c r="G302" s="7" t="s">
        <v>16</v>
      </c>
      <c r="H302" s="6"/>
      <c r="I302" s="14" t="s">
        <v>42</v>
      </c>
      <c r="J302" t="s">
        <v>128</v>
      </c>
      <c r="K302" s="6"/>
    </row>
    <row r="303" spans="1:11" ht="15.75" thickBot="1" x14ac:dyDescent="0.3">
      <c r="A303" s="58" t="s">
        <v>81</v>
      </c>
      <c r="B303" s="12">
        <v>15</v>
      </c>
      <c r="C303" s="31" t="str">
        <f>HYPERLINK("\\Elam-pliki\firmowe\BUDIMEX\Projekty\DANWOOD 2017\DE\07 Lipiec\15 Straubinger  10687","Straubinger")</f>
        <v>Straubinger</v>
      </c>
      <c r="D303" s="12">
        <v>10687</v>
      </c>
      <c r="E303" s="17"/>
      <c r="F303" s="17" t="s">
        <v>1</v>
      </c>
      <c r="G303" s="7" t="s">
        <v>8</v>
      </c>
      <c r="H303" s="6"/>
      <c r="I303" s="14" t="s">
        <v>39</v>
      </c>
      <c r="J303" t="s">
        <v>129</v>
      </c>
      <c r="K303" s="6"/>
    </row>
    <row r="304" spans="1:11" ht="15.75" thickBot="1" x14ac:dyDescent="0.3">
      <c r="A304" s="58" t="s">
        <v>81</v>
      </c>
      <c r="B304" s="12">
        <v>16</v>
      </c>
      <c r="C304" s="31" t="str">
        <f>HYPERLINK("\\Elam-pliki\firmowe\BUDIMEX\Projekty\DANWOOD 2017\DE\07 Lipiec\16 Merten Quinque 9955","Merten Quinque")</f>
        <v>Merten Quinque</v>
      </c>
      <c r="D304" s="12">
        <v>9955</v>
      </c>
      <c r="E304" s="17"/>
      <c r="F304" s="17" t="s">
        <v>1</v>
      </c>
      <c r="G304" s="7" t="s">
        <v>30</v>
      </c>
      <c r="H304" s="6"/>
      <c r="I304" s="14" t="s">
        <v>42</v>
      </c>
      <c r="J304" t="s">
        <v>87</v>
      </c>
      <c r="K304" s="6"/>
    </row>
    <row r="305" spans="1:11" ht="15.75" thickBot="1" x14ac:dyDescent="0.3">
      <c r="A305" s="58" t="s">
        <v>81</v>
      </c>
      <c r="B305" s="12">
        <v>17</v>
      </c>
      <c r="C305" s="31" t="str">
        <f>HYPERLINK("\\Elam-pliki\firmowe\BUDIMEX\Projekty\DANWOOD 2017\DE\07 Lipiec\17 Reichert Marcel 10605","Reichert Marcel")</f>
        <v>Reichert Marcel</v>
      </c>
      <c r="D305" s="12">
        <v>10605</v>
      </c>
      <c r="E305" s="17"/>
      <c r="F305" s="17" t="s">
        <v>1</v>
      </c>
      <c r="G305" s="7" t="s">
        <v>35</v>
      </c>
      <c r="H305" s="6"/>
      <c r="I305" s="14" t="s">
        <v>42</v>
      </c>
      <c r="J305" t="s">
        <v>92</v>
      </c>
      <c r="K305" s="6"/>
    </row>
    <row r="306" spans="1:11" ht="15.75" thickBot="1" x14ac:dyDescent="0.3">
      <c r="A306" s="58" t="s">
        <v>81</v>
      </c>
      <c r="B306" s="12">
        <v>18</v>
      </c>
      <c r="C306" s="31" t="str">
        <f>HYPERLINK("\\Elam-pliki\firmowe\BUDIMEX\Projekty\DANWOOD 2017\DE\07 Lipiec\18 Wolf Andreas 11060","Wolf Andreas")</f>
        <v>Wolf Andreas</v>
      </c>
      <c r="D306" s="12">
        <v>11060</v>
      </c>
      <c r="E306" s="36" t="s">
        <v>5</v>
      </c>
      <c r="F306" s="17" t="s">
        <v>1</v>
      </c>
      <c r="G306" s="7" t="s">
        <v>7</v>
      </c>
      <c r="H306" s="6" t="s">
        <v>0</v>
      </c>
      <c r="I306" s="14" t="s">
        <v>39</v>
      </c>
      <c r="J306" t="s">
        <v>87</v>
      </c>
      <c r="K306" s="37" t="s">
        <v>3</v>
      </c>
    </row>
    <row r="307" spans="1:11" ht="15.75" thickBot="1" x14ac:dyDescent="0.3">
      <c r="A307" s="58" t="s">
        <v>81</v>
      </c>
      <c r="B307" s="12">
        <v>19</v>
      </c>
      <c r="C307" s="31" t="str">
        <f>HYPERLINK("\\Elam-pliki\firmowe\BUDIMEX\Projekty\DANWOOD 2017\DE\07 Lipiec\19 Carres 3 9126","Carres 3")</f>
        <v>Carres 3</v>
      </c>
      <c r="D307" s="12">
        <v>9126</v>
      </c>
      <c r="E307" s="17" t="s">
        <v>15</v>
      </c>
      <c r="F307" s="17" t="s">
        <v>1</v>
      </c>
      <c r="G307" s="7" t="s">
        <v>17</v>
      </c>
      <c r="H307" s="6"/>
      <c r="I307" s="14" t="s">
        <v>42</v>
      </c>
      <c r="J307" t="s">
        <v>87</v>
      </c>
      <c r="K307" s="6"/>
    </row>
    <row r="308" spans="1:11" ht="15.75" thickBot="1" x14ac:dyDescent="0.3">
      <c r="A308" s="58" t="s">
        <v>81</v>
      </c>
      <c r="B308" s="12">
        <v>20</v>
      </c>
      <c r="C308" s="31" t="str">
        <f>HYPERLINK("\\Elam-pliki\firmowe\BUDIMEX\Projekty\DANWOOD 2017\DE\07 Lipiec\20 Buckler 10612","Buckler")</f>
        <v>Buckler</v>
      </c>
      <c r="D308" s="12">
        <v>10612</v>
      </c>
      <c r="E308" s="36" t="s">
        <v>5</v>
      </c>
      <c r="F308" s="17" t="s">
        <v>1</v>
      </c>
      <c r="G308" s="7" t="s">
        <v>23</v>
      </c>
      <c r="H308" s="6" t="s">
        <v>0</v>
      </c>
      <c r="I308" s="14" t="s">
        <v>39</v>
      </c>
      <c r="J308" t="s">
        <v>87</v>
      </c>
      <c r="K308" s="37" t="s">
        <v>6</v>
      </c>
    </row>
    <row r="309" spans="1:11" ht="15.75" thickBot="1" x14ac:dyDescent="0.3">
      <c r="A309" s="58" t="s">
        <v>81</v>
      </c>
      <c r="B309" s="12">
        <v>21</v>
      </c>
      <c r="C309" s="31" t="str">
        <f>HYPERLINK("\\Elam-pliki\firmowe\BUDIMEX\Projekty\DANWOOD 2017\DE\07 Lipiec\21 Lambert Spencer 9395","Lambert Spencer")</f>
        <v>Lambert Spencer</v>
      </c>
      <c r="D309" s="12">
        <v>9395</v>
      </c>
      <c r="E309" s="36" t="s">
        <v>5</v>
      </c>
      <c r="F309" s="17" t="s">
        <v>1</v>
      </c>
      <c r="G309" s="7" t="s">
        <v>23</v>
      </c>
      <c r="H309" s="6" t="s">
        <v>0</v>
      </c>
      <c r="I309" s="14" t="s">
        <v>41</v>
      </c>
      <c r="J309" t="s">
        <v>87</v>
      </c>
      <c r="K309" s="37" t="s">
        <v>6</v>
      </c>
    </row>
    <row r="310" spans="1:11" ht="15.75" thickBot="1" x14ac:dyDescent="0.3">
      <c r="A310" s="58" t="s">
        <v>81</v>
      </c>
      <c r="B310" s="12">
        <v>22</v>
      </c>
      <c r="C310" s="31" t="str">
        <f>HYPERLINK("\\Elam-pliki\firmowe\BUDIMEX\Projekty\DANWOOD 2017\DE\07 Lipiec\22 Doubek Anthony 10684","Doubek Anthony")</f>
        <v>Doubek Anthony</v>
      </c>
      <c r="D310" s="12">
        <v>10684</v>
      </c>
      <c r="E310" s="17" t="s">
        <v>15</v>
      </c>
      <c r="F310" s="17" t="s">
        <v>1</v>
      </c>
      <c r="G310" s="7" t="s">
        <v>30</v>
      </c>
      <c r="H310" s="6"/>
      <c r="I310" s="14" t="s">
        <v>39</v>
      </c>
      <c r="J310" t="s">
        <v>87</v>
      </c>
      <c r="K310" s="6"/>
    </row>
    <row r="311" spans="1:11" ht="15.75" thickBot="1" x14ac:dyDescent="0.3">
      <c r="A311" s="58" t="s">
        <v>81</v>
      </c>
      <c r="B311" s="12">
        <v>23</v>
      </c>
      <c r="C311" s="31" t="str">
        <f>HYPERLINK("\\Elam-pliki\firmowe\BUDIMEX\Projekty\DANWOOD 2017\DE\07 Lipiec\23 Schmidt Ingeborg 10626","Schmidt Ingeborg")</f>
        <v>Schmidt Ingeborg</v>
      </c>
      <c r="D311" s="12">
        <v>10626</v>
      </c>
      <c r="E311" s="17" t="s">
        <v>15</v>
      </c>
      <c r="F311" s="17" t="s">
        <v>1</v>
      </c>
      <c r="G311" s="7" t="s">
        <v>35</v>
      </c>
      <c r="H311" s="6"/>
      <c r="I311" s="14" t="s">
        <v>39</v>
      </c>
      <c r="J311" t="s">
        <v>87</v>
      </c>
      <c r="K311" s="6"/>
    </row>
    <row r="312" spans="1:11" ht="15.75" thickBot="1" x14ac:dyDescent="0.3">
      <c r="A312" s="58" t="s">
        <v>81</v>
      </c>
      <c r="B312" s="12">
        <v>24</v>
      </c>
      <c r="C312" s="31" t="str">
        <f>HYPERLINK("\\Elam-pliki\firmowe\BUDIMEX\Projekty\DANWOOD 2017\DE\07 Lipiec\24 Hristea 10193","Hristea")</f>
        <v>Hristea</v>
      </c>
      <c r="D312" s="12">
        <v>10193</v>
      </c>
      <c r="E312" s="17" t="s">
        <v>15</v>
      </c>
      <c r="F312" s="17" t="s">
        <v>1</v>
      </c>
      <c r="G312" s="7" t="s">
        <v>12</v>
      </c>
      <c r="H312" s="6"/>
      <c r="I312" s="14" t="s">
        <v>41</v>
      </c>
      <c r="J312" t="s">
        <v>130</v>
      </c>
      <c r="K312" s="6"/>
    </row>
    <row r="313" spans="1:11" ht="15.75" thickBot="1" x14ac:dyDescent="0.3">
      <c r="A313" s="58" t="s">
        <v>81</v>
      </c>
      <c r="B313" s="12">
        <v>25</v>
      </c>
      <c r="C313" s="31" t="str">
        <f>HYPERLINK("\\Elam-pliki\firmowe\BUDIMEX\Projekty\DANWOOD 2017\DE\07 Lipiec\25 Boié 10186","Boié")</f>
        <v>Boié</v>
      </c>
      <c r="D313" s="12">
        <v>10186</v>
      </c>
      <c r="E313" s="17" t="s">
        <v>56</v>
      </c>
      <c r="F313" s="17" t="s">
        <v>1</v>
      </c>
      <c r="G313" s="7" t="s">
        <v>36</v>
      </c>
      <c r="H313" s="6"/>
      <c r="I313" s="14" t="s">
        <v>42</v>
      </c>
      <c r="J313" t="s">
        <v>131</v>
      </c>
      <c r="K313" s="6"/>
    </row>
    <row r="314" spans="1:11" ht="15.75" thickBot="1" x14ac:dyDescent="0.3">
      <c r="A314" s="58" t="s">
        <v>81</v>
      </c>
      <c r="B314" s="12">
        <v>26</v>
      </c>
      <c r="C314" s="31" t="str">
        <f>HYPERLINK("\\Elam-pliki\firmowe\BUDIMEX\Projekty\DANWOOD 2017\DE\07 Lipiec\26 Hessel 10205","Hessel")</f>
        <v>Hessel</v>
      </c>
      <c r="D314" s="12">
        <v>10205</v>
      </c>
      <c r="E314" s="17" t="s">
        <v>15</v>
      </c>
      <c r="F314" s="17" t="s">
        <v>1</v>
      </c>
      <c r="G314" s="7" t="s">
        <v>30</v>
      </c>
      <c r="H314" s="6"/>
      <c r="I314" s="14" t="s">
        <v>37</v>
      </c>
      <c r="J314" t="s">
        <v>87</v>
      </c>
      <c r="K314" s="6"/>
    </row>
    <row r="315" spans="1:11" ht="15.75" thickBot="1" x14ac:dyDescent="0.3">
      <c r="A315" s="58" t="s">
        <v>81</v>
      </c>
      <c r="B315" s="12">
        <v>27</v>
      </c>
      <c r="C315" s="31" t="str">
        <f>HYPERLINK("\\Elam-pliki\firmowe\BUDIMEX\Projekty\DANWOOD 2017\DE\07 Lipiec\27 Reisinger Bernhard 11124","Reisinger Bernhard")</f>
        <v>Reisinger Bernhard</v>
      </c>
      <c r="D315" s="12">
        <v>11124</v>
      </c>
      <c r="E315" s="36" t="s">
        <v>5</v>
      </c>
      <c r="F315" s="17" t="s">
        <v>1</v>
      </c>
      <c r="G315" s="7" t="s">
        <v>21</v>
      </c>
      <c r="H315" s="6" t="s">
        <v>0</v>
      </c>
      <c r="I315" s="14" t="s">
        <v>37</v>
      </c>
      <c r="J315" t="s">
        <v>87</v>
      </c>
      <c r="K315" s="37" t="s">
        <v>3</v>
      </c>
    </row>
    <row r="316" spans="1:11" ht="15.75" thickBot="1" x14ac:dyDescent="0.3">
      <c r="A316" s="58" t="s">
        <v>81</v>
      </c>
      <c r="B316" s="12">
        <v>28</v>
      </c>
      <c r="C316" s="31" t="str">
        <f>HYPERLINK("\\Elam-pliki\firmowe\BUDIMEX\Projekty\DANWOOD 2017\DE\07 Lipiec\28 Müller Pascal 10688","Müller Pascal")</f>
        <v>Müller Pascal</v>
      </c>
      <c r="D316" s="12">
        <v>10688</v>
      </c>
      <c r="E316" s="17" t="s">
        <v>15</v>
      </c>
      <c r="F316" s="17" t="s">
        <v>1</v>
      </c>
      <c r="G316" s="7" t="s">
        <v>13</v>
      </c>
      <c r="H316" s="6"/>
      <c r="I316" s="14" t="s">
        <v>39</v>
      </c>
      <c r="J316" t="s">
        <v>92</v>
      </c>
      <c r="K316" s="6"/>
    </row>
    <row r="317" spans="1:11" ht="15.75" thickBot="1" x14ac:dyDescent="0.3">
      <c r="A317" s="58" t="s">
        <v>81</v>
      </c>
      <c r="B317" s="12">
        <v>29</v>
      </c>
      <c r="C317" s="31" t="str">
        <f>HYPERLINK("\\Elam-pliki\firmowe\BUDIMEX\Projekty\DANWOOD 2017\DE\07 Lipiec\29 Knopp 10747","Knopp")</f>
        <v>Knopp</v>
      </c>
      <c r="D317" s="12">
        <v>10747</v>
      </c>
      <c r="E317" s="17" t="s">
        <v>15</v>
      </c>
      <c r="F317" s="17" t="s">
        <v>1</v>
      </c>
      <c r="G317" s="7" t="s">
        <v>30</v>
      </c>
      <c r="H317" s="6"/>
      <c r="I317" s="14" t="s">
        <v>39</v>
      </c>
      <c r="J317" t="s">
        <v>92</v>
      </c>
      <c r="K317" s="6"/>
    </row>
    <row r="318" spans="1:11" ht="15.75" thickBot="1" x14ac:dyDescent="0.3">
      <c r="A318" s="58" t="s">
        <v>81</v>
      </c>
      <c r="B318" s="12">
        <v>30</v>
      </c>
      <c r="C318" s="31" t="str">
        <f>HYPERLINK("\\Elam-pliki\firmowe\BUDIMEX\Projekty\DANWOOD 2017\DE\07 Lipiec\30 De Zimmer 10620","Zimmer Michael")</f>
        <v>Zimmer Michael</v>
      </c>
      <c r="D318" s="12">
        <v>10620</v>
      </c>
      <c r="E318" s="17"/>
      <c r="F318" s="17" t="s">
        <v>1</v>
      </c>
      <c r="G318" s="7" t="s">
        <v>8</v>
      </c>
      <c r="H318" s="6"/>
      <c r="I318" s="14" t="s">
        <v>39</v>
      </c>
      <c r="J318" t="s">
        <v>87</v>
      </c>
      <c r="K318" s="6"/>
    </row>
    <row r="319" spans="1:11" ht="15.75" thickBot="1" x14ac:dyDescent="0.3">
      <c r="A319" s="58" t="s">
        <v>81</v>
      </c>
      <c r="B319" s="12">
        <v>31</v>
      </c>
      <c r="C319" s="31" t="str">
        <f>HYPERLINK("\\Elam-pliki\firmowe\BUDIMEX\Projekty\DANWOOD 2017\DE\07 Lipiec\31 Dauer 10208","Dauer")</f>
        <v>Dauer</v>
      </c>
      <c r="D319" s="12">
        <v>10208</v>
      </c>
      <c r="E319" s="17" t="s">
        <v>15</v>
      </c>
      <c r="F319" s="17" t="s">
        <v>1</v>
      </c>
      <c r="G319" s="7" t="s">
        <v>8</v>
      </c>
      <c r="H319" s="6"/>
      <c r="I319" s="14" t="s">
        <v>41</v>
      </c>
      <c r="J319" t="s">
        <v>87</v>
      </c>
      <c r="K319" s="6"/>
    </row>
    <row r="320" spans="1:11" ht="15.75" thickBot="1" x14ac:dyDescent="0.3">
      <c r="A320" s="58" t="s">
        <v>81</v>
      </c>
      <c r="B320" s="12">
        <v>32</v>
      </c>
      <c r="C320" s="31" t="str">
        <f>HYPERLINK("\\Elam-pliki\firmowe\BUDIMEX\Projekty\DANWOOD 2017\DE\07 Lipiec\32 Thomas Adrian 10183","Thomas Adrian")</f>
        <v>Thomas Adrian</v>
      </c>
      <c r="D320" s="12">
        <v>10183</v>
      </c>
      <c r="E320" s="17" t="s">
        <v>29</v>
      </c>
      <c r="F320" s="17" t="s">
        <v>1</v>
      </c>
      <c r="G320" s="7" t="s">
        <v>11</v>
      </c>
      <c r="H320" s="6"/>
      <c r="I320" s="14" t="s">
        <v>37</v>
      </c>
      <c r="J320" t="s">
        <v>132</v>
      </c>
      <c r="K320" s="6"/>
    </row>
    <row r="321" spans="1:11" ht="15.75" thickBot="1" x14ac:dyDescent="0.3">
      <c r="A321" s="58" t="s">
        <v>81</v>
      </c>
      <c r="B321" s="12">
        <v>33</v>
      </c>
      <c r="C321" s="31" t="str">
        <f>HYPERLINK("\\Elam-pliki\firmowe\BUDIMEX\Projekty\DANWOOD 2017\DE\07 Lipiec\33 Schalleck 10499","Schalleck")</f>
        <v>Schalleck</v>
      </c>
      <c r="D321" s="12">
        <v>10499</v>
      </c>
      <c r="E321" s="17" t="s">
        <v>29</v>
      </c>
      <c r="F321" s="17" t="s">
        <v>1</v>
      </c>
      <c r="G321" s="7" t="s">
        <v>11</v>
      </c>
      <c r="H321" s="6"/>
      <c r="I321" s="14" t="s">
        <v>37</v>
      </c>
      <c r="J321" t="s">
        <v>92</v>
      </c>
      <c r="K321" s="6"/>
    </row>
    <row r="322" spans="1:11" ht="15.75" thickBot="1" x14ac:dyDescent="0.3">
      <c r="A322" s="58" t="s">
        <v>81</v>
      </c>
      <c r="B322" s="7">
        <v>34</v>
      </c>
      <c r="C322" s="39" t="str">
        <f>HYPERLINK("\\Elam-pliki\firmowe\BUDIMEX\Projekty\DANWOOD 2017\DE\07 Lipiec\34 Venohr Fabian 9837","Venohr Fabian")</f>
        <v>Venohr Fabian</v>
      </c>
      <c r="D322" s="7">
        <v>9837</v>
      </c>
      <c r="E322" s="6"/>
      <c r="F322" s="6"/>
      <c r="G322" s="7" t="s">
        <v>48</v>
      </c>
      <c r="H322" s="6"/>
      <c r="I322" s="14" t="s">
        <v>39</v>
      </c>
      <c r="J322" t="s">
        <v>87</v>
      </c>
      <c r="K322" s="6"/>
    </row>
    <row r="323" spans="1:11" ht="15.75" thickBot="1" x14ac:dyDescent="0.3">
      <c r="A323" s="58" t="s">
        <v>81</v>
      </c>
      <c r="B323" s="12">
        <v>35</v>
      </c>
      <c r="C323" s="31" t="str">
        <f>HYPERLINK("\\Elam-pliki\firmowe\BUDIMEX\Projekty\DANWOOD 2017\DE\07 Lipiec\35 Maurer Siegfried 9585","Maurer Siegfried")</f>
        <v>Maurer Siegfried</v>
      </c>
      <c r="D323" s="12">
        <v>9585</v>
      </c>
      <c r="E323" s="17" t="s">
        <v>15</v>
      </c>
      <c r="F323" s="17" t="s">
        <v>1</v>
      </c>
      <c r="G323" s="7" t="s">
        <v>19</v>
      </c>
      <c r="H323" s="6"/>
      <c r="I323" s="14" t="s">
        <v>41</v>
      </c>
      <c r="J323" t="s">
        <v>92</v>
      </c>
      <c r="K323" s="6"/>
    </row>
    <row r="324" spans="1:11" ht="15.75" thickBot="1" x14ac:dyDescent="0.3">
      <c r="A324" s="58" t="s">
        <v>81</v>
      </c>
      <c r="B324" s="12">
        <v>36</v>
      </c>
      <c r="C324" s="31" t="str">
        <f>HYPERLINK("\\Elam-pliki\firmowe\BUDIMEX\Projekty\DANWOOD 2017\DE\07 Lipiec\36 Kiss Axel 9647","Kiss Axel")</f>
        <v>Kiss Axel</v>
      </c>
      <c r="D324" s="12">
        <v>9647</v>
      </c>
      <c r="E324" s="17"/>
      <c r="F324" s="17" t="s">
        <v>1</v>
      </c>
      <c r="G324" s="7" t="s">
        <v>26</v>
      </c>
      <c r="H324" s="6"/>
      <c r="I324" s="14" t="s">
        <v>41</v>
      </c>
      <c r="J324" t="s">
        <v>87</v>
      </c>
      <c r="K324" s="6"/>
    </row>
    <row r="325" spans="1:11" ht="15.75" thickBot="1" x14ac:dyDescent="0.3">
      <c r="A325" s="58" t="s">
        <v>81</v>
      </c>
      <c r="B325" s="12">
        <v>37</v>
      </c>
      <c r="C325" s="31" t="str">
        <f>HYPERLINK("\\Elam-pliki\firmowe\BUDIMEX\Projekty\DANWOOD 2017\DE\07 Lipiec\37 Roder Karina 10153","Roder Karina")</f>
        <v>Roder Karina</v>
      </c>
      <c r="D325" s="12">
        <v>10153</v>
      </c>
      <c r="E325" s="36" t="s">
        <v>5</v>
      </c>
      <c r="F325" s="17" t="s">
        <v>1</v>
      </c>
      <c r="G325" s="7" t="s">
        <v>7</v>
      </c>
      <c r="H325" s="6" t="s">
        <v>0</v>
      </c>
      <c r="I325" s="14" t="s">
        <v>39</v>
      </c>
      <c r="J325" t="s">
        <v>87</v>
      </c>
      <c r="K325" s="37" t="s">
        <v>3</v>
      </c>
    </row>
    <row r="326" spans="1:11" ht="15.75" thickBot="1" x14ac:dyDescent="0.3">
      <c r="A326" s="58" t="s">
        <v>81</v>
      </c>
      <c r="B326" s="12">
        <v>38</v>
      </c>
      <c r="C326" s="31" t="str">
        <f>HYPERLINK("\\Elam-pliki\firmowe\BUDIMEX\Projekty\DANWOOD 2017\DE\07 Lipiec\38 Theinert 10867","Theinert")</f>
        <v>Theinert</v>
      </c>
      <c r="D326" s="12">
        <v>10867</v>
      </c>
      <c r="E326" s="17"/>
      <c r="F326" s="17" t="s">
        <v>1</v>
      </c>
      <c r="G326" s="7" t="s">
        <v>8</v>
      </c>
      <c r="H326" s="6"/>
      <c r="I326" s="14" t="s">
        <v>39</v>
      </c>
      <c r="J326" t="s">
        <v>92</v>
      </c>
      <c r="K326" s="6"/>
    </row>
    <row r="327" spans="1:11" ht="15.75" thickBot="1" x14ac:dyDescent="0.3">
      <c r="A327" s="58" t="s">
        <v>81</v>
      </c>
      <c r="B327" s="7">
        <v>39</v>
      </c>
      <c r="C327" s="39" t="str">
        <f>HYPERLINK("\\Elam-pliki\firmowe\BUDIMEX\Projekty\DANWOOD 2017\DE\07 Lipiec\39 Orman 11014","Orman")</f>
        <v>Orman</v>
      </c>
      <c r="D327" s="7">
        <v>11014</v>
      </c>
      <c r="E327" s="6"/>
      <c r="F327" s="6" t="s">
        <v>4</v>
      </c>
      <c r="G327" s="7" t="s">
        <v>14</v>
      </c>
      <c r="H327" s="6"/>
      <c r="I327" s="14" t="s">
        <v>41</v>
      </c>
      <c r="J327" t="s">
        <v>87</v>
      </c>
      <c r="K327" s="6"/>
    </row>
    <row r="328" spans="1:11" ht="15.75" thickBot="1" x14ac:dyDescent="0.3">
      <c r="A328" s="58" t="s">
        <v>81</v>
      </c>
      <c r="B328" s="12">
        <v>40</v>
      </c>
      <c r="C328" s="31" t="str">
        <f>HYPERLINK("\\Elam-pliki\firmowe\BUDIMEX\Projekty\DANWOOD 2017\DE\07 Lipiec\40 Turo 10095","Turo")</f>
        <v>Turo</v>
      </c>
      <c r="D328" s="12">
        <v>10095</v>
      </c>
      <c r="E328" s="17"/>
      <c r="F328" s="17" t="s">
        <v>1</v>
      </c>
      <c r="G328" s="7" t="s">
        <v>11</v>
      </c>
      <c r="H328" s="6"/>
      <c r="I328" s="14" t="s">
        <v>41</v>
      </c>
      <c r="J328" t="s">
        <v>87</v>
      </c>
      <c r="K328" s="6"/>
    </row>
    <row r="329" spans="1:11" ht="15.75" thickBot="1" x14ac:dyDescent="0.3">
      <c r="A329" s="58" t="s">
        <v>81</v>
      </c>
      <c r="B329" s="12">
        <v>41</v>
      </c>
      <c r="C329" s="31" t="str">
        <f>HYPERLINK("\\Elam-pliki\firmowe\BUDIMEX\Projekty\DANWOOD 2017\DE\07 Lipiec\41 Bachschneider 10673","Bachschneider")</f>
        <v>Bachschneider</v>
      </c>
      <c r="D329" s="12">
        <v>10673</v>
      </c>
      <c r="E329" s="17" t="s">
        <v>15</v>
      </c>
      <c r="F329" s="17" t="s">
        <v>1</v>
      </c>
      <c r="G329" s="7" t="s">
        <v>36</v>
      </c>
      <c r="H329" s="6"/>
      <c r="I329" s="14" t="s">
        <v>37</v>
      </c>
      <c r="J329" t="s">
        <v>133</v>
      </c>
      <c r="K329" s="6"/>
    </row>
    <row r="330" spans="1:11" ht="15.75" thickBot="1" x14ac:dyDescent="0.3">
      <c r="A330" s="58" t="s">
        <v>81</v>
      </c>
      <c r="B330" s="26">
        <v>42</v>
      </c>
      <c r="C330" s="35" t="str">
        <f>HYPERLINK("\\Elam-pliki\firmowe\BUDIMEX\Projekty\DANWOOD 2017\DE\07 Lipiec\42 Seufzger 10641","Seufzger")</f>
        <v>Seufzger</v>
      </c>
      <c r="D330" s="26">
        <v>10641</v>
      </c>
      <c r="E330" s="28"/>
      <c r="F330" s="28" t="s">
        <v>4</v>
      </c>
      <c r="G330" s="7" t="s">
        <v>9</v>
      </c>
      <c r="H330" s="6"/>
      <c r="I330" s="14" t="s">
        <v>39</v>
      </c>
      <c r="J330" t="s">
        <v>92</v>
      </c>
      <c r="K330" s="6"/>
    </row>
    <row r="331" spans="1:11" ht="15.75" thickBot="1" x14ac:dyDescent="0.3">
      <c r="A331" s="58" t="s">
        <v>81</v>
      </c>
      <c r="B331" s="12">
        <v>43</v>
      </c>
      <c r="C331" s="31" t="str">
        <f>HYPERLINK("\\Elam-pliki\firmowe\BUDIMEX\Projekty\DANWOOD 2017\DE\07 Lipiec\43 Bumberger 10742","Bumberger")</f>
        <v>Bumberger</v>
      </c>
      <c r="D331" s="12">
        <v>10742</v>
      </c>
      <c r="E331" s="17" t="s">
        <v>15</v>
      </c>
      <c r="F331" s="17" t="s">
        <v>1</v>
      </c>
      <c r="G331" s="7" t="s">
        <v>30</v>
      </c>
      <c r="H331" s="6"/>
      <c r="I331" s="14" t="s">
        <v>39</v>
      </c>
      <c r="J331" t="s">
        <v>92</v>
      </c>
      <c r="K331" s="6"/>
    </row>
    <row r="332" spans="1:11" ht="15.75" thickBot="1" x14ac:dyDescent="0.3">
      <c r="A332" s="58" t="s">
        <v>81</v>
      </c>
      <c r="B332" s="12">
        <v>44</v>
      </c>
      <c r="C332" s="31" t="str">
        <f>HYPERLINK("\\Elam-pliki\firmowe\BUDIMEX\Projekty\DANWOOD 2017\DE\07 Lipiec\44 Gaughan 10385","Gaughan")</f>
        <v>Gaughan</v>
      </c>
      <c r="D332" s="12">
        <v>10385</v>
      </c>
      <c r="E332" s="36" t="s">
        <v>5</v>
      </c>
      <c r="F332" s="17" t="s">
        <v>1</v>
      </c>
      <c r="G332" s="7" t="s">
        <v>23</v>
      </c>
      <c r="H332" s="6" t="s">
        <v>0</v>
      </c>
      <c r="I332" s="14" t="s">
        <v>42</v>
      </c>
      <c r="J332" t="s">
        <v>87</v>
      </c>
      <c r="K332" s="37" t="s">
        <v>6</v>
      </c>
    </row>
    <row r="333" spans="1:11" ht="15.75" thickBot="1" x14ac:dyDescent="0.3">
      <c r="A333" s="58" t="s">
        <v>81</v>
      </c>
      <c r="B333" s="26">
        <v>45</v>
      </c>
      <c r="C333" s="35" t="str">
        <f>HYPERLINK("\\Elam-pliki\firmowe\BUDIMEX\Projekty\DANWOOD 2017\DE\07 Lipiec\45 Schwarzmann 10915","Schwarzmann")</f>
        <v>Schwarzmann</v>
      </c>
      <c r="D333" s="26">
        <v>10915</v>
      </c>
      <c r="E333" s="49" t="s">
        <v>5</v>
      </c>
      <c r="F333" s="28" t="s">
        <v>4</v>
      </c>
      <c r="G333" s="7" t="s">
        <v>57</v>
      </c>
      <c r="H333" s="6"/>
      <c r="I333" s="14" t="s">
        <v>37</v>
      </c>
      <c r="J333" t="s">
        <v>87</v>
      </c>
      <c r="K333" s="37" t="s">
        <v>3</v>
      </c>
    </row>
    <row r="334" spans="1:11" ht="15.75" thickBot="1" x14ac:dyDescent="0.3">
      <c r="A334" s="58" t="s">
        <v>81</v>
      </c>
      <c r="B334" s="12">
        <v>46</v>
      </c>
      <c r="C334" s="31" t="str">
        <f>HYPERLINK("\\Elam-pliki\firmowe\BUDIMEX\Projekty\DANWOOD 2017\DE\07 Lipiec\46 Mayer Svenja 10302","Mayer Svenja")</f>
        <v>Mayer Svenja</v>
      </c>
      <c r="D334" s="12">
        <v>10302</v>
      </c>
      <c r="E334" s="17" t="s">
        <v>15</v>
      </c>
      <c r="F334" s="17" t="s">
        <v>1</v>
      </c>
      <c r="G334" s="7" t="s">
        <v>24</v>
      </c>
      <c r="H334" s="6"/>
      <c r="I334" s="14" t="s">
        <v>37</v>
      </c>
      <c r="J334" t="s">
        <v>134</v>
      </c>
      <c r="K334" s="6"/>
    </row>
    <row r="335" spans="1:11" ht="15.75" thickBot="1" x14ac:dyDescent="0.3">
      <c r="A335" s="58" t="s">
        <v>81</v>
      </c>
      <c r="B335" s="26">
        <v>47</v>
      </c>
      <c r="C335" s="35" t="str">
        <f>HYPERLINK("\\Elam-pliki\firmowe\BUDIMEX\Projekty\DANWOOD 2017\DE\07 Lipiec\47 Reilly 9031","Reilly")</f>
        <v>Reilly</v>
      </c>
      <c r="D335" s="26">
        <v>9031</v>
      </c>
      <c r="E335" s="49" t="s">
        <v>5</v>
      </c>
      <c r="F335" s="28" t="s">
        <v>4</v>
      </c>
      <c r="G335" s="7" t="s">
        <v>38</v>
      </c>
      <c r="H335" s="6"/>
      <c r="I335" s="14" t="s">
        <v>41</v>
      </c>
      <c r="J335" t="s">
        <v>87</v>
      </c>
      <c r="K335" s="37" t="s">
        <v>6</v>
      </c>
    </row>
    <row r="336" spans="1:11" ht="15.75" thickBot="1" x14ac:dyDescent="0.3">
      <c r="A336" s="58" t="s">
        <v>81</v>
      </c>
      <c r="B336" s="12">
        <v>48</v>
      </c>
      <c r="C336" s="31" t="str">
        <f>HYPERLINK("\\Elam-pliki\firmowe\BUDIMEX\Projekty\DANWOOD 2017\DE\07 Lipiec\48 Pribil 11350","Pribil")</f>
        <v>Pribil</v>
      </c>
      <c r="D336" s="12">
        <v>11350</v>
      </c>
      <c r="E336" s="36" t="s">
        <v>5</v>
      </c>
      <c r="F336" s="17" t="s">
        <v>1</v>
      </c>
      <c r="G336" s="7" t="s">
        <v>7</v>
      </c>
      <c r="H336" s="6" t="s">
        <v>0</v>
      </c>
      <c r="I336" s="14" t="s">
        <v>37</v>
      </c>
      <c r="J336" t="s">
        <v>87</v>
      </c>
      <c r="K336" s="37" t="s">
        <v>3</v>
      </c>
    </row>
    <row r="337" spans="1:11" ht="15.75" thickBot="1" x14ac:dyDescent="0.3">
      <c r="A337" s="58" t="s">
        <v>81</v>
      </c>
      <c r="B337" s="12">
        <v>49</v>
      </c>
      <c r="C337" s="31" t="str">
        <f>HYPERLINK("\\Elam-pliki\firmowe\BUDIMEX\Projekty\DANWOOD 2017\DE\07 Lipiec\49 Seifert Thomas 10180","Seifert Thomas")</f>
        <v>Seifert Thomas</v>
      </c>
      <c r="D337" s="12">
        <v>10180</v>
      </c>
      <c r="E337" s="17"/>
      <c r="F337" s="17" t="s">
        <v>1</v>
      </c>
      <c r="G337" s="7" t="s">
        <v>22</v>
      </c>
      <c r="H337" s="6"/>
      <c r="I337" s="14" t="s">
        <v>41</v>
      </c>
      <c r="J337" t="s">
        <v>92</v>
      </c>
      <c r="K337" s="6"/>
    </row>
    <row r="338" spans="1:11" ht="15.75" thickBot="1" x14ac:dyDescent="0.3">
      <c r="A338" s="58" t="s">
        <v>81</v>
      </c>
      <c r="B338" s="12">
        <v>50</v>
      </c>
      <c r="C338" s="31" t="str">
        <f>HYPERLINK("\\Elam-pliki\firmowe\BUDIMEX\Projekty\DANWOOD 2017\DE\07 Lipiec\50 Beal 9313","Beal")</f>
        <v>Beal</v>
      </c>
      <c r="D338" s="12">
        <v>9313</v>
      </c>
      <c r="E338" s="36" t="s">
        <v>5</v>
      </c>
      <c r="F338" s="17" t="s">
        <v>1</v>
      </c>
      <c r="G338" s="7" t="s">
        <v>23</v>
      </c>
      <c r="H338" s="6" t="s">
        <v>0</v>
      </c>
      <c r="I338" s="14" t="s">
        <v>41</v>
      </c>
      <c r="J338" t="s">
        <v>87</v>
      </c>
      <c r="K338" s="37" t="s">
        <v>6</v>
      </c>
    </row>
    <row r="339" spans="1:11" ht="15.75" thickBot="1" x14ac:dyDescent="0.3">
      <c r="A339" s="58" t="s">
        <v>81</v>
      </c>
      <c r="B339" s="12">
        <v>51</v>
      </c>
      <c r="C339" s="31" t="str">
        <f>HYPERLINK("\\Elam-pliki\firmowe\BUDIMEX\Projekty\DANWOOD 2017\DE\07 Lipiec\51 Drittenthaler 9314","Drittenthaler")</f>
        <v>Drittenthaler</v>
      </c>
      <c r="D339" s="12">
        <v>9314</v>
      </c>
      <c r="E339" s="17" t="s">
        <v>15</v>
      </c>
      <c r="F339" s="17" t="s">
        <v>1</v>
      </c>
      <c r="G339" s="7" t="s">
        <v>36</v>
      </c>
      <c r="H339" s="6"/>
      <c r="I339" s="14" t="s">
        <v>39</v>
      </c>
      <c r="J339" t="s">
        <v>87</v>
      </c>
      <c r="K339" s="6"/>
    </row>
    <row r="340" spans="1:11" ht="15.75" thickBot="1" x14ac:dyDescent="0.3">
      <c r="A340" s="58" t="s">
        <v>81</v>
      </c>
      <c r="B340" s="12">
        <v>52</v>
      </c>
      <c r="C340" s="31" t="str">
        <f>HYPERLINK("\\Elam-pliki\firmowe\BUDIMEX\Projekty\DANWOOD 2017\DE\07 Lipiec\52 Schade Frank 9697","Schade Frank")</f>
        <v>Schade Frank</v>
      </c>
      <c r="D340" s="12">
        <v>9697</v>
      </c>
      <c r="E340" s="17"/>
      <c r="F340" s="17" t="s">
        <v>1</v>
      </c>
      <c r="G340" s="7" t="s">
        <v>16</v>
      </c>
      <c r="H340" s="6"/>
      <c r="I340" s="14" t="s">
        <v>41</v>
      </c>
      <c r="J340" t="s">
        <v>92</v>
      </c>
      <c r="K340" s="6"/>
    </row>
    <row r="341" spans="1:11" ht="15.75" thickBot="1" x14ac:dyDescent="0.3">
      <c r="A341" s="58" t="s">
        <v>81</v>
      </c>
      <c r="B341" s="26">
        <v>53</v>
      </c>
      <c r="C341" s="35" t="str">
        <f>HYPERLINK("\\Elam-pliki\firmowe\BUDIMEX\Projekty\DANWOOD 2017\DE\07 Lipiec\53 Emminger 10762","Emminger")</f>
        <v>Emminger</v>
      </c>
      <c r="D341" s="26">
        <v>10762</v>
      </c>
      <c r="E341" s="28"/>
      <c r="F341" s="28" t="s">
        <v>4</v>
      </c>
      <c r="G341" s="7" t="s">
        <v>20</v>
      </c>
      <c r="H341" s="6"/>
      <c r="I341" s="14" t="s">
        <v>41</v>
      </c>
      <c r="J341" t="s">
        <v>92</v>
      </c>
      <c r="K341" s="6"/>
    </row>
    <row r="342" spans="1:11" ht="15.75" thickBot="1" x14ac:dyDescent="0.3">
      <c r="A342" s="58" t="s">
        <v>81</v>
      </c>
      <c r="B342" s="12">
        <v>54</v>
      </c>
      <c r="C342" s="31" t="str">
        <f>HYPERLINK("\\Elam-pliki\firmowe\BUDIMEX\Projekty\DANWOOD 2017\DE\07 Lipiec\54 Kolberg 10457","Kolberg")</f>
        <v>Kolberg</v>
      </c>
      <c r="D342" s="12">
        <v>10457</v>
      </c>
      <c r="E342" s="17" t="s">
        <v>15</v>
      </c>
      <c r="F342" s="17" t="s">
        <v>1</v>
      </c>
      <c r="G342" s="7" t="s">
        <v>8</v>
      </c>
      <c r="H342" s="6"/>
      <c r="I342" s="14" t="s">
        <v>41</v>
      </c>
      <c r="J342" t="s">
        <v>87</v>
      </c>
      <c r="K342" s="6"/>
    </row>
    <row r="343" spans="1:11" ht="15.75" thickBot="1" x14ac:dyDescent="0.3">
      <c r="A343" s="58" t="s">
        <v>81</v>
      </c>
      <c r="B343" s="26">
        <v>55</v>
      </c>
      <c r="C343" s="35" t="str">
        <f>HYPERLINK("\\Elam-pliki\firmowe\BUDIMEX\Projekty\DANWOOD 2017\DE\07 Lipiec\55 Di Gregorio 11173","Di Gregorio")</f>
        <v>Di Gregorio</v>
      </c>
      <c r="D343" s="26">
        <v>11173</v>
      </c>
      <c r="E343" s="28"/>
      <c r="F343" s="28" t="s">
        <v>4</v>
      </c>
      <c r="G343" s="7" t="s">
        <v>55</v>
      </c>
      <c r="H343" s="6"/>
      <c r="I343" s="14" t="s">
        <v>41</v>
      </c>
      <c r="J343" t="s">
        <v>87</v>
      </c>
      <c r="K343" s="6"/>
    </row>
    <row r="344" spans="1:11" ht="15.75" thickBot="1" x14ac:dyDescent="0.3">
      <c r="A344" s="58" t="s">
        <v>81</v>
      </c>
      <c r="B344" s="12">
        <v>56</v>
      </c>
      <c r="C344" s="31" t="str">
        <f>HYPERLINK("\\Elam-pliki\firmowe\BUDIMEX\Projekty\DANWOOD 2017\DE\07 Lipiec\56 Unterweger 11671","Unterweger")</f>
        <v>Unterweger</v>
      </c>
      <c r="D344" s="12">
        <v>11671</v>
      </c>
      <c r="E344" s="36" t="s">
        <v>5</v>
      </c>
      <c r="F344" s="17" t="s">
        <v>1</v>
      </c>
      <c r="G344" s="7" t="s">
        <v>21</v>
      </c>
      <c r="H344" s="6" t="s">
        <v>0</v>
      </c>
      <c r="I344" s="14" t="s">
        <v>37</v>
      </c>
      <c r="J344" t="s">
        <v>135</v>
      </c>
      <c r="K344" s="37" t="s">
        <v>3</v>
      </c>
    </row>
    <row r="345" spans="1:11" ht="15.75" thickBot="1" x14ac:dyDescent="0.3">
      <c r="A345" s="58" t="s">
        <v>81</v>
      </c>
      <c r="B345" s="26">
        <v>57</v>
      </c>
      <c r="C345" s="35" t="str">
        <f>HYPERLINK("\\Elam-pliki\firmowe\BUDIMEX\Projekty\DANWOOD 2017\DE\07 Lipiec\57 Dietz-Stimpel 9595","Dietz-Stimpel")</f>
        <v>Dietz-Stimpel</v>
      </c>
      <c r="D345" s="26">
        <v>9595</v>
      </c>
      <c r="E345" s="28"/>
      <c r="F345" s="28" t="s">
        <v>4</v>
      </c>
      <c r="G345" s="7" t="s">
        <v>11</v>
      </c>
      <c r="H345" s="6"/>
      <c r="I345" s="14" t="s">
        <v>39</v>
      </c>
      <c r="J345" t="s">
        <v>92</v>
      </c>
      <c r="K345" s="6"/>
    </row>
    <row r="346" spans="1:11" ht="15.75" thickBot="1" x14ac:dyDescent="0.3">
      <c r="A346" s="58" t="s">
        <v>81</v>
      </c>
      <c r="B346" s="7">
        <v>58</v>
      </c>
      <c r="C346" s="39" t="str">
        <f>HYPERLINK("\\Elam-pliki\firmowe\BUDIMEX\Projekty\DANWOOD 2017\DE\07 Lipiec\58 Schmitt 10710","Schmitt")</f>
        <v>Schmitt</v>
      </c>
      <c r="D346" s="7">
        <v>10710</v>
      </c>
      <c r="E346" s="6"/>
      <c r="F346" s="6" t="s">
        <v>4</v>
      </c>
      <c r="G346" s="7" t="s">
        <v>27</v>
      </c>
      <c r="H346" s="6"/>
      <c r="I346" s="14" t="s">
        <v>41</v>
      </c>
      <c r="J346" t="s">
        <v>87</v>
      </c>
      <c r="K346" s="6"/>
    </row>
    <row r="347" spans="1:11" ht="15.75" thickBot="1" x14ac:dyDescent="0.3">
      <c r="A347" s="58" t="s">
        <v>81</v>
      </c>
      <c r="B347" s="12">
        <v>59</v>
      </c>
      <c r="C347" s="31" t="str">
        <f>HYPERLINK("\\Elam-pliki\firmowe\BUDIMEX\Projekty\DANWOOD 2017\DE\07 Lipiec\59 Wening 9978","Wening")</f>
        <v>Wening</v>
      </c>
      <c r="D347" s="12">
        <v>9978</v>
      </c>
      <c r="E347" s="17" t="s">
        <v>15</v>
      </c>
      <c r="F347" s="17" t="s">
        <v>1</v>
      </c>
      <c r="G347" s="7" t="s">
        <v>19</v>
      </c>
      <c r="H347" s="6"/>
      <c r="I347" s="14" t="s">
        <v>39</v>
      </c>
      <c r="J347" t="s">
        <v>87</v>
      </c>
      <c r="K347" s="6"/>
    </row>
    <row r="348" spans="1:11" ht="15.75" thickBot="1" x14ac:dyDescent="0.3">
      <c r="A348" s="58" t="s">
        <v>81</v>
      </c>
      <c r="B348" s="12">
        <v>60</v>
      </c>
      <c r="C348" s="31" t="str">
        <f>HYPERLINK("\\Elam-pliki\firmowe\BUDIMEX\Projekty\DANWOOD 2017\DE\07 Lipiec\60 Langhammer 10706","Langhammer")</f>
        <v>Langhammer</v>
      </c>
      <c r="D348" s="12">
        <v>10706</v>
      </c>
      <c r="E348" s="17" t="s">
        <v>15</v>
      </c>
      <c r="F348" s="17" t="s">
        <v>1</v>
      </c>
      <c r="G348" s="7" t="s">
        <v>30</v>
      </c>
      <c r="H348" s="6"/>
      <c r="I348" s="14" t="s">
        <v>37</v>
      </c>
      <c r="J348" t="s">
        <v>87</v>
      </c>
      <c r="K348" s="6"/>
    </row>
    <row r="349" spans="1:11" ht="15.75" thickBot="1" x14ac:dyDescent="0.3">
      <c r="A349" s="58" t="s">
        <v>81</v>
      </c>
      <c r="B349" s="7">
        <v>61</v>
      </c>
      <c r="C349" s="39" t="str">
        <f>HYPERLINK("\\Elam-pliki\firmowe\BUDIMEX\Projekty\DANWOOD 2017\DE\07 Lipiec\61 Sarjas 11116","Sarjas")</f>
        <v>Sarjas</v>
      </c>
      <c r="D349" s="7">
        <v>11116</v>
      </c>
      <c r="E349" s="6"/>
      <c r="F349" s="6"/>
      <c r="G349" s="7" t="s">
        <v>30</v>
      </c>
      <c r="H349" s="6"/>
      <c r="I349" s="14" t="s">
        <v>41</v>
      </c>
      <c r="J349" t="s">
        <v>87</v>
      </c>
      <c r="K349" s="6"/>
    </row>
    <row r="350" spans="1:11" ht="15.75" thickBot="1" x14ac:dyDescent="0.3">
      <c r="A350" s="58" t="s">
        <v>81</v>
      </c>
      <c r="B350" s="7">
        <v>62</v>
      </c>
      <c r="C350" s="39" t="str">
        <f>HYPERLINK("\\Elam-pliki\firmowe\BUDIMEX\Projekty\DANWOOD 2017\DE\07 Lipiec\62 Hampp Manuel 10520","Hampp Manuel")</f>
        <v>Hampp Manuel</v>
      </c>
      <c r="D350" s="7">
        <v>10520</v>
      </c>
      <c r="E350" s="6"/>
      <c r="F350" s="6"/>
      <c r="G350" s="7" t="s">
        <v>16</v>
      </c>
      <c r="H350" s="6"/>
      <c r="I350" s="14" t="s">
        <v>41</v>
      </c>
      <c r="J350" t="s">
        <v>87</v>
      </c>
      <c r="K350" s="6"/>
    </row>
    <row r="351" spans="1:11" ht="15.75" thickBot="1" x14ac:dyDescent="0.3">
      <c r="A351" s="58" t="s">
        <v>81</v>
      </c>
      <c r="B351" s="50">
        <v>63</v>
      </c>
      <c r="C351" s="51" t="str">
        <f>HYPERLINK("\\Elam-pliki\firmowe\BUDIMEX\Projekty\DANWOOD 2017\DE\07 Lipiec\63 Riesterer 10376","Riesterer")</f>
        <v>Riesterer</v>
      </c>
      <c r="D351" s="50">
        <v>10376</v>
      </c>
      <c r="E351" s="52" t="s">
        <v>43</v>
      </c>
      <c r="F351" s="52" t="s">
        <v>4</v>
      </c>
      <c r="G351" s="9" t="s">
        <v>14</v>
      </c>
      <c r="H351" s="8"/>
      <c r="I351" s="16" t="s">
        <v>41</v>
      </c>
      <c r="J351" s="3" t="s">
        <v>136</v>
      </c>
      <c r="K351" s="8"/>
    </row>
    <row r="352" spans="1:11" ht="15" customHeight="1" thickBot="1" x14ac:dyDescent="0.3">
      <c r="A352" s="58" t="s">
        <v>82</v>
      </c>
      <c r="B352" s="12">
        <v>1</v>
      </c>
      <c r="C352" s="31" t="str">
        <f>HYPERLINK("\\Elam-pliki\firmowe\BUDIMEX\Projekty\DANWOOD 2017\DE\08 Sierpień\01 Porzelt 10189","Porzelt")</f>
        <v>Porzelt</v>
      </c>
      <c r="D352" s="12">
        <v>10189</v>
      </c>
      <c r="E352" s="17" t="s">
        <v>15</v>
      </c>
      <c r="F352" s="17" t="s">
        <v>1</v>
      </c>
      <c r="G352" s="7" t="s">
        <v>13</v>
      </c>
      <c r="H352" s="6"/>
      <c r="I352" s="14" t="s">
        <v>39</v>
      </c>
      <c r="J352" t="s">
        <v>87</v>
      </c>
      <c r="K352" s="6"/>
    </row>
    <row r="353" spans="1:11" ht="15.75" thickBot="1" x14ac:dyDescent="0.3">
      <c r="A353" s="58" t="s">
        <v>82</v>
      </c>
      <c r="B353" s="12">
        <v>2</v>
      </c>
      <c r="C353" s="31" t="str">
        <f>HYPERLINK("\\Elam-pliki\firmowe\BUDIMEX\Projekty\DANWOOD 2017\DE\08 Sierpień\02 Gunther 10308","Gunther")</f>
        <v>Gunther</v>
      </c>
      <c r="D353" s="12">
        <v>10308</v>
      </c>
      <c r="E353" s="17"/>
      <c r="F353" s="17" t="s">
        <v>1</v>
      </c>
      <c r="G353" s="7" t="s">
        <v>8</v>
      </c>
      <c r="H353" s="6"/>
      <c r="I353" s="14" t="s">
        <v>37</v>
      </c>
      <c r="J353" t="s">
        <v>92</v>
      </c>
      <c r="K353" s="6"/>
    </row>
    <row r="354" spans="1:11" ht="15.75" thickBot="1" x14ac:dyDescent="0.3">
      <c r="A354" s="58" t="s">
        <v>82</v>
      </c>
      <c r="B354" s="12">
        <v>3</v>
      </c>
      <c r="C354" s="31" t="str">
        <f>HYPERLINK("\\Elam-pliki\firmowe\BUDIMEX\Projekty\DANWOOD 2017\DE\08 Sierpień\03 Leuker 10214","Leuker")</f>
        <v>Leuker</v>
      </c>
      <c r="D354" s="12">
        <v>10214</v>
      </c>
      <c r="E354" s="17" t="s">
        <v>15</v>
      </c>
      <c r="F354" s="17" t="s">
        <v>1</v>
      </c>
      <c r="G354" s="7" t="s">
        <v>8</v>
      </c>
      <c r="H354" s="6"/>
      <c r="I354" s="14" t="s">
        <v>42</v>
      </c>
      <c r="J354" t="s">
        <v>92</v>
      </c>
      <c r="K354" s="6"/>
    </row>
    <row r="355" spans="1:11" ht="15.75" thickBot="1" x14ac:dyDescent="0.3">
      <c r="A355" s="58" t="s">
        <v>82</v>
      </c>
      <c r="B355" s="12">
        <v>4</v>
      </c>
      <c r="C355" s="31" t="str">
        <f>HYPERLINK("\\Elam-pliki\firmowe\BUDIMEX\Projekty\DANWOOD 2017\DE\08 Sierpień\04 Nehring 10768","Nehring")</f>
        <v>Nehring</v>
      </c>
      <c r="D355" s="12">
        <v>10768</v>
      </c>
      <c r="E355" s="17" t="s">
        <v>15</v>
      </c>
      <c r="F355" s="17" t="s">
        <v>1</v>
      </c>
      <c r="G355" s="7" t="s">
        <v>13</v>
      </c>
      <c r="H355" s="6"/>
      <c r="I355" s="14" t="s">
        <v>39</v>
      </c>
      <c r="J355" t="s">
        <v>87</v>
      </c>
      <c r="K355" s="6"/>
    </row>
    <row r="356" spans="1:11" ht="15.75" thickBot="1" x14ac:dyDescent="0.3">
      <c r="A356" s="58" t="s">
        <v>82</v>
      </c>
      <c r="B356" s="12">
        <v>5</v>
      </c>
      <c r="C356" s="31" t="str">
        <f>HYPERLINK("\\Elam-pliki\firmowe\BUDIMEX\Projekty\DANWOOD 2017\DE\08 Sierpień\05 Rose Jon 9578","Rose Jon ")</f>
        <v xml:space="preserve">Rose Jon </v>
      </c>
      <c r="D356" s="12">
        <v>9578</v>
      </c>
      <c r="E356" s="36" t="s">
        <v>5</v>
      </c>
      <c r="F356" s="17" t="s">
        <v>1</v>
      </c>
      <c r="G356" s="7" t="s">
        <v>32</v>
      </c>
      <c r="H356" s="6" t="s">
        <v>0</v>
      </c>
      <c r="I356" s="14" t="s">
        <v>41</v>
      </c>
      <c r="J356" t="s">
        <v>87</v>
      </c>
      <c r="K356" s="37" t="s">
        <v>6</v>
      </c>
    </row>
    <row r="357" spans="1:11" ht="15.75" thickBot="1" x14ac:dyDescent="0.3">
      <c r="A357" s="58" t="s">
        <v>82</v>
      </c>
      <c r="B357" s="12">
        <v>6</v>
      </c>
      <c r="C357" s="31" t="str">
        <f>HYPERLINK("\\Elam-pliki\firmowe\BUDIMEX\Projekty\DANWOOD 2017\DE\08 Sierpień\06 Röhrich DHH2 9295","Röhrich DHH2")</f>
        <v>Röhrich DHH2</v>
      </c>
      <c r="D357" s="12">
        <v>9295</v>
      </c>
      <c r="E357" s="17" t="s">
        <v>29</v>
      </c>
      <c r="F357" s="17" t="s">
        <v>1</v>
      </c>
      <c r="G357" s="7" t="s">
        <v>11</v>
      </c>
      <c r="H357" s="6"/>
      <c r="I357" s="14" t="s">
        <v>42</v>
      </c>
      <c r="J357" t="s">
        <v>92</v>
      </c>
      <c r="K357" s="6"/>
    </row>
    <row r="358" spans="1:11" ht="15.75" thickBot="1" x14ac:dyDescent="0.3">
      <c r="A358" s="58" t="s">
        <v>82</v>
      </c>
      <c r="B358" s="12">
        <v>7</v>
      </c>
      <c r="C358" s="31" t="str">
        <f>HYPERLINK("\\Elam-pliki\firmowe\BUDIMEX\Projekty\DANWOOD 2017\DE\08 Sierpień\07 Settele 10798","Settele")</f>
        <v>Settele</v>
      </c>
      <c r="D358" s="12">
        <v>10798</v>
      </c>
      <c r="E358" s="17" t="s">
        <v>15</v>
      </c>
      <c r="F358" s="17" t="s">
        <v>1</v>
      </c>
      <c r="G358" s="7" t="s">
        <v>51</v>
      </c>
      <c r="H358" s="6"/>
      <c r="I358" s="14" t="s">
        <v>42</v>
      </c>
      <c r="J358" t="s">
        <v>87</v>
      </c>
      <c r="K358" s="6"/>
    </row>
    <row r="359" spans="1:11" ht="15.75" thickBot="1" x14ac:dyDescent="0.3">
      <c r="A359" s="58" t="s">
        <v>82</v>
      </c>
      <c r="B359" s="12">
        <v>8</v>
      </c>
      <c r="C359" s="31" t="str">
        <f>HYPERLINK("\\Elam-pliki\firmowe\BUDIMEX\Projekty\DANWOOD 2017\DE\08 Sierpień\08 Meier Manfred 10694","Meier Manfred")</f>
        <v>Meier Manfred</v>
      </c>
      <c r="D359" s="12">
        <v>10694</v>
      </c>
      <c r="E359" s="17" t="s">
        <v>15</v>
      </c>
      <c r="F359" s="17" t="s">
        <v>1</v>
      </c>
      <c r="G359" s="7" t="s">
        <v>30</v>
      </c>
      <c r="H359" s="6"/>
      <c r="I359" s="14" t="s">
        <v>41</v>
      </c>
      <c r="J359" t="s">
        <v>92</v>
      </c>
      <c r="K359" s="6"/>
    </row>
    <row r="360" spans="1:11" ht="15.75" thickBot="1" x14ac:dyDescent="0.3">
      <c r="A360" s="58" t="s">
        <v>82</v>
      </c>
      <c r="B360" s="12">
        <v>9</v>
      </c>
      <c r="C360" s="31" t="str">
        <f>HYPERLINK("\\Elam-pliki\firmowe\BUDIMEX\Projekty\DANWOOD 2017\DE\08 Sierpień\09 Röhrich DHH1 9297","Röhrich DHH1")</f>
        <v>Röhrich DHH1</v>
      </c>
      <c r="D360" s="12">
        <v>9297</v>
      </c>
      <c r="E360" s="17" t="s">
        <v>29</v>
      </c>
      <c r="F360" s="17" t="s">
        <v>1</v>
      </c>
      <c r="G360" s="7" t="s">
        <v>11</v>
      </c>
      <c r="H360" s="6"/>
      <c r="I360" s="14" t="s">
        <v>42</v>
      </c>
      <c r="J360" t="s">
        <v>87</v>
      </c>
      <c r="K360" s="6"/>
    </row>
    <row r="361" spans="1:11" ht="15.75" thickBot="1" x14ac:dyDescent="0.3">
      <c r="A361" s="58" t="s">
        <v>82</v>
      </c>
      <c r="B361" s="12">
        <v>10</v>
      </c>
      <c r="C361" s="31" t="str">
        <f>HYPERLINK("\\Elam-pliki\firmowe\BUDIMEX\Projekty\DANWOOD 2017\DE\08 Sierpień\10 De Hofstetter 10740","Hofstetter")</f>
        <v>Hofstetter</v>
      </c>
      <c r="D361" s="12">
        <v>10740</v>
      </c>
      <c r="E361" s="17" t="s">
        <v>15</v>
      </c>
      <c r="F361" s="17" t="s">
        <v>1</v>
      </c>
      <c r="G361" s="7" t="s">
        <v>8</v>
      </c>
      <c r="H361" s="6"/>
      <c r="I361" s="14" t="s">
        <v>39</v>
      </c>
      <c r="J361" t="s">
        <v>92</v>
      </c>
      <c r="K361" s="6"/>
    </row>
    <row r="362" spans="1:11" ht="15.75" thickBot="1" x14ac:dyDescent="0.3">
      <c r="A362" s="58" t="s">
        <v>82</v>
      </c>
      <c r="B362" s="12">
        <v>11</v>
      </c>
      <c r="C362" s="31" t="str">
        <f>HYPERLINK("\\Elam-pliki\firmowe\BUDIMEX\Projekty\DANWOOD 2017\DE\08 Sierpień\11 Rauber 11625","Rauber")</f>
        <v>Rauber</v>
      </c>
      <c r="D362" s="12">
        <v>11625</v>
      </c>
      <c r="E362" s="36" t="s">
        <v>5</v>
      </c>
      <c r="F362" s="17" t="s">
        <v>1</v>
      </c>
      <c r="G362" s="7" t="s">
        <v>7</v>
      </c>
      <c r="H362" s="6" t="s">
        <v>0</v>
      </c>
      <c r="I362" s="14" t="s">
        <v>42</v>
      </c>
      <c r="J362" t="s">
        <v>87</v>
      </c>
      <c r="K362" s="37" t="s">
        <v>2</v>
      </c>
    </row>
    <row r="363" spans="1:11" ht="15.75" thickBot="1" x14ac:dyDescent="0.3">
      <c r="A363" s="58" t="s">
        <v>82</v>
      </c>
      <c r="B363" s="12">
        <v>12</v>
      </c>
      <c r="C363" s="31" t="str">
        <f>HYPERLINK("\\Elam-pliki\firmowe\BUDIMEX\Projekty\DANWOOD 2017\DE\08 Sierpień\12 Baier Matthias 10011","Baier Matthias")</f>
        <v>Baier Matthias</v>
      </c>
      <c r="D363" s="12">
        <v>10011</v>
      </c>
      <c r="E363" s="17" t="s">
        <v>15</v>
      </c>
      <c r="F363" s="17" t="s">
        <v>1</v>
      </c>
      <c r="G363" s="7" t="s">
        <v>9</v>
      </c>
      <c r="H363" s="6"/>
      <c r="I363" s="14" t="s">
        <v>41</v>
      </c>
      <c r="J363" t="s">
        <v>87</v>
      </c>
      <c r="K363" s="6"/>
    </row>
    <row r="364" spans="1:11" ht="15.75" thickBot="1" x14ac:dyDescent="0.3">
      <c r="A364" s="58" t="s">
        <v>82</v>
      </c>
      <c r="B364" s="12">
        <v>13</v>
      </c>
      <c r="C364" s="31" t="str">
        <f>HYPERLINK("\\Elam-pliki\firmowe\BUDIMEX\Projekty\DANWOOD 2017\DE\08 Sierpień\13 Islam 10501","Islam")</f>
        <v>Islam</v>
      </c>
      <c r="D364" s="12">
        <v>10501</v>
      </c>
      <c r="E364" s="17" t="s">
        <v>43</v>
      </c>
      <c r="F364" s="17" t="s">
        <v>1</v>
      </c>
      <c r="G364" s="7" t="s">
        <v>58</v>
      </c>
      <c r="H364" s="6"/>
      <c r="I364" s="14" t="s">
        <v>39</v>
      </c>
      <c r="J364" t="s">
        <v>92</v>
      </c>
      <c r="K364" s="6"/>
    </row>
    <row r="365" spans="1:11" ht="15.75" thickBot="1" x14ac:dyDescent="0.3">
      <c r="A365" s="58" t="s">
        <v>82</v>
      </c>
      <c r="B365" s="12">
        <v>14</v>
      </c>
      <c r="C365" s="31" t="str">
        <f>HYPERLINK("\\Elam-pliki\FIRMOWE\BUDIMEX\PROJEKTY\DANWOOD 2017\DE\08 Sierpień\14 Trommler 9878","Trommler")</f>
        <v>Trommler</v>
      </c>
      <c r="D365" s="12">
        <v>9878</v>
      </c>
      <c r="E365" s="17"/>
      <c r="F365" s="17" t="s">
        <v>1</v>
      </c>
      <c r="G365" s="7" t="s">
        <v>26</v>
      </c>
      <c r="H365" s="6"/>
      <c r="I365" s="14" t="s">
        <v>39</v>
      </c>
      <c r="J365" t="s">
        <v>87</v>
      </c>
      <c r="K365" s="6"/>
    </row>
    <row r="366" spans="1:11" ht="15.75" thickBot="1" x14ac:dyDescent="0.3">
      <c r="A366" s="58" t="s">
        <v>82</v>
      </c>
      <c r="B366" s="7">
        <v>15</v>
      </c>
      <c r="C366" s="39" t="str">
        <f>HYPERLINK("\\Elam-pliki\firmowe\BUDIMEX\Projekty\DANWOOD 2017\DE\08 Sierpień\15 Kessels 10619","Kessels")</f>
        <v>Kessels</v>
      </c>
      <c r="D366" s="7">
        <v>10169</v>
      </c>
      <c r="E366" s="6"/>
      <c r="F366" s="6"/>
      <c r="G366" s="7" t="s">
        <v>20</v>
      </c>
      <c r="H366" s="6"/>
      <c r="I366" s="14" t="s">
        <v>37</v>
      </c>
      <c r="J366" t="s">
        <v>137</v>
      </c>
      <c r="K366" s="6"/>
    </row>
    <row r="367" spans="1:11" ht="15.75" thickBot="1" x14ac:dyDescent="0.3">
      <c r="A367" s="58" t="s">
        <v>82</v>
      </c>
      <c r="B367" s="26">
        <v>16</v>
      </c>
      <c r="C367" s="35" t="str">
        <f>HYPERLINK("\\Elam-pliki\firmowe\BUDIMEX\Projekty\DANWOOD 2017\DE\08 Sierpień\16 Hilger Paul 9827","Hilger Paul")</f>
        <v>Hilger Paul</v>
      </c>
      <c r="D367" s="26">
        <v>9827</v>
      </c>
      <c r="E367" s="28"/>
      <c r="F367" s="28" t="s">
        <v>4</v>
      </c>
      <c r="G367" s="7" t="s">
        <v>36</v>
      </c>
      <c r="H367" s="6"/>
      <c r="I367" s="14" t="s">
        <v>39</v>
      </c>
      <c r="J367" t="s">
        <v>87</v>
      </c>
      <c r="K367" s="6"/>
    </row>
    <row r="368" spans="1:11" ht="15.75" thickBot="1" x14ac:dyDescent="0.3">
      <c r="A368" s="58" t="s">
        <v>82</v>
      </c>
      <c r="B368" s="12">
        <v>17</v>
      </c>
      <c r="C368" s="31" t="str">
        <f>HYPERLINK("\\Elam-pliki\firmowe\BUDIMEX\Projekty\DANWOOD 2017\DE\08 Sierpień\17 Schuhmann 11312","Schuhmann")</f>
        <v>Schuhmann</v>
      </c>
      <c r="D368" s="12">
        <v>11312</v>
      </c>
      <c r="E368" s="17"/>
      <c r="F368" s="17" t="s">
        <v>1</v>
      </c>
      <c r="G368" s="7" t="s">
        <v>35</v>
      </c>
      <c r="H368" s="6"/>
      <c r="I368" s="14" t="s">
        <v>37</v>
      </c>
      <c r="J368" t="s">
        <v>138</v>
      </c>
      <c r="K368" s="6"/>
    </row>
    <row r="369" spans="1:11" ht="15.75" thickBot="1" x14ac:dyDescent="0.3">
      <c r="A369" s="58" t="s">
        <v>82</v>
      </c>
      <c r="B369" s="12">
        <v>18</v>
      </c>
      <c r="C369" s="31" t="str">
        <f>HYPERLINK("\\Elam-pliki\firmowe\BUDIMEX\Projekty\DANWOOD 2017\DE\08 Sierpień\18 Sack 11363","Sack")</f>
        <v>Sack</v>
      </c>
      <c r="D369" s="12">
        <v>11363</v>
      </c>
      <c r="E369" s="17" t="s">
        <v>15</v>
      </c>
      <c r="F369" s="17" t="s">
        <v>1</v>
      </c>
      <c r="G369" s="7" t="s">
        <v>13</v>
      </c>
      <c r="H369" s="6"/>
      <c r="I369" s="14" t="s">
        <v>42</v>
      </c>
      <c r="J369" t="s">
        <v>92</v>
      </c>
      <c r="K369" s="6"/>
    </row>
    <row r="370" spans="1:11" ht="15.75" thickBot="1" x14ac:dyDescent="0.3">
      <c r="A370" s="58" t="s">
        <v>82</v>
      </c>
      <c r="B370" s="26">
        <v>19</v>
      </c>
      <c r="C370" s="35" t="str">
        <f>HYPERLINK("\\Elam-pliki\firmowe\BUDIMEX\Projekty\DANWOOD 2017\DE\08 Sierpień\19 Spika 10335","Spika")</f>
        <v>Spika</v>
      </c>
      <c r="D370" s="26">
        <v>10335</v>
      </c>
      <c r="E370" s="28"/>
      <c r="F370" s="28" t="s">
        <v>4</v>
      </c>
      <c r="G370" s="7" t="s">
        <v>13</v>
      </c>
      <c r="H370" s="6"/>
      <c r="I370" s="14" t="s">
        <v>37</v>
      </c>
      <c r="J370" t="s">
        <v>138</v>
      </c>
      <c r="K370" s="6"/>
    </row>
    <row r="371" spans="1:11" ht="15.75" thickBot="1" x14ac:dyDescent="0.3">
      <c r="A371" s="58" t="s">
        <v>82</v>
      </c>
      <c r="B371" s="12">
        <v>20</v>
      </c>
      <c r="C371" s="31" t="str">
        <f>HYPERLINK("\\Elam-pliki\firmowe\BUDIMEX\Projekty\DANWOOD 2017\DE\08 Sierpień\20 Wanner Andrea 11320","Wanner Andrea")</f>
        <v>Wanner Andrea</v>
      </c>
      <c r="D371" s="12">
        <v>11320</v>
      </c>
      <c r="E371" s="36" t="s">
        <v>5</v>
      </c>
      <c r="F371" s="17" t="s">
        <v>1</v>
      </c>
      <c r="G371" s="7" t="s">
        <v>57</v>
      </c>
      <c r="H371" s="6" t="s">
        <v>0</v>
      </c>
      <c r="I371" s="14" t="s">
        <v>37</v>
      </c>
      <c r="J371" t="s">
        <v>135</v>
      </c>
      <c r="K371" s="37" t="s">
        <v>3</v>
      </c>
    </row>
    <row r="372" spans="1:11" ht="15.75" thickBot="1" x14ac:dyDescent="0.3">
      <c r="A372" s="58" t="s">
        <v>82</v>
      </c>
      <c r="B372" s="12">
        <v>21</v>
      </c>
      <c r="C372" s="31" t="str">
        <f>HYPERLINK("\\Elam-pliki\firmowe\BUDIMEX\Projekty\DANWOOD 2017\DE\08 Sierpień\21 Wolff 10267","Wolff")</f>
        <v>Wolff</v>
      </c>
      <c r="D372" s="12">
        <v>10267</v>
      </c>
      <c r="E372" s="17"/>
      <c r="F372" s="17" t="s">
        <v>1</v>
      </c>
      <c r="G372" s="7" t="s">
        <v>8</v>
      </c>
      <c r="H372" s="6"/>
      <c r="I372" s="14" t="s">
        <v>42</v>
      </c>
      <c r="J372" t="s">
        <v>92</v>
      </c>
      <c r="K372" s="6"/>
    </row>
    <row r="373" spans="1:11" ht="15.75" thickBot="1" x14ac:dyDescent="0.3">
      <c r="A373" s="58" t="s">
        <v>82</v>
      </c>
      <c r="B373" s="12">
        <v>22</v>
      </c>
      <c r="C373" s="31" t="str">
        <f>HYPERLINK("\\Elam-pliki\firmowe\BUDIMEX\Projekty\DANWOOD 2017\DE\08 Sierpień\22 Graf Olga 8995","Graf Olga")</f>
        <v>Graf Olga</v>
      </c>
      <c r="D373" s="12">
        <v>8995</v>
      </c>
      <c r="E373" s="17"/>
      <c r="F373" s="17" t="s">
        <v>1</v>
      </c>
      <c r="G373" s="7" t="s">
        <v>59</v>
      </c>
      <c r="H373" s="6"/>
      <c r="I373" s="14" t="s">
        <v>42</v>
      </c>
      <c r="J373" t="s">
        <v>92</v>
      </c>
      <c r="K373" s="6"/>
    </row>
    <row r="374" spans="1:11" ht="15.75" thickBot="1" x14ac:dyDescent="0.3">
      <c r="A374" s="58" t="s">
        <v>82</v>
      </c>
      <c r="B374" s="12">
        <v>23</v>
      </c>
      <c r="C374" s="31" t="str">
        <f>HYPERLINK("\\Elam-pliki\firmowe\BUDIMEX\Projekty\DANWOOD 2017\DE\08 Sierpień\23 Evans 10240","Evans")</f>
        <v>Evans</v>
      </c>
      <c r="D374" s="12">
        <v>10240</v>
      </c>
      <c r="E374" s="36" t="s">
        <v>5</v>
      </c>
      <c r="F374" s="17" t="s">
        <v>1</v>
      </c>
      <c r="G374" s="7" t="s">
        <v>23</v>
      </c>
      <c r="H374" s="6" t="s">
        <v>0</v>
      </c>
      <c r="I374" s="14" t="s">
        <v>41</v>
      </c>
      <c r="J374" t="s">
        <v>87</v>
      </c>
      <c r="K374" s="37" t="s">
        <v>6</v>
      </c>
    </row>
    <row r="375" spans="1:11" ht="15.75" thickBot="1" x14ac:dyDescent="0.3">
      <c r="A375" s="58" t="s">
        <v>82</v>
      </c>
      <c r="B375" s="26">
        <v>24</v>
      </c>
      <c r="C375" s="35" t="str">
        <f>HYPERLINK("\\Elam-pliki\firmowe\BUDIMEX\Projekty\DANWOOD 2017\DE\08 Sierpień\24 Geißler 10639","Geißler")</f>
        <v>Geißler</v>
      </c>
      <c r="D375" s="26">
        <v>10639</v>
      </c>
      <c r="E375" s="28"/>
      <c r="F375" s="28" t="s">
        <v>4</v>
      </c>
      <c r="G375" s="7" t="s">
        <v>51</v>
      </c>
      <c r="H375" s="6"/>
      <c r="I375" s="14" t="s">
        <v>37</v>
      </c>
      <c r="J375" t="s">
        <v>87</v>
      </c>
      <c r="K375" s="6"/>
    </row>
    <row r="376" spans="1:11" ht="15.75" thickBot="1" x14ac:dyDescent="0.3">
      <c r="A376" s="58" t="s">
        <v>82</v>
      </c>
      <c r="B376" s="26">
        <v>25</v>
      </c>
      <c r="C376" s="35" t="str">
        <f>HYPERLINK("\\Elam-pliki\firmowe\BUDIMEX\Projekty\DANWOOD 2017\DE\08 Sierpień\25 Bloch Patrick 10433","Bloch Patrick")</f>
        <v>Bloch Patrick</v>
      </c>
      <c r="D376" s="26">
        <v>10433</v>
      </c>
      <c r="E376" s="28"/>
      <c r="F376" s="28" t="s">
        <v>4</v>
      </c>
      <c r="G376" s="7" t="s">
        <v>30</v>
      </c>
      <c r="H376" s="6"/>
      <c r="I376" s="14" t="s">
        <v>37</v>
      </c>
      <c r="J376" t="s">
        <v>139</v>
      </c>
      <c r="K376" s="6"/>
    </row>
    <row r="377" spans="1:11" ht="15.75" thickBot="1" x14ac:dyDescent="0.3">
      <c r="A377" s="58" t="s">
        <v>82</v>
      </c>
      <c r="B377" s="26">
        <v>26</v>
      </c>
      <c r="C377" s="35" t="str">
        <f>HYPERLINK("\\Elam-pliki\firmowe\BUDIMEX\Projekty\DANWOOD 2017\DE\08 Sierpień\26 Baur Alexander 10833","Baur Alexander")</f>
        <v>Baur Alexander</v>
      </c>
      <c r="D377" s="26">
        <v>10833</v>
      </c>
      <c r="E377" s="28"/>
      <c r="F377" s="28" t="s">
        <v>4</v>
      </c>
      <c r="G377" s="7" t="s">
        <v>20</v>
      </c>
      <c r="H377" s="6"/>
      <c r="I377" s="14" t="s">
        <v>42</v>
      </c>
      <c r="J377" t="s">
        <v>87</v>
      </c>
      <c r="K377" s="6"/>
    </row>
    <row r="378" spans="1:11" ht="15.75" thickBot="1" x14ac:dyDescent="0.3">
      <c r="A378" s="58" t="s">
        <v>82</v>
      </c>
      <c r="B378" s="12">
        <v>27</v>
      </c>
      <c r="C378" s="31" t="str">
        <f>HYPERLINK("\\Elam-pliki\firmowe\BUDIMEX\Projekty\DANWOOD 2017\DE\08 Sierpień\27 Haller 9902","Haller")</f>
        <v>Haller</v>
      </c>
      <c r="D378" s="12">
        <v>9902</v>
      </c>
      <c r="E378" s="17" t="s">
        <v>15</v>
      </c>
      <c r="F378" s="17" t="s">
        <v>1</v>
      </c>
      <c r="G378" s="7" t="s">
        <v>17</v>
      </c>
      <c r="H378" s="6"/>
      <c r="I378" s="14" t="s">
        <v>42</v>
      </c>
      <c r="J378" t="s">
        <v>92</v>
      </c>
      <c r="K378" s="6"/>
    </row>
    <row r="379" spans="1:11" ht="15.75" thickBot="1" x14ac:dyDescent="0.3">
      <c r="A379" s="58" t="s">
        <v>82</v>
      </c>
      <c r="B379" s="12">
        <v>28</v>
      </c>
      <c r="C379" s="31" t="str">
        <f>HYPERLINK("\\Elam-pliki\firmowe\BUDIMEX\Projekty\DANWOOD 2017\DE\08 Sierpień\28 Sabeditsch 11010","Sabeditsch")</f>
        <v>Sabeditsch</v>
      </c>
      <c r="D379" s="12">
        <v>11010</v>
      </c>
      <c r="E379" s="36" t="s">
        <v>5</v>
      </c>
      <c r="F379" s="17" t="s">
        <v>1</v>
      </c>
      <c r="G379" s="7" t="s">
        <v>7</v>
      </c>
      <c r="H379" s="6" t="s">
        <v>0</v>
      </c>
      <c r="I379" s="14" t="s">
        <v>39</v>
      </c>
      <c r="J379" t="s">
        <v>87</v>
      </c>
      <c r="K379" s="37" t="s">
        <v>3</v>
      </c>
    </row>
    <row r="380" spans="1:11" ht="15.75" thickBot="1" x14ac:dyDescent="0.3">
      <c r="A380" s="58" t="s">
        <v>82</v>
      </c>
      <c r="B380" s="12">
        <v>29</v>
      </c>
      <c r="C380" s="31" t="str">
        <f>HYPERLINK("\\Elam-pliki\firmowe\BUDIMEX\Projekty\DANWOOD 2017\DE\08 Sierpień\29 Young Fergus 9412","Young Fergus")</f>
        <v>Young Fergus</v>
      </c>
      <c r="D380" s="12">
        <v>9412</v>
      </c>
      <c r="E380" s="36" t="s">
        <v>5</v>
      </c>
      <c r="F380" s="17" t="s">
        <v>1</v>
      </c>
      <c r="G380" s="7" t="s">
        <v>32</v>
      </c>
      <c r="H380" s="6" t="s">
        <v>0</v>
      </c>
      <c r="I380" s="14" t="s">
        <v>42</v>
      </c>
      <c r="J380" t="s">
        <v>87</v>
      </c>
      <c r="K380" s="37" t="s">
        <v>6</v>
      </c>
    </row>
    <row r="381" spans="1:11" ht="15.75" thickBot="1" x14ac:dyDescent="0.3">
      <c r="A381" s="58" t="s">
        <v>82</v>
      </c>
      <c r="B381" s="7">
        <v>30</v>
      </c>
      <c r="C381" s="39" t="str">
        <f>HYPERLINK("\\Elam-pliki\firmowe\BUDIMEX\Projekty\DANWOOD 2017\DE\08 Sierpień\30 Wanghofer 11483","Wanghofer")</f>
        <v>Wanghofer</v>
      </c>
      <c r="D381" s="7">
        <v>11483</v>
      </c>
      <c r="E381" s="45" t="s">
        <v>5</v>
      </c>
      <c r="F381" s="6" t="s">
        <v>4</v>
      </c>
      <c r="G381" s="7" t="s">
        <v>7</v>
      </c>
      <c r="H381" s="6"/>
      <c r="I381" s="14" t="s">
        <v>39</v>
      </c>
      <c r="J381" t="s">
        <v>87</v>
      </c>
      <c r="K381" s="37" t="s">
        <v>3</v>
      </c>
    </row>
    <row r="382" spans="1:11" ht="15.75" thickBot="1" x14ac:dyDescent="0.3">
      <c r="A382" s="58" t="s">
        <v>82</v>
      </c>
      <c r="B382" s="12">
        <v>31</v>
      </c>
      <c r="C382" s="31" t="str">
        <f>HYPERLINK("\\Elam-pliki\firmowe\BUDIMEX\Projekty\DANWOOD 2017\DE\08 Sierpień\31 Zerhau 10185","Zerhau")</f>
        <v>Zerhau</v>
      </c>
      <c r="D382" s="12">
        <v>10185</v>
      </c>
      <c r="E382" s="17" t="s">
        <v>15</v>
      </c>
      <c r="F382" s="17" t="s">
        <v>1</v>
      </c>
      <c r="G382" s="7" t="s">
        <v>35</v>
      </c>
      <c r="H382" s="6"/>
      <c r="I382" s="14" t="s">
        <v>42</v>
      </c>
      <c r="J382" t="s">
        <v>92</v>
      </c>
      <c r="K382" s="6"/>
    </row>
    <row r="383" spans="1:11" ht="15.75" thickBot="1" x14ac:dyDescent="0.3">
      <c r="A383" s="58" t="s">
        <v>82</v>
      </c>
      <c r="B383" s="26">
        <v>32</v>
      </c>
      <c r="C383" s="35" t="str">
        <f>HYPERLINK("\\Elam-pliki\firmowe\BUDIMEX\Projekty\DANWOOD 2017\DE\08 Sierpień\32 Orzschig 9906","Orzschig")</f>
        <v>Orzschig</v>
      </c>
      <c r="D383" s="26">
        <v>9906</v>
      </c>
      <c r="E383" s="28"/>
      <c r="F383" s="28" t="s">
        <v>4</v>
      </c>
      <c r="G383" s="7" t="s">
        <v>19</v>
      </c>
      <c r="H383" s="6"/>
      <c r="I383" s="14" t="s">
        <v>39</v>
      </c>
      <c r="J383" t="s">
        <v>92</v>
      </c>
      <c r="K383" s="6"/>
    </row>
    <row r="384" spans="1:11" ht="15.75" thickBot="1" x14ac:dyDescent="0.3">
      <c r="A384" s="58" t="s">
        <v>82</v>
      </c>
      <c r="B384" s="7">
        <v>33</v>
      </c>
      <c r="C384" s="39" t="str">
        <f>HYPERLINK("\\Elam-pliki\firmowe\BUDIMEX\Projekty\DANWOOD 2017\DE\08 Sierpień\33 Goldner 7983","Goldner")</f>
        <v>Goldner</v>
      </c>
      <c r="D384" s="7">
        <v>7983</v>
      </c>
      <c r="E384" s="6"/>
      <c r="F384" s="6"/>
      <c r="G384" s="7" t="s">
        <v>27</v>
      </c>
      <c r="H384" s="6"/>
      <c r="I384" s="14" t="s">
        <v>42</v>
      </c>
      <c r="J384" t="s">
        <v>87</v>
      </c>
      <c r="K384" s="6"/>
    </row>
    <row r="385" spans="1:11" ht="15.75" thickBot="1" x14ac:dyDescent="0.3">
      <c r="A385" s="58" t="s">
        <v>82</v>
      </c>
      <c r="B385" s="26">
        <v>34</v>
      </c>
      <c r="C385" s="35" t="str">
        <f>HYPERLINK("\\Elam-pliki\firmowe\BUDIMEX\Projekty\DANWOOD 2017\DE\08 Sierpień\34 Richter 11033","Richter")</f>
        <v>Richter</v>
      </c>
      <c r="D385" s="26">
        <v>11033</v>
      </c>
      <c r="E385" s="28"/>
      <c r="F385" s="28" t="s">
        <v>4</v>
      </c>
      <c r="G385" s="7" t="s">
        <v>40</v>
      </c>
      <c r="H385" s="6"/>
      <c r="I385" s="14" t="s">
        <v>39</v>
      </c>
      <c r="J385" t="s">
        <v>87</v>
      </c>
      <c r="K385" s="6"/>
    </row>
    <row r="386" spans="1:11" ht="15.75" thickBot="1" x14ac:dyDescent="0.3">
      <c r="A386" s="58" t="s">
        <v>82</v>
      </c>
      <c r="B386" s="12">
        <v>35</v>
      </c>
      <c r="C386" s="31" t="str">
        <f>HYPERLINK("\\Elam-pliki\firmowe\BUDIMEX\Projekty\DANWOOD 2017\DE\08 Sierpień\35 Gütter 10727","Gütter")</f>
        <v>Gütter</v>
      </c>
      <c r="D386" s="12">
        <v>10727</v>
      </c>
      <c r="E386" s="17" t="s">
        <v>15</v>
      </c>
      <c r="F386" s="17" t="s">
        <v>1</v>
      </c>
      <c r="G386" s="7" t="s">
        <v>20</v>
      </c>
      <c r="H386" s="6"/>
      <c r="I386" s="14" t="s">
        <v>42</v>
      </c>
      <c r="J386" t="s">
        <v>87</v>
      </c>
      <c r="K386" s="6"/>
    </row>
    <row r="387" spans="1:11" ht="15.75" thickBot="1" x14ac:dyDescent="0.3">
      <c r="A387" s="58" t="s">
        <v>82</v>
      </c>
      <c r="B387" s="26">
        <v>36</v>
      </c>
      <c r="C387" s="35" t="str">
        <f>HYPERLINK("\\Elam-pliki\firmowe\BUDIMEX\Projekty\DANWOOD 2017\DE\08 Sierpień\36 Thürmann Heiko 10321","Thürmann Heiko")</f>
        <v>Thürmann Heiko</v>
      </c>
      <c r="D387" s="26">
        <v>10321</v>
      </c>
      <c r="E387" s="28"/>
      <c r="F387" s="28" t="s">
        <v>4</v>
      </c>
      <c r="G387" s="7" t="s">
        <v>36</v>
      </c>
      <c r="H387" s="6"/>
      <c r="I387" s="14" t="s">
        <v>39</v>
      </c>
      <c r="J387" t="s">
        <v>92</v>
      </c>
      <c r="K387" s="6"/>
    </row>
    <row r="388" spans="1:11" ht="15.75" thickBot="1" x14ac:dyDescent="0.3">
      <c r="A388" s="58" t="s">
        <v>82</v>
      </c>
      <c r="B388" s="26">
        <v>37</v>
      </c>
      <c r="C388" s="35" t="str">
        <f>HYPERLINK("\\Elam-pliki\firmowe\BUDIMEX\Projekty\DANWOOD 2017\DE\08 Sierpień\37 Koslowski 10969","Koslowski")</f>
        <v>Koslowski</v>
      </c>
      <c r="D388" s="26">
        <v>10969</v>
      </c>
      <c r="E388" s="28"/>
      <c r="F388" s="28" t="s">
        <v>4</v>
      </c>
      <c r="G388" s="7" t="s">
        <v>35</v>
      </c>
      <c r="H388" s="6"/>
      <c r="I388" s="14" t="s">
        <v>39</v>
      </c>
      <c r="J388" t="s">
        <v>92</v>
      </c>
      <c r="K388" s="6"/>
    </row>
    <row r="389" spans="1:11" ht="15.75" thickBot="1" x14ac:dyDescent="0.3">
      <c r="A389" s="58" t="s">
        <v>82</v>
      </c>
      <c r="B389" s="26">
        <v>38</v>
      </c>
      <c r="C389" s="35" t="str">
        <f>HYPERLINK("\\Elam-pliki\firmowe\BUDIMEX\Projekty\DANWOOD 2017\DE\08 Sierpień\38 Radloff Bernhard 9692","Radloff Bernhard")</f>
        <v>Radloff Bernhard</v>
      </c>
      <c r="D389" s="26">
        <v>9692</v>
      </c>
      <c r="E389" s="28"/>
      <c r="F389" s="28" t="s">
        <v>4</v>
      </c>
      <c r="G389" s="7" t="s">
        <v>19</v>
      </c>
      <c r="H389" s="6"/>
      <c r="I389" s="14" t="s">
        <v>37</v>
      </c>
      <c r="J389" t="s">
        <v>140</v>
      </c>
      <c r="K389" s="6"/>
    </row>
    <row r="390" spans="1:11" ht="15.75" thickBot="1" x14ac:dyDescent="0.3">
      <c r="A390" s="58" t="s">
        <v>82</v>
      </c>
      <c r="B390" s="12">
        <v>39</v>
      </c>
      <c r="C390" s="31" t="str">
        <f>HYPERLINK("\\Elam-pliki\firmowe\BUDIMEX\Projekty\DANWOOD 2017\DE\08 Sierpień\39 Blunden 10834","Blunden")</f>
        <v>Blunden</v>
      </c>
      <c r="D390" s="12">
        <v>10834</v>
      </c>
      <c r="E390" s="36" t="s">
        <v>5</v>
      </c>
      <c r="F390" s="17" t="s">
        <v>1</v>
      </c>
      <c r="G390" s="7" t="s">
        <v>32</v>
      </c>
      <c r="H390" s="6" t="s">
        <v>0</v>
      </c>
      <c r="I390" s="14" t="s">
        <v>37</v>
      </c>
      <c r="J390" t="s">
        <v>87</v>
      </c>
      <c r="K390" s="37" t="s">
        <v>6</v>
      </c>
    </row>
    <row r="391" spans="1:11" ht="15.75" thickBot="1" x14ac:dyDescent="0.3">
      <c r="A391" s="58" t="s">
        <v>82</v>
      </c>
      <c r="B391" s="12">
        <v>40</v>
      </c>
      <c r="C391" s="31" t="str">
        <f>HYPERLINK("\\Elam-pliki\firmowe\BUDIMEX\Projekty\DANWOOD 2017\DE\08 Sierpień\40 Fraser 9397","Fraser")</f>
        <v>Fraser</v>
      </c>
      <c r="D391" s="12">
        <v>9397</v>
      </c>
      <c r="E391" s="36" t="s">
        <v>5</v>
      </c>
      <c r="F391" s="17" t="s">
        <v>1</v>
      </c>
      <c r="G391" s="7" t="s">
        <v>23</v>
      </c>
      <c r="H391" s="6" t="s">
        <v>0</v>
      </c>
      <c r="I391" s="14" t="s">
        <v>37</v>
      </c>
      <c r="J391" t="s">
        <v>87</v>
      </c>
      <c r="K391" s="37" t="s">
        <v>6</v>
      </c>
    </row>
    <row r="392" spans="1:11" ht="15.75" thickBot="1" x14ac:dyDescent="0.3">
      <c r="A392" s="58" t="s">
        <v>82</v>
      </c>
      <c r="B392" s="12">
        <v>41</v>
      </c>
      <c r="C392" s="31" t="str">
        <f>HYPERLINK("\\Elam-pliki\firmowe\BUDIMEX\Projekty\DANWOOD 2017\DE\08 Sierpień\41 Pfaffenberger Jens 10895","Pfaffenberger Jens")</f>
        <v>Pfaffenberger Jens</v>
      </c>
      <c r="D392" s="12">
        <v>9397</v>
      </c>
      <c r="E392" s="17"/>
      <c r="F392" s="17" t="s">
        <v>1</v>
      </c>
      <c r="G392" s="7" t="s">
        <v>35</v>
      </c>
      <c r="H392" s="6"/>
      <c r="I392" s="14" t="s">
        <v>37</v>
      </c>
      <c r="J392" t="s">
        <v>137</v>
      </c>
      <c r="K392" s="6"/>
    </row>
    <row r="393" spans="1:11" ht="15.75" thickBot="1" x14ac:dyDescent="0.3">
      <c r="A393" s="58" t="s">
        <v>82</v>
      </c>
      <c r="B393" s="12">
        <v>42</v>
      </c>
      <c r="C393" s="31" t="str">
        <f>HYPERLINK("\\Elam-pliki\firmowe\BUDIMEX\Projekty\DANWOOD 2017\DE\08 Sierpień\42 Rogger 9863","Rogger")</f>
        <v>Rogger</v>
      </c>
      <c r="D393" s="12">
        <v>9863</v>
      </c>
      <c r="E393" s="17" t="s">
        <v>15</v>
      </c>
      <c r="F393" s="17" t="s">
        <v>1</v>
      </c>
      <c r="G393" s="7" t="s">
        <v>58</v>
      </c>
      <c r="H393" s="6"/>
      <c r="I393" s="14" t="s">
        <v>39</v>
      </c>
      <c r="J393" t="s">
        <v>92</v>
      </c>
      <c r="K393" s="6"/>
    </row>
    <row r="394" spans="1:11" ht="15.75" thickBot="1" x14ac:dyDescent="0.3">
      <c r="A394" s="58" t="s">
        <v>82</v>
      </c>
      <c r="B394" s="26">
        <v>43</v>
      </c>
      <c r="C394" s="35" t="str">
        <f>HYPERLINK("\\Elam-pliki\firmowe\BUDIMEX\Projekty\DANWOOD 2017\DE\08 Sierpień\43 Schmitka 9970","Schmitka")</f>
        <v>Schmitka</v>
      </c>
      <c r="D394" s="26">
        <v>9970</v>
      </c>
      <c r="E394" s="28"/>
      <c r="F394" s="28" t="s">
        <v>4</v>
      </c>
      <c r="G394" s="7" t="s">
        <v>35</v>
      </c>
      <c r="H394" s="6"/>
      <c r="I394" s="14" t="s">
        <v>42</v>
      </c>
      <c r="J394" t="s">
        <v>92</v>
      </c>
      <c r="K394" s="6"/>
    </row>
    <row r="395" spans="1:11" ht="15.75" thickBot="1" x14ac:dyDescent="0.3">
      <c r="A395" s="58" t="s">
        <v>82</v>
      </c>
      <c r="B395" s="12">
        <v>44</v>
      </c>
      <c r="C395" s="31" t="str">
        <f>HYPERLINK("\\Elam-pliki\firmowe\BUDIMEX\Projekty\DANWOOD 2017\DE\08 Sierpień\44 Lang 10220","Lang")</f>
        <v>Lang</v>
      </c>
      <c r="D395" s="12">
        <v>10220</v>
      </c>
      <c r="E395" s="17" t="s">
        <v>15</v>
      </c>
      <c r="F395" s="17" t="s">
        <v>4</v>
      </c>
      <c r="G395" s="7" t="s">
        <v>27</v>
      </c>
      <c r="H395" s="6"/>
      <c r="I395" s="14" t="s">
        <v>42</v>
      </c>
      <c r="J395" t="s">
        <v>87</v>
      </c>
      <c r="K395" s="6"/>
    </row>
    <row r="396" spans="1:11" ht="15.75" thickBot="1" x14ac:dyDescent="0.3">
      <c r="A396" s="58" t="s">
        <v>82</v>
      </c>
      <c r="B396" s="12">
        <v>45</v>
      </c>
      <c r="C396" s="31" t="str">
        <f>HYPERLINK("\\Elam-pliki\firmowe\BUDIMEX\Projekty\DANWOOD 2017\DE\08 Sierpień\45 Leiseder 10648","Leiseder")</f>
        <v>Leiseder</v>
      </c>
      <c r="D396" s="12">
        <v>10648</v>
      </c>
      <c r="E396" s="17" t="s">
        <v>15</v>
      </c>
      <c r="F396" s="17" t="s">
        <v>1</v>
      </c>
      <c r="G396" s="7" t="s">
        <v>9</v>
      </c>
      <c r="H396" s="6"/>
      <c r="I396" s="14" t="s">
        <v>42</v>
      </c>
      <c r="J396" t="s">
        <v>92</v>
      </c>
      <c r="K396" s="6"/>
    </row>
    <row r="397" spans="1:11" ht="15.75" thickBot="1" x14ac:dyDescent="0.3">
      <c r="A397" s="58" t="s">
        <v>82</v>
      </c>
      <c r="B397" s="12">
        <v>46</v>
      </c>
      <c r="C397" s="31" t="str">
        <f>HYPERLINK("\\Elam-pliki\firmowe\BUDIMEX\Projekty\DANWOOD 2017\DE\08 Sierpień\46 Meiereder 10170","Meiereder")</f>
        <v>Meiereder</v>
      </c>
      <c r="D397" s="12">
        <v>10170</v>
      </c>
      <c r="E397" s="17" t="s">
        <v>15</v>
      </c>
      <c r="F397" s="17" t="s">
        <v>1</v>
      </c>
      <c r="G397" s="7" t="s">
        <v>9</v>
      </c>
      <c r="H397" s="6"/>
      <c r="I397" s="14" t="s">
        <v>39</v>
      </c>
      <c r="J397" t="s">
        <v>141</v>
      </c>
      <c r="K397" s="6"/>
    </row>
    <row r="398" spans="1:11" ht="15.75" thickBot="1" x14ac:dyDescent="0.3">
      <c r="A398" s="58" t="s">
        <v>82</v>
      </c>
      <c r="B398" s="12">
        <v>47</v>
      </c>
      <c r="C398" s="31" t="str">
        <f>HYPERLINK("\\Elam-pliki\firmowe\BUDIMEX\Projekty\DANWOOD 2017\DE\08 Sierpień\47 Lang 10410","Lang")</f>
        <v>Lang</v>
      </c>
      <c r="D398" s="12">
        <v>10410</v>
      </c>
      <c r="E398" s="17" t="s">
        <v>15</v>
      </c>
      <c r="F398" s="17" t="s">
        <v>1</v>
      </c>
      <c r="G398" s="7" t="s">
        <v>10</v>
      </c>
      <c r="H398" s="6"/>
      <c r="I398" s="14" t="s">
        <v>42</v>
      </c>
      <c r="J398" t="s">
        <v>87</v>
      </c>
      <c r="K398" s="6"/>
    </row>
    <row r="399" spans="1:11" ht="15.75" thickBot="1" x14ac:dyDescent="0.3">
      <c r="A399" s="58" t="s">
        <v>82</v>
      </c>
      <c r="B399" s="26">
        <v>48</v>
      </c>
      <c r="C399" s="35" t="str">
        <f>HYPERLINK("\\Elam-pliki\firmowe\BUDIMEX\Projekty\DANWOOD 2017\DE\08 Sierpień\48 Narat 11401","Narat")</f>
        <v>Narat</v>
      </c>
      <c r="D399" s="26">
        <v>11401</v>
      </c>
      <c r="E399" s="49" t="s">
        <v>5</v>
      </c>
      <c r="F399" s="28" t="s">
        <v>4</v>
      </c>
      <c r="G399" s="7" t="s">
        <v>21</v>
      </c>
      <c r="H399" s="6"/>
      <c r="I399" s="14" t="s">
        <v>37</v>
      </c>
      <c r="J399" t="s">
        <v>120</v>
      </c>
      <c r="K399" s="37" t="s">
        <v>3</v>
      </c>
    </row>
    <row r="400" spans="1:11" ht="15.75" thickBot="1" x14ac:dyDescent="0.3">
      <c r="A400" s="58" t="s">
        <v>82</v>
      </c>
      <c r="B400" s="12">
        <v>49</v>
      </c>
      <c r="C400" s="31" t="str">
        <f>HYPERLINK("\\Elam-pliki\firmowe\BUDIMEX\Projekty\DANWOOD 2017\DE\08 Sierpień\49 Tetmeyer 10535","Tetmeyer")</f>
        <v>Tetmeyer</v>
      </c>
      <c r="D400" s="12">
        <v>10535</v>
      </c>
      <c r="E400" s="17" t="s">
        <v>15</v>
      </c>
      <c r="F400" s="17" t="s">
        <v>1</v>
      </c>
      <c r="G400" s="7" t="s">
        <v>8</v>
      </c>
      <c r="H400" s="6"/>
      <c r="I400" s="14" t="s">
        <v>42</v>
      </c>
      <c r="J400" t="s">
        <v>87</v>
      </c>
      <c r="K400" s="6"/>
    </row>
    <row r="401" spans="1:11" ht="15.75" thickBot="1" x14ac:dyDescent="0.3">
      <c r="A401" s="58" t="s">
        <v>82</v>
      </c>
      <c r="B401" s="12">
        <v>50</v>
      </c>
      <c r="C401" s="31" t="str">
        <f>HYPERLINK("\\Elam-pliki\firmowe\BUDIMEX\Projekty\DANWOOD 2017\DE\08 Sierpień\50 Schick 10349","Schick")</f>
        <v>Schick</v>
      </c>
      <c r="D401" s="12">
        <v>10349</v>
      </c>
      <c r="E401" s="17" t="s">
        <v>15</v>
      </c>
      <c r="F401" s="17" t="s">
        <v>1</v>
      </c>
      <c r="G401" s="7" t="s">
        <v>13</v>
      </c>
      <c r="H401" s="6"/>
      <c r="I401" s="14" t="s">
        <v>37</v>
      </c>
      <c r="J401" t="s">
        <v>87</v>
      </c>
      <c r="K401" s="6"/>
    </row>
    <row r="402" spans="1:11" ht="15.75" thickBot="1" x14ac:dyDescent="0.3">
      <c r="A402" s="58" t="s">
        <v>82</v>
      </c>
      <c r="B402" s="12">
        <v>51</v>
      </c>
      <c r="C402" s="31" t="str">
        <f>HYPERLINK("\\Elam-pliki\firmowe\BUDIMEX\Projekty\DANWOOD 2017\DE\08 Sierpień\51 Klöden 10128","Klöden")</f>
        <v>Klöden</v>
      </c>
      <c r="D402" s="12">
        <v>10128</v>
      </c>
      <c r="E402" s="17" t="s">
        <v>15</v>
      </c>
      <c r="F402" s="17" t="s">
        <v>1</v>
      </c>
      <c r="G402" s="7" t="s">
        <v>24</v>
      </c>
      <c r="H402" s="6"/>
      <c r="I402" s="14" t="s">
        <v>42</v>
      </c>
      <c r="J402" t="s">
        <v>87</v>
      </c>
      <c r="K402" s="6"/>
    </row>
    <row r="403" spans="1:11" ht="15.75" thickBot="1" x14ac:dyDescent="0.3">
      <c r="A403" s="58" t="s">
        <v>82</v>
      </c>
      <c r="B403" s="12">
        <v>52</v>
      </c>
      <c r="C403" s="31" t="str">
        <f>HYPERLINK("\\Elam-pliki\firmowe\BUDIMEX\Projekty\DANWOOD 2017\DE\08 Sierpień\52 Ebner Matthias 10461","Ebner Matthias")</f>
        <v>Ebner Matthias</v>
      </c>
      <c r="D403" s="12">
        <v>10461</v>
      </c>
      <c r="E403" s="17" t="s">
        <v>15</v>
      </c>
      <c r="F403" s="17" t="s">
        <v>1</v>
      </c>
      <c r="G403" s="7" t="s">
        <v>13</v>
      </c>
      <c r="H403" s="6"/>
      <c r="I403" s="14" t="s">
        <v>42</v>
      </c>
      <c r="J403" t="s">
        <v>87</v>
      </c>
      <c r="K403" s="6"/>
    </row>
    <row r="404" spans="1:11" ht="15.75" thickBot="1" x14ac:dyDescent="0.3">
      <c r="A404" s="58" t="s">
        <v>82</v>
      </c>
      <c r="B404" s="26">
        <v>53</v>
      </c>
      <c r="C404" s="35" t="str">
        <f>HYPERLINK("\\Elam-pliki\firmowe\BUDIMEX\Projekty\DANWOOD 2017\DE\08 Sierpień\53 Scheibe 10249","Scheibe")</f>
        <v>Scheibe</v>
      </c>
      <c r="D404" s="26">
        <v>10249</v>
      </c>
      <c r="E404" s="28"/>
      <c r="F404" s="28" t="s">
        <v>4</v>
      </c>
      <c r="G404" s="7" t="s">
        <v>8</v>
      </c>
      <c r="H404" s="6"/>
      <c r="I404" s="14" t="s">
        <v>37</v>
      </c>
      <c r="J404" t="s">
        <v>140</v>
      </c>
      <c r="K404" s="6"/>
    </row>
    <row r="405" spans="1:11" ht="15.75" thickBot="1" x14ac:dyDescent="0.3">
      <c r="A405" s="58" t="s">
        <v>82</v>
      </c>
      <c r="B405" s="12">
        <v>54</v>
      </c>
      <c r="C405" s="31" t="str">
        <f>HYPERLINK("\\Elam-pliki\firmowe\BUDIMEX\Projekty\DANWOOD 2017\DE\08 Sierpień\54 Höynck 9888","Höynck")</f>
        <v>Höynck</v>
      </c>
      <c r="D405" s="12">
        <v>9888</v>
      </c>
      <c r="E405" s="17" t="s">
        <v>15</v>
      </c>
      <c r="F405" s="17" t="s">
        <v>1</v>
      </c>
      <c r="G405" s="7" t="s">
        <v>13</v>
      </c>
      <c r="H405" s="6"/>
      <c r="I405" s="14" t="s">
        <v>41</v>
      </c>
      <c r="J405" t="s">
        <v>92</v>
      </c>
      <c r="K405" s="6"/>
    </row>
    <row r="406" spans="1:11" ht="15.75" thickBot="1" x14ac:dyDescent="0.3">
      <c r="A406" s="58" t="s">
        <v>82</v>
      </c>
      <c r="B406" s="26">
        <v>55</v>
      </c>
      <c r="C406" s="35" t="str">
        <f>HYPERLINK("\\Elam-pliki\firmowe\BUDIMEX\Projekty\DANWOOD 2017\DE\08 Sierpień\55 Domdey 10943","Domdey")</f>
        <v>Domdey</v>
      </c>
      <c r="D406" s="26">
        <v>10943</v>
      </c>
      <c r="E406" s="28"/>
      <c r="F406" s="28" t="s">
        <v>4</v>
      </c>
      <c r="G406" s="7" t="s">
        <v>13</v>
      </c>
      <c r="H406" s="6"/>
      <c r="I406" s="14" t="s">
        <v>42</v>
      </c>
      <c r="J406" t="s">
        <v>87</v>
      </c>
      <c r="K406" s="6"/>
    </row>
    <row r="407" spans="1:11" ht="15.75" thickBot="1" x14ac:dyDescent="0.3">
      <c r="A407" s="58" t="s">
        <v>82</v>
      </c>
      <c r="B407" s="12">
        <v>56</v>
      </c>
      <c r="C407" s="31" t="str">
        <f>HYPERLINK("\\Elam-pliki\firmowe\BUDIMEX\Projekty\DANWOOD 2017\DE\08 Sierpień\56 Harrer Josef 9855","Harrer Josef")</f>
        <v>Harrer Josef</v>
      </c>
      <c r="D407" s="12">
        <v>9855</v>
      </c>
      <c r="E407" s="17" t="s">
        <v>15</v>
      </c>
      <c r="F407" s="17" t="s">
        <v>1</v>
      </c>
      <c r="G407" s="7" t="s">
        <v>59</v>
      </c>
      <c r="H407" s="6"/>
      <c r="I407" s="14" t="s">
        <v>39</v>
      </c>
      <c r="J407" t="s">
        <v>87</v>
      </c>
      <c r="K407" s="6"/>
    </row>
    <row r="408" spans="1:11" ht="15.75" thickBot="1" x14ac:dyDescent="0.3">
      <c r="A408" s="58" t="s">
        <v>82</v>
      </c>
      <c r="B408" s="50">
        <v>57</v>
      </c>
      <c r="C408" s="51" t="str">
        <f>HYPERLINK("\\Elam-pliki\firmowe\BUDIMEX\Projekty\DANWOOD 2017\DE\08 Sierpień\57 Kritsch Michael 11167","Kritsch Michael")</f>
        <v>Kritsch Michael</v>
      </c>
      <c r="D408" s="50">
        <v>11167</v>
      </c>
      <c r="E408" s="53" t="s">
        <v>5</v>
      </c>
      <c r="F408" s="52" t="s">
        <v>4</v>
      </c>
      <c r="G408" s="9" t="s">
        <v>21</v>
      </c>
      <c r="H408" s="8"/>
      <c r="I408" s="14" t="s">
        <v>37</v>
      </c>
      <c r="J408" t="s">
        <v>137</v>
      </c>
      <c r="K408" s="37" t="s">
        <v>3</v>
      </c>
    </row>
    <row r="409" spans="1:11" ht="15" customHeight="1" thickBot="1" x14ac:dyDescent="0.3">
      <c r="A409" s="58" t="s">
        <v>83</v>
      </c>
      <c r="B409" s="7">
        <v>1</v>
      </c>
      <c r="C409" s="39" t="str">
        <f>HYPERLINK("\\Elam-pliki\firmowe\BUDIMEX\Projekty\DANWOOD 2017\DE\09 Wrzesień\01 Hartig 9846","Hartig")</f>
        <v>Hartig</v>
      </c>
      <c r="D409" s="7">
        <v>9846</v>
      </c>
      <c r="E409" s="6"/>
      <c r="F409" s="6"/>
      <c r="G409" s="7" t="s">
        <v>16</v>
      </c>
      <c r="H409" s="6"/>
      <c r="I409" s="18" t="s">
        <v>42</v>
      </c>
      <c r="J409" s="4" t="s">
        <v>87</v>
      </c>
      <c r="K409" s="5"/>
    </row>
    <row r="410" spans="1:11" ht="15.75" thickBot="1" x14ac:dyDescent="0.3">
      <c r="A410" s="58" t="s">
        <v>83</v>
      </c>
      <c r="B410" s="26">
        <v>2</v>
      </c>
      <c r="C410" s="35" t="str">
        <f>HYPERLINK("\\Elam-pliki\firmowe\BUDIMEX\Projekty\DANWOOD 2017\DE\09 Wrzesień\02 Lemm Katharina 10942","Lemm Katharina")</f>
        <v>Lemm Katharina</v>
      </c>
      <c r="D410" s="26">
        <v>10942</v>
      </c>
      <c r="E410" s="28"/>
      <c r="F410" s="28" t="s">
        <v>4</v>
      </c>
      <c r="G410" s="7" t="s">
        <v>13</v>
      </c>
      <c r="H410" s="6"/>
      <c r="I410" s="14" t="s">
        <v>39</v>
      </c>
      <c r="J410" t="s">
        <v>92</v>
      </c>
      <c r="K410" s="6"/>
    </row>
    <row r="411" spans="1:11" ht="15.75" thickBot="1" x14ac:dyDescent="0.3">
      <c r="A411" s="58" t="s">
        <v>83</v>
      </c>
      <c r="B411" s="12">
        <v>3</v>
      </c>
      <c r="C411" s="31" t="str">
        <f>HYPERLINK("\\Elam-pliki\firmowe\BUDIMEX\Projekty\DANWOOD 2017\DE\09 Wrzesień\03 Hauer 10043","Hauer")</f>
        <v>Hauer</v>
      </c>
      <c r="D411" s="12">
        <v>10043</v>
      </c>
      <c r="E411" s="17" t="s">
        <v>15</v>
      </c>
      <c r="F411" s="17" t="s">
        <v>1</v>
      </c>
      <c r="G411" s="7" t="s">
        <v>27</v>
      </c>
      <c r="H411" s="6"/>
      <c r="I411" s="14" t="s">
        <v>41</v>
      </c>
      <c r="J411" t="s">
        <v>92</v>
      </c>
      <c r="K411" s="6"/>
    </row>
    <row r="412" spans="1:11" ht="15.75" thickBot="1" x14ac:dyDescent="0.3">
      <c r="A412" s="58" t="s">
        <v>83</v>
      </c>
      <c r="B412" s="26">
        <v>4</v>
      </c>
      <c r="C412" s="35" t="str">
        <f>HYPERLINK("\\Elam-pliki\firmowe\BUDIMEX\Projekty\DANWOOD 2017\DE\09 Wrzesień\04 Maaß 11168","Maaß")</f>
        <v>Maaß</v>
      </c>
      <c r="D412" s="26">
        <v>11168</v>
      </c>
      <c r="E412" s="28"/>
      <c r="F412" s="28" t="s">
        <v>4</v>
      </c>
      <c r="G412" s="7" t="s">
        <v>13</v>
      </c>
      <c r="H412" s="6"/>
      <c r="I412" s="14" t="s">
        <v>39</v>
      </c>
      <c r="J412" t="s">
        <v>142</v>
      </c>
      <c r="K412" s="6"/>
    </row>
    <row r="413" spans="1:11" ht="15.75" thickBot="1" x14ac:dyDescent="0.3">
      <c r="A413" s="58" t="s">
        <v>83</v>
      </c>
      <c r="B413" s="26">
        <v>5</v>
      </c>
      <c r="C413" s="35" t="str">
        <f>HYPERLINK("\\Elam-pliki\firmowe\BUDIMEX\Projekty\DANWOOD 2017\DE\09 Wrzesień\05 Pichler Markus 11589","Pichler Markus")</f>
        <v>Pichler Markus</v>
      </c>
      <c r="D413" s="26">
        <v>11589</v>
      </c>
      <c r="E413" s="49" t="s">
        <v>5</v>
      </c>
      <c r="F413" s="28" t="s">
        <v>4</v>
      </c>
      <c r="G413" s="7" t="s">
        <v>7</v>
      </c>
      <c r="H413" s="6"/>
      <c r="I413" s="14" t="s">
        <v>42</v>
      </c>
      <c r="J413" t="s">
        <v>87</v>
      </c>
      <c r="K413" s="37" t="s">
        <v>3</v>
      </c>
    </row>
    <row r="414" spans="1:11" ht="15.75" thickBot="1" x14ac:dyDescent="0.3">
      <c r="A414" s="58" t="s">
        <v>83</v>
      </c>
      <c r="B414" s="26">
        <v>6</v>
      </c>
      <c r="C414" s="35" t="str">
        <f>HYPERLINK("\\Elam-pliki\firmowe\BUDIMEX\Projekty\DANWOOD 2017\DE\09 Wrzesień\06 Richter Kai 11002","Richter Kai")</f>
        <v>Richter Kai</v>
      </c>
      <c r="D414" s="26">
        <v>11002</v>
      </c>
      <c r="E414" s="28"/>
      <c r="F414" s="28" t="s">
        <v>4</v>
      </c>
      <c r="G414" s="7" t="s">
        <v>36</v>
      </c>
      <c r="H414" s="6"/>
      <c r="I414" s="14" t="s">
        <v>42</v>
      </c>
      <c r="J414" t="s">
        <v>92</v>
      </c>
      <c r="K414" s="6"/>
    </row>
    <row r="415" spans="1:11" ht="15.75" thickBot="1" x14ac:dyDescent="0.3">
      <c r="A415" s="58" t="s">
        <v>83</v>
      </c>
      <c r="B415" s="12">
        <v>7</v>
      </c>
      <c r="C415" s="31" t="str">
        <f>HYPERLINK("\\Elam-pliki\firmowe\BUDIMEX\Projekty\DANWOOD 2017\DE\09 Wrzesień\07 Seitz Peter 10609","Seitz Peter")</f>
        <v>Seitz Peter</v>
      </c>
      <c r="D415" s="12">
        <v>10609</v>
      </c>
      <c r="E415" s="17" t="s">
        <v>15</v>
      </c>
      <c r="F415" s="17" t="s">
        <v>1</v>
      </c>
      <c r="G415" s="7" t="s">
        <v>36</v>
      </c>
      <c r="H415" s="6"/>
      <c r="I415" s="14" t="s">
        <v>42</v>
      </c>
      <c r="J415" t="s">
        <v>87</v>
      </c>
      <c r="K415" s="6"/>
    </row>
    <row r="416" spans="1:11" ht="15.75" thickBot="1" x14ac:dyDescent="0.3">
      <c r="A416" s="58" t="s">
        <v>83</v>
      </c>
      <c r="B416" s="26">
        <v>8</v>
      </c>
      <c r="C416" s="35" t="str">
        <f>HYPERLINK("\\Elam-pliki\firmowe\BUDIMEX\Projekty\DANWOOD 2017\DE\09 Wrzesień\08 Hünniger 10054","Hünniger")</f>
        <v>Hünniger</v>
      </c>
      <c r="D416" s="26">
        <v>10054</v>
      </c>
      <c r="E416" s="28"/>
      <c r="F416" s="28" t="s">
        <v>4</v>
      </c>
      <c r="G416" s="7" t="s">
        <v>12</v>
      </c>
      <c r="H416" s="6"/>
      <c r="I416" s="14" t="s">
        <v>42</v>
      </c>
      <c r="J416" t="s">
        <v>92</v>
      </c>
      <c r="K416" s="6"/>
    </row>
    <row r="417" spans="1:11" ht="15.75" thickBot="1" x14ac:dyDescent="0.3">
      <c r="A417" s="58" t="s">
        <v>83</v>
      </c>
      <c r="B417" s="12">
        <v>9</v>
      </c>
      <c r="C417" s="31" t="str">
        <f>HYPERLINK("\\Elam-pliki\firmowe\BUDIMEX\Projekty\DANWOOD 2017\DE\09 Wrzesień\09 Riedhammer 9654","Riedhammer")</f>
        <v>Riedhammer</v>
      </c>
      <c r="D417" s="12">
        <v>9654</v>
      </c>
      <c r="E417" s="17" t="s">
        <v>15</v>
      </c>
      <c r="F417" s="17" t="s">
        <v>1</v>
      </c>
      <c r="G417" s="7" t="s">
        <v>22</v>
      </c>
      <c r="H417" s="6"/>
      <c r="I417" s="14" t="s">
        <v>42</v>
      </c>
      <c r="J417" t="s">
        <v>92</v>
      </c>
      <c r="K417" s="6"/>
    </row>
    <row r="418" spans="1:11" ht="15.75" thickBot="1" x14ac:dyDescent="0.3">
      <c r="A418" s="58" t="s">
        <v>83</v>
      </c>
      <c r="B418" s="12">
        <v>10</v>
      </c>
      <c r="C418" s="31" t="str">
        <f>HYPERLINK("\\Elam-pliki\firmowe\BUDIMEX\Projekty\DANWOOD 2017\DE\09 Wrzesień\10 Vandrey 10490","Vandrey")</f>
        <v>Vandrey</v>
      </c>
      <c r="D418" s="12">
        <v>10490</v>
      </c>
      <c r="E418" s="17" t="s">
        <v>15</v>
      </c>
      <c r="F418" s="17" t="s">
        <v>1</v>
      </c>
      <c r="G418" s="7" t="s">
        <v>12</v>
      </c>
      <c r="H418" s="6"/>
      <c r="I418" s="14" t="s">
        <v>42</v>
      </c>
      <c r="J418" t="s">
        <v>92</v>
      </c>
      <c r="K418" s="6"/>
    </row>
    <row r="419" spans="1:11" ht="15.75" thickBot="1" x14ac:dyDescent="0.3">
      <c r="A419" s="58" t="s">
        <v>83</v>
      </c>
      <c r="B419" s="26">
        <v>11</v>
      </c>
      <c r="C419" s="35" t="str">
        <f>HYPERLINK("\\Elam-pliki\firmowe\BUDIMEX\Projekty\DANWOOD 2017\DE\09 Wrzesień\11 Mayerhofer Striewski 9709","Mayerhofer Striewski")</f>
        <v>Mayerhofer Striewski</v>
      </c>
      <c r="D419" s="26">
        <v>9709</v>
      </c>
      <c r="E419" s="49" t="s">
        <v>5</v>
      </c>
      <c r="F419" s="28" t="s">
        <v>4</v>
      </c>
      <c r="G419" s="7" t="s">
        <v>7</v>
      </c>
      <c r="H419" s="6"/>
      <c r="I419" s="14" t="s">
        <v>37</v>
      </c>
      <c r="J419" t="s">
        <v>87</v>
      </c>
      <c r="K419" s="37" t="s">
        <v>3</v>
      </c>
    </row>
    <row r="420" spans="1:11" ht="15.75" thickBot="1" x14ac:dyDescent="0.3">
      <c r="A420" s="58" t="s">
        <v>83</v>
      </c>
      <c r="B420" s="12">
        <v>12</v>
      </c>
      <c r="C420" s="31" t="str">
        <f>HYPERLINK("\\Elam-pliki\firmowe\BUDIMEX\Projekty\DANWOOD 2017\DE\09 Wrzesień\12 Freymiller 10525","Freymiller")</f>
        <v>Freymiller</v>
      </c>
      <c r="D420" s="12">
        <v>10525</v>
      </c>
      <c r="E420" s="17" t="s">
        <v>15</v>
      </c>
      <c r="F420" s="17" t="s">
        <v>1</v>
      </c>
      <c r="G420" s="7" t="s">
        <v>16</v>
      </c>
      <c r="H420" s="6"/>
      <c r="I420" s="14" t="s">
        <v>39</v>
      </c>
      <c r="J420" t="s">
        <v>92</v>
      </c>
      <c r="K420" s="6"/>
    </row>
    <row r="421" spans="1:11" ht="15.75" thickBot="1" x14ac:dyDescent="0.3">
      <c r="A421" s="58" t="s">
        <v>83</v>
      </c>
      <c r="B421" s="26">
        <v>13</v>
      </c>
      <c r="C421" s="35" t="str">
        <f>HYPERLINK("\\Elam-pliki\firmowe\BUDIMEX\Projekty\DANWOOD 2017\DE\09 Wrzesień\13 Hoherz 10991","Hoherz")</f>
        <v>Hoherz</v>
      </c>
      <c r="D421" s="26">
        <v>10991</v>
      </c>
      <c r="E421" s="28"/>
      <c r="F421" s="28" t="s">
        <v>4</v>
      </c>
      <c r="G421" s="7" t="s">
        <v>13</v>
      </c>
      <c r="H421" s="6"/>
      <c r="I421" s="14" t="s">
        <v>42</v>
      </c>
      <c r="J421" t="s">
        <v>92</v>
      </c>
      <c r="K421" s="6"/>
    </row>
    <row r="422" spans="1:11" ht="15.75" thickBot="1" x14ac:dyDescent="0.3">
      <c r="A422" s="58" t="s">
        <v>83</v>
      </c>
      <c r="B422" s="12">
        <v>14</v>
      </c>
      <c r="C422" s="31" t="str">
        <f>HYPERLINK("\\Elam-pliki\firmowe\BUDIMEX\Projekty\DANWOOD 2017\DE\09 Wrzesień\14 Fischer Marc 10530","Fischer Marc")</f>
        <v>Fischer Marc</v>
      </c>
      <c r="D422" s="12">
        <v>10530</v>
      </c>
      <c r="E422" s="17" t="s">
        <v>15</v>
      </c>
      <c r="F422" s="17" t="s">
        <v>1</v>
      </c>
      <c r="G422" s="7" t="s">
        <v>60</v>
      </c>
      <c r="H422" s="6"/>
      <c r="I422" s="14" t="s">
        <v>42</v>
      </c>
      <c r="J422" t="s">
        <v>87</v>
      </c>
      <c r="K422" s="6"/>
    </row>
    <row r="423" spans="1:11" ht="15.75" thickBot="1" x14ac:dyDescent="0.3">
      <c r="A423" s="58" t="s">
        <v>83</v>
      </c>
      <c r="B423" s="12">
        <v>15</v>
      </c>
      <c r="C423" s="31" t="str">
        <f>HYPERLINK("\\Elam-pliki\FIRMOWE\BUDIMEX\PROJEKTY\DANWOOD 2017\DE\09 Wrzesień\15 Daller 10730","Daller")</f>
        <v>Daller</v>
      </c>
      <c r="D423" s="12">
        <v>10730</v>
      </c>
      <c r="E423" s="17" t="s">
        <v>15</v>
      </c>
      <c r="F423" s="17" t="s">
        <v>1</v>
      </c>
      <c r="G423" s="7" t="s">
        <v>58</v>
      </c>
      <c r="H423" s="6"/>
      <c r="I423" s="14" t="s">
        <v>39</v>
      </c>
      <c r="J423" t="s">
        <v>92</v>
      </c>
      <c r="K423" s="6"/>
    </row>
    <row r="424" spans="1:11" ht="15.75" thickBot="1" x14ac:dyDescent="0.3">
      <c r="A424" s="58" t="s">
        <v>83</v>
      </c>
      <c r="B424" s="26">
        <v>16</v>
      </c>
      <c r="C424" s="35" t="str">
        <f>HYPERLINK("\\Elam-pliki\firmowe\BUDIMEX\Projekty\DANWOOD 2017\DE\09 Wrzesień\16 Kreyß 9454","Kreyß")</f>
        <v>Kreyß</v>
      </c>
      <c r="D424" s="26">
        <v>9454</v>
      </c>
      <c r="E424" s="28"/>
      <c r="F424" s="28" t="s">
        <v>4</v>
      </c>
      <c r="G424" s="7" t="s">
        <v>30</v>
      </c>
      <c r="H424" s="6"/>
      <c r="I424" s="14" t="s">
        <v>42</v>
      </c>
      <c r="J424" t="s">
        <v>92</v>
      </c>
      <c r="K424" s="6"/>
    </row>
    <row r="425" spans="1:11" ht="15.75" thickBot="1" x14ac:dyDescent="0.3">
      <c r="A425" s="58" t="s">
        <v>83</v>
      </c>
      <c r="B425" s="26">
        <v>17</v>
      </c>
      <c r="C425" s="35" t="str">
        <f>HYPERLINK("\\Elam-pliki\firmowe\BUDIMEX\Projekty\DANWOOD 2017\DE\09 Wrzesień\17 Samstag 9145","Samstag")</f>
        <v>Samstag</v>
      </c>
      <c r="D425" s="26">
        <v>9145</v>
      </c>
      <c r="E425" s="28" t="s">
        <v>15</v>
      </c>
      <c r="F425" s="28" t="s">
        <v>4</v>
      </c>
      <c r="G425" s="7" t="s">
        <v>45</v>
      </c>
      <c r="H425" s="6"/>
      <c r="I425" s="14" t="s">
        <v>39</v>
      </c>
      <c r="J425" t="s">
        <v>143</v>
      </c>
      <c r="K425" s="6"/>
    </row>
    <row r="426" spans="1:11" ht="15.75" thickBot="1" x14ac:dyDescent="0.3">
      <c r="A426" s="58" t="s">
        <v>83</v>
      </c>
      <c r="B426" s="26">
        <v>18</v>
      </c>
      <c r="C426" s="35" t="str">
        <f>HYPERLINK("\\Elam-pliki\firmowe\BUDIMEX\Projekty\DANWOOD 2017\DE\09 Wrzesień\18 Knaack Rainer 11679","Knaack Rainer")</f>
        <v>Knaack Rainer</v>
      </c>
      <c r="D426" s="26">
        <v>11679</v>
      </c>
      <c r="E426" s="28"/>
      <c r="F426" s="28" t="s">
        <v>4</v>
      </c>
      <c r="G426" s="7" t="s">
        <v>55</v>
      </c>
      <c r="H426" s="6"/>
      <c r="I426" s="14" t="s">
        <v>61</v>
      </c>
      <c r="J426" t="s">
        <v>144</v>
      </c>
      <c r="K426" s="6"/>
    </row>
    <row r="427" spans="1:11" ht="15.75" thickBot="1" x14ac:dyDescent="0.3">
      <c r="A427" s="58" t="s">
        <v>83</v>
      </c>
      <c r="B427" s="26">
        <v>19</v>
      </c>
      <c r="C427" s="35" t="str">
        <f>HYPERLINK("\\Elam-pliki\firmowe\BUDIMEX\Projekty\DANWOOD 2017\DE\09 Wrzesień\19 Egan 9936","Egan")</f>
        <v>Egan</v>
      </c>
      <c r="D427" s="26">
        <v>9936</v>
      </c>
      <c r="E427" s="49" t="s">
        <v>5</v>
      </c>
      <c r="F427" s="28" t="s">
        <v>4</v>
      </c>
      <c r="G427" s="7" t="s">
        <v>32</v>
      </c>
      <c r="H427" s="6" t="s">
        <v>0</v>
      </c>
      <c r="I427" s="14" t="s">
        <v>41</v>
      </c>
      <c r="J427" t="s">
        <v>87</v>
      </c>
      <c r="K427" s="37" t="s">
        <v>6</v>
      </c>
    </row>
    <row r="428" spans="1:11" ht="15.75" thickBot="1" x14ac:dyDescent="0.3">
      <c r="A428" s="58" t="s">
        <v>83</v>
      </c>
      <c r="B428" s="12">
        <v>20</v>
      </c>
      <c r="C428" s="31" t="str">
        <f>HYPERLINK("\\Elam-pliki\firmowe\BUDIMEX\Projekty\DANWOOD 2017\DE\09 Wrzesień\20 Seybold 11198","Seybold")</f>
        <v>Seybold</v>
      </c>
      <c r="D428" s="12">
        <v>11198</v>
      </c>
      <c r="E428" s="17" t="s">
        <v>15</v>
      </c>
      <c r="F428" s="17" t="s">
        <v>1</v>
      </c>
      <c r="G428" s="7" t="s">
        <v>13</v>
      </c>
      <c r="H428" s="6"/>
      <c r="I428" s="14" t="s">
        <v>39</v>
      </c>
      <c r="J428" t="s">
        <v>145</v>
      </c>
      <c r="K428" s="6"/>
    </row>
    <row r="429" spans="1:11" ht="15.75" thickBot="1" x14ac:dyDescent="0.3">
      <c r="A429" s="58" t="s">
        <v>83</v>
      </c>
      <c r="B429" s="7">
        <v>21</v>
      </c>
      <c r="C429" s="39" t="str">
        <f>HYPERLINK("\\Elam-pliki\firmowe\BUDIMEX\Projekty\DANWOOD 2017\DE\09 Wrzesień\21 Koc 11722","Koc")</f>
        <v>Koc</v>
      </c>
      <c r="D429" s="7">
        <v>11722</v>
      </c>
      <c r="E429" s="45" t="s">
        <v>5</v>
      </c>
      <c r="F429" s="6"/>
      <c r="G429" s="7" t="s">
        <v>7</v>
      </c>
      <c r="H429" s="6"/>
      <c r="I429" s="14" t="s">
        <v>39</v>
      </c>
      <c r="J429" t="s">
        <v>87</v>
      </c>
      <c r="K429" s="37" t="s">
        <v>3</v>
      </c>
    </row>
    <row r="430" spans="1:11" ht="15.75" thickBot="1" x14ac:dyDescent="0.3">
      <c r="A430" s="58" t="s">
        <v>83</v>
      </c>
      <c r="B430" s="26">
        <v>22</v>
      </c>
      <c r="C430" s="35" t="str">
        <f>HYPERLINK("\\Elam-pliki\firmowe\BUDIMEX\Projekty\DANWOOD 2017\DE\09 Wrzesień\22 Kus 11528","Kus")</f>
        <v>Kus</v>
      </c>
      <c r="D430" s="26">
        <v>11528</v>
      </c>
      <c r="E430" s="28"/>
      <c r="F430" s="28" t="s">
        <v>4</v>
      </c>
      <c r="G430" s="7" t="s">
        <v>30</v>
      </c>
      <c r="H430" s="6"/>
      <c r="I430" s="14" t="s">
        <v>42</v>
      </c>
      <c r="J430" t="s">
        <v>97</v>
      </c>
      <c r="K430" s="6"/>
    </row>
    <row r="431" spans="1:11" ht="15.75" thickBot="1" x14ac:dyDescent="0.3">
      <c r="A431" s="58" t="s">
        <v>83</v>
      </c>
      <c r="B431" s="26">
        <v>23</v>
      </c>
      <c r="C431" s="35" t="str">
        <f>HYPERLINK("\\Elam-pliki\firmowe\BUDIMEX\Projekty\DANWOOD 2017\DE\09 Wrzesień\23 Krumm 10745","Krumm")</f>
        <v>Krumm</v>
      </c>
      <c r="D431" s="26">
        <v>10745</v>
      </c>
      <c r="E431" s="28" t="s">
        <v>15</v>
      </c>
      <c r="F431" s="28" t="s">
        <v>4</v>
      </c>
      <c r="G431" s="7" t="s">
        <v>27</v>
      </c>
      <c r="H431" s="6"/>
      <c r="I431" s="14" t="s">
        <v>39</v>
      </c>
      <c r="J431" t="s">
        <v>87</v>
      </c>
      <c r="K431" s="6"/>
    </row>
    <row r="432" spans="1:11" ht="15.75" thickBot="1" x14ac:dyDescent="0.3">
      <c r="A432" s="58" t="s">
        <v>83</v>
      </c>
      <c r="B432" s="7">
        <v>24</v>
      </c>
      <c r="C432" s="39" t="str">
        <f>HYPERLINK("\\Elam-pliki\firmowe\BUDIMEX\Projekty\DANWOOD 2017\DE\09 Wrzesień\24 Dr.Toumajian 10940","Dr.Toumajian")</f>
        <v>Dr.Toumajian</v>
      </c>
      <c r="D432" s="7">
        <v>10940</v>
      </c>
      <c r="E432" s="6"/>
      <c r="F432" s="6"/>
      <c r="G432" s="7" t="s">
        <v>62</v>
      </c>
      <c r="H432" s="6"/>
      <c r="I432" s="14" t="s">
        <v>42</v>
      </c>
      <c r="J432" t="s">
        <v>87</v>
      </c>
      <c r="K432" s="6"/>
    </row>
    <row r="433" spans="1:11" ht="15.75" thickBot="1" x14ac:dyDescent="0.3">
      <c r="A433" s="58" t="s">
        <v>83</v>
      </c>
      <c r="B433" s="7">
        <v>25</v>
      </c>
      <c r="C433" s="39" t="str">
        <f>HYPERLINK("\\Elam-pliki\firmowe\BUDIMEX\Projekty\DANWOOD 2017\DE\09 Wrzesień\25 Reichelt 11015","Reichelt")</f>
        <v>Reichelt</v>
      </c>
      <c r="D433" s="7">
        <v>11015</v>
      </c>
      <c r="E433" s="6"/>
      <c r="F433" s="6"/>
      <c r="G433" s="7" t="s">
        <v>20</v>
      </c>
      <c r="H433" s="6"/>
      <c r="I433" s="14" t="s">
        <v>63</v>
      </c>
      <c r="J433" t="s">
        <v>87</v>
      </c>
      <c r="K433" s="6"/>
    </row>
    <row r="434" spans="1:11" ht="15.75" thickBot="1" x14ac:dyDescent="0.3">
      <c r="A434" s="58" t="s">
        <v>83</v>
      </c>
      <c r="B434" s="26">
        <v>26</v>
      </c>
      <c r="C434" s="35" t="str">
        <f>HYPERLINK("\\Elam-pliki\firmowe\BUDIMEX\Projekty\DANWOOD 2017\DE\09 Wrzesień\26 Wetzel 11319","Wetzel")</f>
        <v>Wetzel</v>
      </c>
      <c r="D434" s="26">
        <v>11319</v>
      </c>
      <c r="E434" s="28"/>
      <c r="F434" s="28" t="s">
        <v>4</v>
      </c>
      <c r="G434" s="7" t="s">
        <v>13</v>
      </c>
      <c r="H434" s="6"/>
      <c r="I434" s="14" t="s">
        <v>63</v>
      </c>
      <c r="J434" t="s">
        <v>87</v>
      </c>
      <c r="K434" s="6"/>
    </row>
    <row r="435" spans="1:11" ht="15.75" thickBot="1" x14ac:dyDescent="0.3">
      <c r="A435" s="58" t="s">
        <v>83</v>
      </c>
      <c r="B435" s="7">
        <v>27</v>
      </c>
      <c r="C435" s="39" t="str">
        <f>HYPERLINK("\\Elam-pliki\firmowe\BUDIMEX\Projekty\DANWOOD 2017\DE\09 Wrzesień\27 Koppel-Rog 11899","Koppel-Rog")</f>
        <v>Koppel-Rog</v>
      </c>
      <c r="D435" s="7">
        <v>11899</v>
      </c>
      <c r="E435" s="6" t="s">
        <v>44</v>
      </c>
      <c r="F435" s="6"/>
      <c r="G435" s="7" t="s">
        <v>14</v>
      </c>
      <c r="H435" s="6"/>
      <c r="I435" s="14" t="s">
        <v>42</v>
      </c>
      <c r="J435" t="s">
        <v>87</v>
      </c>
      <c r="K435" s="6"/>
    </row>
    <row r="436" spans="1:11" ht="15.75" thickBot="1" x14ac:dyDescent="0.3">
      <c r="A436" s="58" t="s">
        <v>83</v>
      </c>
      <c r="B436" s="26">
        <v>28</v>
      </c>
      <c r="C436" s="35" t="str">
        <f>HYPERLINK("\\Elam-pliki\firmowe\BUDIMEX\Projekty\DANWOOD 2017\DE\09 Wrzesień\28 Mack Alexandra 9997","Mack Alexandra")</f>
        <v>Mack Alexandra</v>
      </c>
      <c r="D436" s="26">
        <v>9997</v>
      </c>
      <c r="E436" s="28" t="s">
        <v>15</v>
      </c>
      <c r="F436" s="28" t="s">
        <v>4</v>
      </c>
      <c r="G436" s="7" t="s">
        <v>22</v>
      </c>
      <c r="H436" s="6"/>
      <c r="I436" s="14" t="s">
        <v>39</v>
      </c>
      <c r="J436" t="s">
        <v>87</v>
      </c>
      <c r="K436" s="6"/>
    </row>
    <row r="437" spans="1:11" ht="15.75" thickBot="1" x14ac:dyDescent="0.3">
      <c r="A437" s="58" t="s">
        <v>83</v>
      </c>
      <c r="B437" s="12">
        <v>29</v>
      </c>
      <c r="C437" s="31" t="str">
        <f>HYPERLINK("\\Elam-pliki\firmowe\BUDIMEX\Projekty\DANWOOD 2017\DE\09 Wrzesień\29 Gunold 11343","Gunold")</f>
        <v>Gunold</v>
      </c>
      <c r="D437" s="12">
        <v>11343</v>
      </c>
      <c r="E437" s="17" t="s">
        <v>15</v>
      </c>
      <c r="F437" s="17" t="s">
        <v>1</v>
      </c>
      <c r="G437" s="7" t="s">
        <v>30</v>
      </c>
      <c r="H437" s="6"/>
      <c r="I437" s="14" t="s">
        <v>63</v>
      </c>
      <c r="J437" t="s">
        <v>87</v>
      </c>
      <c r="K437" s="6"/>
    </row>
    <row r="438" spans="1:11" ht="15.75" thickBot="1" x14ac:dyDescent="0.3">
      <c r="A438" s="58" t="s">
        <v>83</v>
      </c>
      <c r="B438" s="12">
        <v>30</v>
      </c>
      <c r="C438" s="31" t="str">
        <f>HYPERLINK("\\Elam-pliki\firmowe\BUDIMEX\Projekty\DANWOOD 2017\DE\09 Wrzesień\30 Kebach 10579","Kebach")</f>
        <v>Kebach</v>
      </c>
      <c r="D438" s="12">
        <v>10579</v>
      </c>
      <c r="E438" s="17" t="s">
        <v>15</v>
      </c>
      <c r="F438" s="17" t="s">
        <v>1</v>
      </c>
      <c r="G438" s="7" t="s">
        <v>27</v>
      </c>
      <c r="H438" s="6"/>
      <c r="I438" s="14" t="s">
        <v>42</v>
      </c>
      <c r="J438" t="s">
        <v>92</v>
      </c>
      <c r="K438" s="6"/>
    </row>
    <row r="439" spans="1:11" ht="15.75" thickBot="1" x14ac:dyDescent="0.3">
      <c r="A439" s="58" t="s">
        <v>83</v>
      </c>
      <c r="B439" s="12">
        <v>31</v>
      </c>
      <c r="C439" s="31" t="str">
        <f>HYPERLINK("\\Elam-pliki\firmowe\BUDIMEX\Projekty\DANWOOD 2017\DE\09 Wrzesień\31 Mayer Jürgen 10676","Mayer Jürgen")</f>
        <v>Mayer Jürgen</v>
      </c>
      <c r="D439" s="12">
        <v>10676</v>
      </c>
      <c r="E439" s="17" t="s">
        <v>15</v>
      </c>
      <c r="F439" s="17" t="s">
        <v>1</v>
      </c>
      <c r="G439" s="7" t="s">
        <v>24</v>
      </c>
      <c r="H439" s="6"/>
      <c r="I439" s="14" t="s">
        <v>39</v>
      </c>
      <c r="J439" t="s">
        <v>146</v>
      </c>
      <c r="K439" s="6"/>
    </row>
    <row r="440" spans="1:11" ht="15.75" thickBot="1" x14ac:dyDescent="0.3">
      <c r="A440" s="58" t="s">
        <v>83</v>
      </c>
      <c r="B440" s="26">
        <v>32</v>
      </c>
      <c r="C440" s="35" t="str">
        <f>HYPERLINK("\\Elam-pliki\firmowe\BUDIMEX\Projekty\DANWOOD 2017\DE\09 Wrzesień\32 Dorrer 10690","Dorrer")</f>
        <v>Dorrer</v>
      </c>
      <c r="D440" s="26">
        <v>10690</v>
      </c>
      <c r="E440" s="28"/>
      <c r="F440" s="28" t="s">
        <v>4</v>
      </c>
      <c r="G440" s="7" t="s">
        <v>8</v>
      </c>
      <c r="H440" s="6"/>
      <c r="I440" s="14" t="s">
        <v>63</v>
      </c>
      <c r="J440" t="s">
        <v>92</v>
      </c>
      <c r="K440" s="6"/>
    </row>
    <row r="441" spans="1:11" ht="15.75" thickBot="1" x14ac:dyDescent="0.3">
      <c r="A441" s="58" t="s">
        <v>83</v>
      </c>
      <c r="B441" s="26">
        <v>33</v>
      </c>
      <c r="C441" s="35" t="str">
        <f>HYPERLINK("\\Elam-pliki\firmowe\BUDIMEX\Projekty\DANWOOD 2017\DE\09 Wrzesień\33 Reid 9064","Reid")</f>
        <v>Reid</v>
      </c>
      <c r="D441" s="26">
        <v>9064</v>
      </c>
      <c r="E441" s="49" t="s">
        <v>5</v>
      </c>
      <c r="F441" s="28" t="s">
        <v>4</v>
      </c>
      <c r="G441" s="7" t="s">
        <v>23</v>
      </c>
      <c r="H441" s="6"/>
      <c r="I441" s="14" t="s">
        <v>41</v>
      </c>
      <c r="J441" t="s">
        <v>87</v>
      </c>
      <c r="K441" s="37" t="s">
        <v>6</v>
      </c>
    </row>
    <row r="442" spans="1:11" ht="15.75" thickBot="1" x14ac:dyDescent="0.3">
      <c r="A442" s="58" t="s">
        <v>83</v>
      </c>
      <c r="B442" s="12">
        <v>34</v>
      </c>
      <c r="C442" s="31" t="str">
        <f>HYPERLINK("\\Elam-pliki\firmowe\BUDIMEX\Projekty\DANWOOD 2017\DE\09 Wrzesień\34 Bergmann Jochen 11317","Bergmann Jochen")</f>
        <v>Bergmann Jochen</v>
      </c>
      <c r="D442" s="12">
        <v>11317</v>
      </c>
      <c r="E442" s="17" t="s">
        <v>15</v>
      </c>
      <c r="F442" s="17" t="s">
        <v>1</v>
      </c>
      <c r="G442" s="7" t="s">
        <v>35</v>
      </c>
      <c r="H442" s="6"/>
      <c r="I442" s="14" t="s">
        <v>39</v>
      </c>
      <c r="J442" t="s">
        <v>87</v>
      </c>
      <c r="K442" s="6"/>
    </row>
    <row r="443" spans="1:11" ht="15.75" thickBot="1" x14ac:dyDescent="0.3">
      <c r="A443" s="58" t="s">
        <v>83</v>
      </c>
      <c r="B443" s="12">
        <v>35</v>
      </c>
      <c r="C443" s="31" t="str">
        <f>HYPERLINK("\\Elam-pliki\firmowe\BUDIMEX\Projekty\DANWOOD 2017\DE\09 Wrzesień\35 Flechsig 11476","Flechsig")</f>
        <v>Flechsig</v>
      </c>
      <c r="D443" s="12">
        <v>11476</v>
      </c>
      <c r="E443" s="17" t="s">
        <v>15</v>
      </c>
      <c r="F443" s="17" t="s">
        <v>1</v>
      </c>
      <c r="G443" s="7" t="s">
        <v>35</v>
      </c>
      <c r="H443" s="6"/>
      <c r="I443" s="14" t="s">
        <v>63</v>
      </c>
      <c r="J443" t="s">
        <v>92</v>
      </c>
      <c r="K443" s="6"/>
    </row>
    <row r="444" spans="1:11" ht="15.75" thickBot="1" x14ac:dyDescent="0.3">
      <c r="A444" s="58" t="s">
        <v>83</v>
      </c>
      <c r="B444" s="7">
        <v>36</v>
      </c>
      <c r="C444" s="39" t="str">
        <f>HYPERLINK("\\Elam-pliki\firmowe\BUDIMEX\Projekty\DANWOOD 2017\DE\09 Wrzesień\36 Merkt 10953","Merkt")</f>
        <v>Merkt</v>
      </c>
      <c r="D444" s="7">
        <v>10953</v>
      </c>
      <c r="E444" s="6" t="s">
        <v>43</v>
      </c>
      <c r="F444" s="6" t="s">
        <v>4</v>
      </c>
      <c r="G444" s="7" t="s">
        <v>27</v>
      </c>
      <c r="H444" s="6"/>
      <c r="I444" s="14" t="s">
        <v>63</v>
      </c>
      <c r="J444" t="s">
        <v>135</v>
      </c>
      <c r="K444" s="6"/>
    </row>
    <row r="445" spans="1:11" ht="15.75" thickBot="1" x14ac:dyDescent="0.3">
      <c r="A445" s="58" t="s">
        <v>83</v>
      </c>
      <c r="B445" s="26">
        <v>37</v>
      </c>
      <c r="C445" s="35" t="str">
        <f>HYPERLINK("\\Elam-pliki\firmowe\BUDIMEX\Projekty\DANWOOD 2017\DE\09 Wrzesień\37 Singer Lueger 11742","Singer Lueger")</f>
        <v>Singer Lueger</v>
      </c>
      <c r="D445" s="26">
        <v>11742</v>
      </c>
      <c r="E445" s="49" t="s">
        <v>5</v>
      </c>
      <c r="F445" s="28" t="s">
        <v>4</v>
      </c>
      <c r="G445" s="7" t="s">
        <v>21</v>
      </c>
      <c r="H445" s="6"/>
      <c r="I445" s="14" t="s">
        <v>39</v>
      </c>
      <c r="J445" t="s">
        <v>87</v>
      </c>
      <c r="K445" s="37" t="s">
        <v>3</v>
      </c>
    </row>
    <row r="446" spans="1:11" ht="15.75" thickBot="1" x14ac:dyDescent="0.3">
      <c r="A446" s="58" t="s">
        <v>83</v>
      </c>
      <c r="B446" s="26">
        <v>38</v>
      </c>
      <c r="C446" s="35" t="str">
        <f>HYPERLINK("\\Elam-pliki\firmowe\BUDIMEX\Projekty\DANWOOD 2017\DE\09 Wrzesień\38 Ginsky 10287","Ginsky")</f>
        <v>Ginsky</v>
      </c>
      <c r="D446" s="26">
        <v>10287</v>
      </c>
      <c r="E446" s="49" t="s">
        <v>5</v>
      </c>
      <c r="F446" s="28" t="s">
        <v>4</v>
      </c>
      <c r="G446" s="7" t="s">
        <v>7</v>
      </c>
      <c r="H446" s="6"/>
      <c r="I446" s="14" t="s">
        <v>63</v>
      </c>
      <c r="J446" t="s">
        <v>87</v>
      </c>
      <c r="K446" s="37" t="s">
        <v>3</v>
      </c>
    </row>
    <row r="447" spans="1:11" ht="15.75" thickBot="1" x14ac:dyDescent="0.3">
      <c r="A447" s="58" t="s">
        <v>83</v>
      </c>
      <c r="B447" s="7">
        <v>39</v>
      </c>
      <c r="C447" s="39" t="str">
        <f>HYPERLINK("\\\\Elam-pliki\firmowe\BUDIMEX\Projekty\DANWOOD 2017\DE\09 Wrzesień\39 Peter 11057","Peter")</f>
        <v>Peter</v>
      </c>
      <c r="D447" s="7">
        <v>11057</v>
      </c>
      <c r="E447" s="6"/>
      <c r="F447" s="6" t="s">
        <v>4</v>
      </c>
      <c r="G447" s="7" t="s">
        <v>16</v>
      </c>
      <c r="H447" s="6"/>
      <c r="I447" s="14" t="s">
        <v>42</v>
      </c>
      <c r="J447" t="s">
        <v>92</v>
      </c>
      <c r="K447" s="6"/>
    </row>
    <row r="448" spans="1:11" ht="15.75" thickBot="1" x14ac:dyDescent="0.3">
      <c r="A448" s="58" t="s">
        <v>83</v>
      </c>
      <c r="B448" s="50">
        <v>40</v>
      </c>
      <c r="C448" s="51" t="str">
        <f>HYPERLINK("\\Elam-pliki\firmowe\BUDIMEX\Projekty\DANWOOD 2017\DE\09 Wrzesień\40 Lesser 11172","Lesser")</f>
        <v>Lesser</v>
      </c>
      <c r="D448" s="50">
        <v>11172</v>
      </c>
      <c r="E448" s="52"/>
      <c r="F448" s="52" t="s">
        <v>4</v>
      </c>
      <c r="G448" s="9" t="s">
        <v>12</v>
      </c>
      <c r="H448" s="8"/>
      <c r="I448" s="16" t="s">
        <v>63</v>
      </c>
      <c r="J448" s="3" t="s">
        <v>92</v>
      </c>
      <c r="K448" s="8"/>
    </row>
    <row r="449" spans="1:11" ht="15" customHeight="1" thickBot="1" x14ac:dyDescent="0.3">
      <c r="A449" s="58" t="s">
        <v>84</v>
      </c>
      <c r="B449" s="12">
        <v>1</v>
      </c>
      <c r="C449" s="31" t="str">
        <f>HYPERLINK("\\\\Elam-pliki\firmowe\BUDIMEX\Projekty\DANWOOD 2017\DE\10 Październik\01 Cyrulla 10268","Cyrulla")</f>
        <v>Cyrulla</v>
      </c>
      <c r="D449" s="12">
        <v>10268</v>
      </c>
      <c r="E449" s="17" t="s">
        <v>15</v>
      </c>
      <c r="F449" s="17" t="s">
        <v>1</v>
      </c>
      <c r="G449" s="7" t="s">
        <v>27</v>
      </c>
      <c r="H449" s="6"/>
      <c r="I449" s="14" t="s">
        <v>63</v>
      </c>
      <c r="J449" t="s">
        <v>92</v>
      </c>
      <c r="K449" s="6"/>
    </row>
    <row r="450" spans="1:11" ht="15.75" thickBot="1" x14ac:dyDescent="0.3">
      <c r="A450" s="58" t="s">
        <v>84</v>
      </c>
      <c r="B450" s="26">
        <v>2</v>
      </c>
      <c r="C450" s="35" t="str">
        <f>HYPERLINK("\\Elam-pliki\firmowe\BUDIMEX\Projekty\DANWOOD 2017\DE\10 Październik\02 Scherzer 10840","Scherzer")</f>
        <v>Scherzer</v>
      </c>
      <c r="D450" s="26">
        <v>10840</v>
      </c>
      <c r="E450" s="28"/>
      <c r="F450" s="28" t="s">
        <v>4</v>
      </c>
      <c r="G450" s="7" t="s">
        <v>8</v>
      </c>
      <c r="H450" s="6"/>
      <c r="I450" s="14" t="s">
        <v>63</v>
      </c>
      <c r="J450" t="s">
        <v>92</v>
      </c>
      <c r="K450" s="6"/>
    </row>
    <row r="451" spans="1:11" ht="15.75" thickBot="1" x14ac:dyDescent="0.3">
      <c r="A451" s="58" t="s">
        <v>84</v>
      </c>
      <c r="B451" s="7">
        <v>3</v>
      </c>
      <c r="C451" s="39" t="str">
        <f>HYPERLINK("\\Elam-pliki\firmowe\BUDIMEX\Projekty\DANWOOD 2017\DE\10 Październik\03 Mahler 10832","Mahler")</f>
        <v>Mahler</v>
      </c>
      <c r="D451" s="7">
        <v>10832</v>
      </c>
      <c r="E451" s="6"/>
      <c r="F451" s="6"/>
      <c r="G451" s="7" t="s">
        <v>8</v>
      </c>
      <c r="H451" s="6"/>
      <c r="I451" s="14" t="s">
        <v>39</v>
      </c>
      <c r="J451" t="s">
        <v>87</v>
      </c>
      <c r="K451" s="6"/>
    </row>
    <row r="452" spans="1:11" ht="15.75" thickBot="1" x14ac:dyDescent="0.3">
      <c r="A452" s="58" t="s">
        <v>84</v>
      </c>
      <c r="B452" s="12">
        <v>4</v>
      </c>
      <c r="C452" s="31" t="str">
        <f>HYPERLINK("\\Elam-pliki\firmowe\BUDIMEX\Projekty\DANWOOD 2017\DE\10 Październik\04 Grams 10387","Grams")</f>
        <v>Grams</v>
      </c>
      <c r="D452" s="12">
        <v>10387</v>
      </c>
      <c r="E452" s="17" t="s">
        <v>15</v>
      </c>
      <c r="F452" s="17" t="s">
        <v>1</v>
      </c>
      <c r="G452" s="7" t="s">
        <v>30</v>
      </c>
      <c r="H452" s="6"/>
      <c r="I452" s="14" t="s">
        <v>63</v>
      </c>
      <c r="J452" t="s">
        <v>92</v>
      </c>
      <c r="K452" s="6"/>
    </row>
    <row r="453" spans="1:11" ht="15.75" thickBot="1" x14ac:dyDescent="0.3">
      <c r="A453" s="58" t="s">
        <v>84</v>
      </c>
      <c r="B453" s="26">
        <v>5</v>
      </c>
      <c r="C453" s="35" t="str">
        <f>HYPERLINK("\\Elam-pliki\firmowe\BUDIMEX\Projekty\DANWOOD 2017\DE\10 Październik\05 Bedingfield 7019","Bedingfield 1")</f>
        <v>Bedingfield 1</v>
      </c>
      <c r="D453" s="26">
        <v>7019</v>
      </c>
      <c r="E453" s="49" t="s">
        <v>5</v>
      </c>
      <c r="F453" s="28" t="s">
        <v>4</v>
      </c>
      <c r="G453" s="7" t="s">
        <v>32</v>
      </c>
      <c r="H453" s="6" t="s">
        <v>0</v>
      </c>
      <c r="I453" s="14" t="s">
        <v>42</v>
      </c>
      <c r="J453" t="s">
        <v>87</v>
      </c>
      <c r="K453" s="37" t="s">
        <v>6</v>
      </c>
    </row>
    <row r="454" spans="1:11" ht="15.75" thickBot="1" x14ac:dyDescent="0.3">
      <c r="A454" s="58" t="s">
        <v>84</v>
      </c>
      <c r="B454" s="26">
        <v>6</v>
      </c>
      <c r="C454" s="35" t="str">
        <f>HYPERLINK("\\Elam-pliki\firmowe\BUDIMEX\Projekty\DANWOOD 2017\DE\10 Październik\06 Bedingfield 2 11378","Bedingfield 2")</f>
        <v>Bedingfield 2</v>
      </c>
      <c r="D454" s="26">
        <v>11378</v>
      </c>
      <c r="E454" s="49" t="s">
        <v>5</v>
      </c>
      <c r="F454" s="28" t="s">
        <v>4</v>
      </c>
      <c r="G454" s="7" t="s">
        <v>32</v>
      </c>
      <c r="H454" s="6" t="s">
        <v>0</v>
      </c>
      <c r="I454" s="14" t="s">
        <v>42</v>
      </c>
      <c r="J454" t="s">
        <v>87</v>
      </c>
      <c r="K454" s="37" t="s">
        <v>6</v>
      </c>
    </row>
    <row r="455" spans="1:11" ht="15.75" thickBot="1" x14ac:dyDescent="0.3">
      <c r="A455" s="58" t="s">
        <v>84</v>
      </c>
      <c r="B455" s="7">
        <v>7</v>
      </c>
      <c r="C455" s="39" t="str">
        <f>HYPERLINK("\\Elam-pliki\firmowe\BUDIMEX\Projekty\DANWOOD 2017\DE\10 Październik\07 Schumann Philipp 10396","Schumann Philipp")</f>
        <v>Schumann Philipp</v>
      </c>
      <c r="D455" s="7">
        <v>10396</v>
      </c>
      <c r="E455" s="6"/>
      <c r="F455" s="6"/>
      <c r="G455" s="7" t="s">
        <v>13</v>
      </c>
      <c r="H455" s="6"/>
      <c r="I455" s="14" t="s">
        <v>39</v>
      </c>
      <c r="J455" t="s">
        <v>87</v>
      </c>
      <c r="K455" s="6"/>
    </row>
    <row r="456" spans="1:11" ht="15.75" thickBot="1" x14ac:dyDescent="0.3">
      <c r="A456" s="58" t="s">
        <v>84</v>
      </c>
      <c r="B456" s="7">
        <v>8</v>
      </c>
      <c r="C456" s="39" t="str">
        <f>HYPERLINK("\\Elam-pliki\firmowe\BUDIMEX\Projekty\DANWOOD 2017\DE\10 Październik\08 Hagen Kaatz 11021","Hagen Kaatz")</f>
        <v>Hagen Kaatz</v>
      </c>
      <c r="D456" s="7">
        <v>11021</v>
      </c>
      <c r="E456" s="6"/>
      <c r="F456" s="6" t="s">
        <v>4</v>
      </c>
      <c r="G456" s="7" t="s">
        <v>14</v>
      </c>
      <c r="H456" s="6"/>
      <c r="I456" s="14" t="s">
        <v>39</v>
      </c>
      <c r="J456" t="s">
        <v>92</v>
      </c>
      <c r="K456" s="6"/>
    </row>
    <row r="457" spans="1:11" ht="15.75" thickBot="1" x14ac:dyDescent="0.3">
      <c r="A457" s="58" t="s">
        <v>84</v>
      </c>
      <c r="B457" s="26">
        <v>9</v>
      </c>
      <c r="C457" s="35" t="str">
        <f>HYPERLINK("\\Elam-pliki\firmowe\BUDIMEX\Projekty\DANWOOD 2017\DE\10 Październik\09 Barisch Musterhaus 11604","Barisch Musterhaus")</f>
        <v>Barisch Musterhaus</v>
      </c>
      <c r="D457" s="26">
        <v>11604</v>
      </c>
      <c r="E457" s="28" t="s">
        <v>64</v>
      </c>
      <c r="F457" s="28" t="s">
        <v>4</v>
      </c>
      <c r="G457" s="7" t="s">
        <v>8</v>
      </c>
      <c r="H457" s="6"/>
      <c r="I457" s="14" t="s">
        <v>63</v>
      </c>
      <c r="J457" t="s">
        <v>87</v>
      </c>
      <c r="K457" s="6"/>
    </row>
    <row r="458" spans="1:11" ht="15.75" thickBot="1" x14ac:dyDescent="0.3">
      <c r="A458" s="58" t="s">
        <v>84</v>
      </c>
      <c r="B458" s="7">
        <v>10</v>
      </c>
      <c r="C458" s="39" t="str">
        <f>HYPERLINK("\\Elam-pliki\firmowe\BUDIMEX\Projekty\DANWOOD 2017\DE\10 Październik\10 Röhner 10629","Röhner")</f>
        <v>Röhner</v>
      </c>
      <c r="D458" s="7">
        <v>10629</v>
      </c>
      <c r="E458" s="6"/>
      <c r="F458" s="6" t="s">
        <v>4</v>
      </c>
      <c r="G458" s="7" t="s">
        <v>35</v>
      </c>
      <c r="H458" s="6"/>
      <c r="I458" s="14" t="s">
        <v>41</v>
      </c>
      <c r="J458" t="s">
        <v>87</v>
      </c>
      <c r="K458" s="6"/>
    </row>
    <row r="459" spans="1:11" ht="15.75" thickBot="1" x14ac:dyDescent="0.3">
      <c r="A459" s="58" t="s">
        <v>84</v>
      </c>
      <c r="B459" s="26">
        <v>11</v>
      </c>
      <c r="C459" s="35" t="str">
        <f>HYPERLINK("\\Elam-pliki\firmowe\BUDIMEX\Projekty\DANWOOD 2017\DE\10 Październik\11 Krautheim 10712","Krautheim")</f>
        <v>Krautheim</v>
      </c>
      <c r="D459" s="26">
        <v>10712</v>
      </c>
      <c r="E459" s="28"/>
      <c r="F459" s="28" t="s">
        <v>4</v>
      </c>
      <c r="G459" s="7" t="s">
        <v>10</v>
      </c>
      <c r="H459" s="6"/>
      <c r="I459" s="14" t="s">
        <v>39</v>
      </c>
      <c r="J459" t="s">
        <v>92</v>
      </c>
      <c r="K459" s="6"/>
    </row>
    <row r="460" spans="1:11" ht="15.75" thickBot="1" x14ac:dyDescent="0.3">
      <c r="A460" s="58" t="s">
        <v>84</v>
      </c>
      <c r="B460" s="26">
        <v>12</v>
      </c>
      <c r="C460" s="35" t="str">
        <f>HYPERLINK("\\Elam-pliki\firmowe\BUDIMEX\Projekty\DANWOOD 2017\DE\10 Październik\12 Diller 11268","Diller")</f>
        <v>Diller</v>
      </c>
      <c r="D460" s="26">
        <v>11268</v>
      </c>
      <c r="E460" s="28" t="s">
        <v>15</v>
      </c>
      <c r="F460" s="28" t="s">
        <v>4</v>
      </c>
      <c r="G460" s="7" t="s">
        <v>36</v>
      </c>
      <c r="H460" s="6"/>
      <c r="I460" s="14" t="s">
        <v>42</v>
      </c>
      <c r="J460" t="s">
        <v>92</v>
      </c>
      <c r="K460" s="6"/>
    </row>
    <row r="461" spans="1:11" ht="15.75" thickBot="1" x14ac:dyDescent="0.3">
      <c r="A461" s="58" t="s">
        <v>84</v>
      </c>
      <c r="B461" s="26">
        <v>13</v>
      </c>
      <c r="C461" s="35" t="str">
        <f>HYPERLINK("\\Elam-pliki\firmowe\BUDIMEX\Projekty\DANWOOD 2017\DE\10 Październik\13 Schnaus 11470","Schnaus")</f>
        <v>Schnaus</v>
      </c>
      <c r="D461" s="26">
        <v>11470</v>
      </c>
      <c r="E461" s="28"/>
      <c r="F461" s="28" t="s">
        <v>4</v>
      </c>
      <c r="G461" s="7" t="s">
        <v>13</v>
      </c>
      <c r="H461" s="6"/>
      <c r="I461" s="14" t="s">
        <v>42</v>
      </c>
      <c r="J461" t="s">
        <v>92</v>
      </c>
      <c r="K461" s="6"/>
    </row>
    <row r="462" spans="1:11" ht="15.75" thickBot="1" x14ac:dyDescent="0.3">
      <c r="A462" s="58" t="s">
        <v>84</v>
      </c>
      <c r="B462" s="7">
        <v>14</v>
      </c>
      <c r="C462" s="39" t="str">
        <f>HYPERLINK("\\Elam-pliki\firmowe\BUDIMEX\Projekty\DANWOOD 2017\DE\10 Październik\14 Bohmer 9731","Bohmer")</f>
        <v>Bohmer</v>
      </c>
      <c r="D462" s="7">
        <v>9731</v>
      </c>
      <c r="E462" s="6"/>
      <c r="F462" s="6"/>
      <c r="G462" s="7" t="s">
        <v>8</v>
      </c>
      <c r="H462" s="6"/>
      <c r="I462" s="14" t="s">
        <v>63</v>
      </c>
      <c r="J462" t="s">
        <v>87</v>
      </c>
      <c r="K462" s="6"/>
    </row>
    <row r="463" spans="1:11" ht="15.75" thickBot="1" x14ac:dyDescent="0.3">
      <c r="A463" s="58" t="s">
        <v>84</v>
      </c>
      <c r="B463" s="26">
        <v>15</v>
      </c>
      <c r="C463" s="35" t="str">
        <f>HYPERLINK("\\Elam-pliki\firmowe\BUDIMEX\Projekty\DANWOOD 2017\DE\10 Październik\15 Kruse Alicia 9708","Kruse Alicia")</f>
        <v>Kruse Alicia</v>
      </c>
      <c r="D463" s="26">
        <v>9708</v>
      </c>
      <c r="E463" s="28" t="s">
        <v>15</v>
      </c>
      <c r="F463" s="28" t="s">
        <v>4</v>
      </c>
      <c r="G463" s="7" t="s">
        <v>36</v>
      </c>
      <c r="H463" s="6"/>
      <c r="I463" s="14" t="s">
        <v>39</v>
      </c>
      <c r="J463" t="s">
        <v>92</v>
      </c>
      <c r="K463" s="6"/>
    </row>
    <row r="464" spans="1:11" ht="15.75" thickBot="1" x14ac:dyDescent="0.3">
      <c r="A464" s="58" t="s">
        <v>84</v>
      </c>
      <c r="B464" s="26">
        <v>16</v>
      </c>
      <c r="C464" s="35" t="str">
        <f>HYPERLINK("\\Elam-pliki\firmowe\BUDIMEX\Projekty\DANWOOD 2017\DE\10 Październik\16 Aumann 10450","Aumann")</f>
        <v>Aumann</v>
      </c>
      <c r="D464" s="26">
        <v>10450</v>
      </c>
      <c r="E464" s="28" t="s">
        <v>15</v>
      </c>
      <c r="F464" s="28" t="s">
        <v>4</v>
      </c>
      <c r="G464" s="7" t="s">
        <v>45</v>
      </c>
      <c r="H464" s="6"/>
      <c r="I464" s="14" t="s">
        <v>42</v>
      </c>
      <c r="J464" t="s">
        <v>147</v>
      </c>
      <c r="K464" s="6"/>
    </row>
    <row r="465" spans="1:11" ht="15.75" thickBot="1" x14ac:dyDescent="0.3">
      <c r="A465" s="58" t="s">
        <v>84</v>
      </c>
      <c r="B465" s="7">
        <v>17</v>
      </c>
      <c r="C465" s="39" t="str">
        <f>HYPERLINK("\\Elam-pliki\firmowe\BUDIMEX\Projekty\DANWOOD 2017\DE\10 Październik\17 Solazzo 11081","Solazzo")</f>
        <v>Solazzo</v>
      </c>
      <c r="D465" s="7">
        <v>11081</v>
      </c>
      <c r="E465" s="6"/>
      <c r="F465" s="6"/>
      <c r="G465" s="7" t="s">
        <v>8</v>
      </c>
      <c r="H465" s="6"/>
      <c r="I465" s="14" t="s">
        <v>39</v>
      </c>
      <c r="J465" t="s">
        <v>87</v>
      </c>
      <c r="K465" s="6"/>
    </row>
    <row r="466" spans="1:11" ht="15.75" thickBot="1" x14ac:dyDescent="0.3">
      <c r="A466" s="58" t="s">
        <v>84</v>
      </c>
      <c r="B466" s="26">
        <v>18</v>
      </c>
      <c r="C466" s="35" t="str">
        <f>HYPERLINK("\\Elam-pliki\firmowe\BUDIMEX\Projekty\DANWOOD 2017\DE\10 Październik\18 Brunner 10459","Brunner")</f>
        <v>Brunner</v>
      </c>
      <c r="D466" s="26">
        <v>10459</v>
      </c>
      <c r="E466" s="28"/>
      <c r="F466" s="28" t="s">
        <v>4</v>
      </c>
      <c r="G466" s="7" t="s">
        <v>8</v>
      </c>
      <c r="H466" s="6"/>
      <c r="I466" s="14" t="s">
        <v>63</v>
      </c>
      <c r="J466" t="s">
        <v>87</v>
      </c>
      <c r="K466" s="6"/>
    </row>
    <row r="467" spans="1:11" ht="15.75" thickBot="1" x14ac:dyDescent="0.3">
      <c r="A467" s="58" t="s">
        <v>84</v>
      </c>
      <c r="B467" s="7">
        <v>19</v>
      </c>
      <c r="C467" s="39" t="str">
        <f>HYPERLINK("\\Elam-pliki\firmowe\BUDIMEX\Projekty\DANWOOD 2017\DE\10 Październik\19 Hess Schäfer 11544","Hess Schäfer")</f>
        <v>Hess Schäfer</v>
      </c>
      <c r="D467" s="7">
        <v>11544</v>
      </c>
      <c r="E467" s="6"/>
      <c r="F467" s="6"/>
      <c r="G467" s="7" t="s">
        <v>12</v>
      </c>
      <c r="H467" s="6"/>
      <c r="I467" s="14" t="s">
        <v>42</v>
      </c>
      <c r="J467" t="s">
        <v>92</v>
      </c>
      <c r="K467" s="6"/>
    </row>
    <row r="468" spans="1:11" ht="15.75" thickBot="1" x14ac:dyDescent="0.3">
      <c r="A468" s="58" t="s">
        <v>84</v>
      </c>
      <c r="B468" s="26">
        <v>20</v>
      </c>
      <c r="C468" s="35" t="str">
        <f>HYPERLINK("\\Elam-pliki\firmowe\BUDIMEX\Projekty\DANWOOD 2017\DE\10 Październik\20 Witzgall 11318","Witzgall")</f>
        <v>Witzgall</v>
      </c>
      <c r="D468" s="26">
        <v>11318</v>
      </c>
      <c r="E468" s="28"/>
      <c r="F468" s="28" t="s">
        <v>4</v>
      </c>
      <c r="G468" s="7" t="s">
        <v>8</v>
      </c>
      <c r="H468" s="6"/>
      <c r="I468" s="14" t="s">
        <v>39</v>
      </c>
      <c r="J468" t="s">
        <v>87</v>
      </c>
      <c r="K468" s="6"/>
    </row>
    <row r="469" spans="1:11" ht="15.75" thickBot="1" x14ac:dyDescent="0.3">
      <c r="A469" s="58" t="s">
        <v>84</v>
      </c>
      <c r="B469" s="26">
        <v>21</v>
      </c>
      <c r="C469" s="35" t="str">
        <f>HYPERLINK("\\Elam-pliki\firmowe\BUDIMEX\Projekty\DANWOOD 2017\DE\10 Październik\21 Lotter 10896","Lotter")</f>
        <v>Lotter</v>
      </c>
      <c r="D469" s="26">
        <v>10896</v>
      </c>
      <c r="E469" s="28" t="s">
        <v>15</v>
      </c>
      <c r="F469" s="28" t="s">
        <v>4</v>
      </c>
      <c r="G469" s="7" t="s">
        <v>13</v>
      </c>
      <c r="H469" s="6"/>
      <c r="I469" s="14" t="s">
        <v>39</v>
      </c>
      <c r="J469" t="s">
        <v>148</v>
      </c>
      <c r="K469" s="6"/>
    </row>
    <row r="470" spans="1:11" ht="15.75" thickBot="1" x14ac:dyDescent="0.3">
      <c r="A470" s="58" t="s">
        <v>84</v>
      </c>
      <c r="B470" s="26">
        <v>22</v>
      </c>
      <c r="C470" s="35" t="str">
        <f>HYPERLINK("\\Elam-pliki\firmowe\BUDIMEX\Projekty\DANWOOD 2017\DE\10 Październik\22 Moik 11410","Moik")</f>
        <v>Moik</v>
      </c>
      <c r="D470" s="26">
        <v>11410</v>
      </c>
      <c r="E470" s="28" t="s">
        <v>15</v>
      </c>
      <c r="F470" s="28" t="s">
        <v>4</v>
      </c>
      <c r="G470" s="7" t="s">
        <v>13</v>
      </c>
      <c r="H470" s="6"/>
      <c r="I470" s="14" t="s">
        <v>42</v>
      </c>
      <c r="J470" t="s">
        <v>87</v>
      </c>
      <c r="K470" s="6"/>
    </row>
    <row r="471" spans="1:11" ht="15.75" thickBot="1" x14ac:dyDescent="0.3">
      <c r="A471" s="58" t="s">
        <v>84</v>
      </c>
      <c r="B471" s="26">
        <v>23</v>
      </c>
      <c r="C471" s="35" t="str">
        <f>HYPERLINK("\\Elam-pliki\firmowe\BUDIMEX\Projekty\DANWOOD 2017\DE\10 Październik\23 Bannert Roland 2 10356","Bannert Roland")</f>
        <v>Bannert Roland</v>
      </c>
      <c r="D471" s="26">
        <v>10356</v>
      </c>
      <c r="E471" s="28" t="s">
        <v>15</v>
      </c>
      <c r="F471" s="28" t="s">
        <v>4</v>
      </c>
      <c r="G471" s="7" t="s">
        <v>45</v>
      </c>
      <c r="H471" s="6"/>
      <c r="I471" s="14" t="s">
        <v>42</v>
      </c>
      <c r="J471" t="s">
        <v>92</v>
      </c>
      <c r="K471" s="6"/>
    </row>
    <row r="472" spans="1:11" ht="15.75" thickBot="1" x14ac:dyDescent="0.3">
      <c r="A472" s="58" t="s">
        <v>84</v>
      </c>
      <c r="B472" s="7">
        <v>24</v>
      </c>
      <c r="C472" s="39" t="str">
        <f>HYPERLINK("\\Elam-pliki\firmowe\BUDIMEX\Projekty\DANWOOD 2017\DE\10 Październik\24 Vögtle 11127","Vögtle")</f>
        <v>Vögtle</v>
      </c>
      <c r="D472" s="7">
        <v>11127</v>
      </c>
      <c r="E472" s="6"/>
      <c r="F472" s="6"/>
      <c r="G472" s="7" t="s">
        <v>55</v>
      </c>
      <c r="H472" s="6"/>
      <c r="I472" s="14" t="s">
        <v>39</v>
      </c>
      <c r="J472" t="s">
        <v>149</v>
      </c>
      <c r="K472" s="6"/>
    </row>
    <row r="473" spans="1:11" ht="15.75" thickBot="1" x14ac:dyDescent="0.3">
      <c r="A473" s="58" t="s">
        <v>84</v>
      </c>
      <c r="B473" s="26">
        <v>25</v>
      </c>
      <c r="C473" s="35" t="str">
        <f>HYPERLINK("\\Elam-pliki\firmowe\BUDIMEX\Projekty\DANWOOD 2017\DE\10 Październik\25 Rohland Rößchen 10797","Rohland Rößchen")</f>
        <v>Rohland Rößchen</v>
      </c>
      <c r="D473" s="26">
        <v>10797</v>
      </c>
      <c r="E473" s="28"/>
      <c r="F473" s="28" t="s">
        <v>4</v>
      </c>
      <c r="G473" s="7" t="s">
        <v>12</v>
      </c>
      <c r="H473" s="6"/>
      <c r="I473" s="14" t="s">
        <v>42</v>
      </c>
      <c r="J473" t="s">
        <v>150</v>
      </c>
      <c r="K473" s="6"/>
    </row>
    <row r="474" spans="1:11" ht="15.75" thickBot="1" x14ac:dyDescent="0.3">
      <c r="A474" s="58" t="s">
        <v>84</v>
      </c>
      <c r="B474" s="26">
        <v>26</v>
      </c>
      <c r="C474" s="35" t="str">
        <f>HYPERLINK("\\Elam-pliki\firmowe\BUDIMEX\Projekty\DANWOOD 2017\DE\10 Październik\26 Elmer 10930","Elmer")</f>
        <v>Elmer</v>
      </c>
      <c r="D474" s="26">
        <v>10930</v>
      </c>
      <c r="E474" s="28"/>
      <c r="F474" s="28" t="s">
        <v>4</v>
      </c>
      <c r="G474" s="7" t="s">
        <v>12</v>
      </c>
      <c r="H474" s="6"/>
      <c r="I474" s="14" t="s">
        <v>39</v>
      </c>
      <c r="J474" t="s">
        <v>151</v>
      </c>
      <c r="K474" s="6"/>
    </row>
    <row r="475" spans="1:11" ht="15.75" thickBot="1" x14ac:dyDescent="0.3">
      <c r="A475" s="58" t="s">
        <v>84</v>
      </c>
      <c r="B475" s="26">
        <v>27</v>
      </c>
      <c r="C475" s="35" t="str">
        <f>HYPERLINK("\\Elam-pliki\firmowe\BUDIMEX\Projekty\DANWOOD 2017\DE\10 Październik\27 Zeiher 10650","Zeiher")</f>
        <v>Zeiher</v>
      </c>
      <c r="D475" s="26">
        <v>10650</v>
      </c>
      <c r="E475" s="28" t="s">
        <v>15</v>
      </c>
      <c r="F475" s="28" t="s">
        <v>4</v>
      </c>
      <c r="G475" s="7" t="s">
        <v>36</v>
      </c>
      <c r="H475" s="6"/>
      <c r="I475" s="14" t="s">
        <v>41</v>
      </c>
      <c r="J475" t="s">
        <v>92</v>
      </c>
      <c r="K475" s="6"/>
    </row>
    <row r="476" spans="1:11" ht="15.75" thickBot="1" x14ac:dyDescent="0.3">
      <c r="A476" s="58" t="s">
        <v>84</v>
      </c>
      <c r="B476" s="7">
        <v>28</v>
      </c>
      <c r="C476" s="39" t="str">
        <f>HYPERLINK("\\Elam-pliki\firmowe\BUDIMEX\Projekty\DANWOOD 2017\DE\10 Październik\28 Yilmaz 10161","Yilmaz")</f>
        <v>Yilmaz</v>
      </c>
      <c r="D476" s="7">
        <v>10161</v>
      </c>
      <c r="E476" s="6"/>
      <c r="F476" s="6"/>
      <c r="G476" s="7" t="s">
        <v>27</v>
      </c>
      <c r="H476" s="6"/>
      <c r="I476" s="14" t="s">
        <v>39</v>
      </c>
      <c r="J476" t="s">
        <v>145</v>
      </c>
      <c r="K476" s="6"/>
    </row>
    <row r="477" spans="1:11" ht="15.75" thickBot="1" x14ac:dyDescent="0.3">
      <c r="A477" s="58" t="s">
        <v>84</v>
      </c>
      <c r="B477" s="7">
        <v>29</v>
      </c>
      <c r="C477" s="39" t="str">
        <f>HYPERLINK("\\Elam-pliki\firmowe\BUDIMEX\Projekty\DANWOOD 2017\DE\10 Październik\29 Trier 10631","Trier")</f>
        <v>Trier</v>
      </c>
      <c r="D477" s="7">
        <v>10631</v>
      </c>
      <c r="E477" s="6"/>
      <c r="F477" s="6" t="s">
        <v>4</v>
      </c>
      <c r="G477" s="7" t="s">
        <v>8</v>
      </c>
      <c r="H477" s="6"/>
      <c r="I477" s="14" t="s">
        <v>41</v>
      </c>
      <c r="J477" t="s">
        <v>97</v>
      </c>
      <c r="K477" s="6"/>
    </row>
    <row r="478" spans="1:11" ht="15.75" thickBot="1" x14ac:dyDescent="0.3">
      <c r="A478" s="58" t="s">
        <v>84</v>
      </c>
      <c r="B478" s="26">
        <v>30</v>
      </c>
      <c r="C478" s="35" t="str">
        <f>HYPERLINK("\\Elam-pliki\firmowe\BUDIMEX\Projekty\DANWOOD 2017\DE\10 Październik\30 Gutenbrunner 11344","Gutenbrunner")</f>
        <v>Gutenbrunner</v>
      </c>
      <c r="D478" s="26">
        <v>11344</v>
      </c>
      <c r="E478" s="49" t="s">
        <v>5</v>
      </c>
      <c r="F478" s="28" t="s">
        <v>4</v>
      </c>
      <c r="G478" s="7" t="s">
        <v>21</v>
      </c>
      <c r="H478" s="6"/>
      <c r="I478" s="14" t="s">
        <v>42</v>
      </c>
      <c r="J478" t="s">
        <v>87</v>
      </c>
      <c r="K478" s="37" t="s">
        <v>3</v>
      </c>
    </row>
    <row r="479" spans="1:11" ht="15.75" thickBot="1" x14ac:dyDescent="0.3">
      <c r="A479" s="58" t="s">
        <v>84</v>
      </c>
      <c r="B479" s="7">
        <v>31</v>
      </c>
      <c r="C479" s="39" t="str">
        <f>HYPERLINK("\\Elam-pliki\firmowe\BUDIMEX\Projekty\DANWOOD 2017\DE\10 Październik\31 Goedicke 10469","Goedicke")</f>
        <v>Goedicke</v>
      </c>
      <c r="D479" s="7">
        <v>10469</v>
      </c>
      <c r="E479" s="6"/>
      <c r="F479" s="6"/>
      <c r="G479" s="7" t="s">
        <v>19</v>
      </c>
      <c r="H479" s="6"/>
      <c r="I479" s="14" t="s">
        <v>41</v>
      </c>
      <c r="J479" t="s">
        <v>152</v>
      </c>
      <c r="K479" s="6"/>
    </row>
    <row r="480" spans="1:11" ht="15.75" thickBot="1" x14ac:dyDescent="0.3">
      <c r="A480" s="58" t="s">
        <v>84</v>
      </c>
      <c r="B480" s="7">
        <v>32</v>
      </c>
      <c r="C480" s="39" t="str">
        <f>HYPERLINK("\\Elam-pliki\firmowe\BUDIMEX\Projekty\DANWOOD 2017\DE\10 Październik\32 Beck 8607","Beck")</f>
        <v>Beck</v>
      </c>
      <c r="D480" s="7">
        <v>8607</v>
      </c>
      <c r="E480" s="6" t="s">
        <v>43</v>
      </c>
      <c r="F480" s="6"/>
      <c r="G480" s="7" t="s">
        <v>27</v>
      </c>
      <c r="H480" s="6"/>
      <c r="I480" s="14" t="s">
        <v>39</v>
      </c>
      <c r="J480" t="s">
        <v>87</v>
      </c>
      <c r="K480" s="6"/>
    </row>
    <row r="481" spans="1:11" ht="15.75" thickBot="1" x14ac:dyDescent="0.3">
      <c r="A481" s="58" t="s">
        <v>84</v>
      </c>
      <c r="B481" s="7">
        <v>33</v>
      </c>
      <c r="C481" s="39" t="str">
        <f>HYPERLINK("\\Elam-pliki\firmowe\BUDIMEX\Projekty\DANWOOD 2017\DE\10 Październik\33 Metz Michael 10636","Metz Michael")</f>
        <v>Metz Michael</v>
      </c>
      <c r="D481" s="7">
        <v>10636</v>
      </c>
      <c r="E481" s="6"/>
      <c r="F481" s="6"/>
      <c r="G481" s="7" t="s">
        <v>24</v>
      </c>
      <c r="H481" s="6"/>
      <c r="I481" s="14" t="s">
        <v>42</v>
      </c>
      <c r="J481" t="s">
        <v>87</v>
      </c>
      <c r="K481" s="6"/>
    </row>
    <row r="482" spans="1:11" ht="15.75" thickBot="1" x14ac:dyDescent="0.3">
      <c r="A482" s="58" t="s">
        <v>84</v>
      </c>
      <c r="B482" s="12">
        <v>34</v>
      </c>
      <c r="C482" s="31" t="str">
        <f>HYPERLINK("\\Elam-pliki\firmowe\BUDIMEX\Projekty\DANWOOD 2017\DE\10 Październik\34 Heckelt 10125","Heckelt")</f>
        <v>Heckelt</v>
      </c>
      <c r="D482" s="12">
        <v>10125</v>
      </c>
      <c r="E482" s="17" t="s">
        <v>65</v>
      </c>
      <c r="F482" s="17" t="s">
        <v>1</v>
      </c>
      <c r="G482" s="7" t="s">
        <v>17</v>
      </c>
      <c r="H482" s="6"/>
      <c r="I482" s="14" t="s">
        <v>39</v>
      </c>
      <c r="J482" t="s">
        <v>87</v>
      </c>
      <c r="K482" s="6"/>
    </row>
    <row r="483" spans="1:11" ht="15.75" thickBot="1" x14ac:dyDescent="0.3">
      <c r="A483" s="58" t="s">
        <v>84</v>
      </c>
      <c r="B483" s="26">
        <v>35</v>
      </c>
      <c r="C483" s="35" t="str">
        <f>HYPERLINK("\\Elam-pliki\firmowe\BUDIMEX\Projekty\DANWOOD 2017\DE\10 Październik\35 Koch 10996","Koch")</f>
        <v>Koch</v>
      </c>
      <c r="D483" s="26">
        <v>10996</v>
      </c>
      <c r="E483" s="28"/>
      <c r="F483" s="28" t="s">
        <v>4</v>
      </c>
      <c r="G483" s="7" t="s">
        <v>8</v>
      </c>
      <c r="H483" s="6"/>
      <c r="I483" s="14" t="s">
        <v>39</v>
      </c>
      <c r="J483" t="s">
        <v>92</v>
      </c>
      <c r="K483" s="6"/>
    </row>
    <row r="484" spans="1:11" ht="15.75" thickBot="1" x14ac:dyDescent="0.3">
      <c r="A484" s="58" t="s">
        <v>84</v>
      </c>
      <c r="B484" s="7">
        <v>36</v>
      </c>
      <c r="C484" s="39" t="str">
        <f>HYPERLINK("\\Elam-pliki\firmowe\BUDIMEX\Projekty\DANWOOD 2017\DE\10 Październik\36 Immekamp 10521","Immekamp")</f>
        <v>Immekamp</v>
      </c>
      <c r="D484" s="7">
        <v>10521</v>
      </c>
      <c r="E484" s="6" t="s">
        <v>66</v>
      </c>
      <c r="F484" s="6"/>
      <c r="G484" s="7" t="s">
        <v>16</v>
      </c>
      <c r="H484" s="6"/>
      <c r="I484" s="14"/>
      <c r="J484" t="s">
        <v>87</v>
      </c>
      <c r="K484" s="6"/>
    </row>
    <row r="485" spans="1:11" ht="15.75" thickBot="1" x14ac:dyDescent="0.3">
      <c r="A485" s="58" t="s">
        <v>84</v>
      </c>
      <c r="B485" s="7">
        <v>37</v>
      </c>
      <c r="C485" s="39" t="str">
        <f>HYPERLINK("\\Elam-pliki\firmowe\BUDIMEX\Projekty\DANWOOD 2017\DE\10 Październik\37 Langner 11605","Langner")</f>
        <v>Langner</v>
      </c>
      <c r="D485" s="7">
        <v>11605</v>
      </c>
      <c r="E485" s="45" t="s">
        <v>5</v>
      </c>
      <c r="F485" s="6"/>
      <c r="G485" s="7" t="s">
        <v>21</v>
      </c>
      <c r="H485" s="6"/>
      <c r="I485" s="14" t="s">
        <v>42</v>
      </c>
      <c r="J485" t="s">
        <v>87</v>
      </c>
      <c r="K485" s="37" t="s">
        <v>3</v>
      </c>
    </row>
    <row r="486" spans="1:11" ht="15.75" thickBot="1" x14ac:dyDescent="0.3">
      <c r="A486" s="58" t="s">
        <v>84</v>
      </c>
      <c r="B486" s="7">
        <v>38</v>
      </c>
      <c r="C486" s="39" t="str">
        <f>HYPERLINK("\\Elam-pliki\firmowe\BUDIMEX\Projekty\DANWOOD 2017\DE\10 Październik\38 Michel Schreiber 11763","Michel Schreiber")</f>
        <v>Michel Schreiber</v>
      </c>
      <c r="D486" s="7">
        <v>11763</v>
      </c>
      <c r="E486" s="6"/>
      <c r="F486" s="6"/>
      <c r="G486" s="7" t="s">
        <v>12</v>
      </c>
      <c r="H486" s="6"/>
      <c r="I486" s="14" t="s">
        <v>42</v>
      </c>
      <c r="J486" t="s">
        <v>87</v>
      </c>
      <c r="K486" s="6"/>
    </row>
    <row r="487" spans="1:11" ht="15.75" thickBot="1" x14ac:dyDescent="0.3">
      <c r="A487" s="58" t="s">
        <v>84</v>
      </c>
      <c r="B487" s="26">
        <v>39</v>
      </c>
      <c r="C487" s="35" t="str">
        <f>HYPERLINK("\\Elam-pliki\firmowe\BUDIMEX\Projekty\DANWOOD 2017\DE\10 Październik\39 Trabesinger 11653","Trabesinger")</f>
        <v>Trabesinger</v>
      </c>
      <c r="D487" s="26">
        <v>11653</v>
      </c>
      <c r="E487" s="49" t="s">
        <v>5</v>
      </c>
      <c r="F487" s="28" t="s">
        <v>4</v>
      </c>
      <c r="G487" s="7" t="s">
        <v>57</v>
      </c>
      <c r="H487" s="6"/>
      <c r="I487" s="14" t="s">
        <v>42</v>
      </c>
      <c r="J487" t="s">
        <v>87</v>
      </c>
      <c r="K487" s="37" t="s">
        <v>3</v>
      </c>
    </row>
    <row r="488" spans="1:11" ht="15.75" thickBot="1" x14ac:dyDescent="0.3">
      <c r="A488" s="58" t="s">
        <v>84</v>
      </c>
      <c r="B488" s="7">
        <v>40</v>
      </c>
      <c r="C488" s="39" t="str">
        <f>HYPERLINK("\\Elam-pliki\firmowe\BUDIMEX\Projekty\DANWOOD 2017\DE\10 Październik\40 Wolniczak 10536","Wolniczak")</f>
        <v>Wolniczak</v>
      </c>
      <c r="D488" s="7">
        <v>10536</v>
      </c>
      <c r="E488" s="6" t="s">
        <v>29</v>
      </c>
      <c r="F488" s="6"/>
      <c r="G488" s="7" t="s">
        <v>25</v>
      </c>
      <c r="H488" s="6"/>
      <c r="I488" s="14" t="s">
        <v>42</v>
      </c>
      <c r="J488" t="s">
        <v>87</v>
      </c>
      <c r="K488" s="6"/>
    </row>
    <row r="489" spans="1:11" ht="15.75" thickBot="1" x14ac:dyDescent="0.3">
      <c r="A489" s="58" t="s">
        <v>84</v>
      </c>
      <c r="B489" s="26">
        <v>41</v>
      </c>
      <c r="C489" s="35" t="str">
        <f>HYPERLINK("\\Elam-pliki\firmowe\BUDIMEX\Projekty\DANWOOD 2017\DE\10 Październik\41 Macnair 7664","Macnair")</f>
        <v>Macnair</v>
      </c>
      <c r="D489" s="26">
        <v>7664</v>
      </c>
      <c r="E489" s="49" t="s">
        <v>5</v>
      </c>
      <c r="F489" s="28" t="s">
        <v>4</v>
      </c>
      <c r="G489" s="7" t="s">
        <v>32</v>
      </c>
      <c r="H489" s="6" t="s">
        <v>0</v>
      </c>
      <c r="I489" s="14" t="s">
        <v>41</v>
      </c>
      <c r="J489" t="s">
        <v>87</v>
      </c>
      <c r="K489" s="37" t="s">
        <v>6</v>
      </c>
    </row>
    <row r="490" spans="1:11" ht="15.75" thickBot="1" x14ac:dyDescent="0.3">
      <c r="A490" s="58" t="s">
        <v>84</v>
      </c>
      <c r="B490" s="26">
        <v>42</v>
      </c>
      <c r="C490" s="35" t="str">
        <f>HYPERLINK("\\Elam-pliki\firmowe\BUDIMEX\Projekty\DANWOOD 2017\DE\10 Październik\42 Krüger Sebastian 10850","Krüger Sebastian")</f>
        <v>Krüger Sebastian</v>
      </c>
      <c r="D490" s="26">
        <v>10850</v>
      </c>
      <c r="E490" s="28"/>
      <c r="F490" s="28" t="s">
        <v>4</v>
      </c>
      <c r="G490" s="7" t="s">
        <v>30</v>
      </c>
      <c r="H490" s="6"/>
      <c r="I490" s="14" t="s">
        <v>41</v>
      </c>
      <c r="J490" t="s">
        <v>92</v>
      </c>
      <c r="K490" s="6"/>
    </row>
    <row r="491" spans="1:11" ht="15.75" thickBot="1" x14ac:dyDescent="0.3">
      <c r="A491" s="58" t="s">
        <v>84</v>
      </c>
      <c r="B491" s="7">
        <v>43</v>
      </c>
      <c r="C491" s="39" t="str">
        <f>HYPERLINK("\\Elam-pliki\firmowe\BUDIMEX\Projekty\DANWOOD 2017\DE\10 Październik\43 Walk 10538","Walk")</f>
        <v>Walk</v>
      </c>
      <c r="D491" s="7">
        <v>10538</v>
      </c>
      <c r="E491" s="6" t="s">
        <v>29</v>
      </c>
      <c r="F491" s="6"/>
      <c r="G491" s="7" t="s">
        <v>25</v>
      </c>
      <c r="H491" s="6"/>
      <c r="I491" s="14" t="s">
        <v>39</v>
      </c>
      <c r="J491" t="s">
        <v>87</v>
      </c>
      <c r="K491" s="6"/>
    </row>
    <row r="492" spans="1:11" ht="15.75" thickBot="1" x14ac:dyDescent="0.3">
      <c r="A492" s="58" t="s">
        <v>84</v>
      </c>
      <c r="B492" s="26">
        <v>44</v>
      </c>
      <c r="C492" s="35" t="str">
        <f>HYPERLINK("\\Elam-pliki\firmowe\BUDIMEX\Projekty\DANWOOD 2017\DE\10 Październik\44 Schneider 11685","Schneider")</f>
        <v>Schneider</v>
      </c>
      <c r="D492" s="26">
        <v>11685</v>
      </c>
      <c r="E492" s="49" t="s">
        <v>5</v>
      </c>
      <c r="F492" s="28" t="s">
        <v>4</v>
      </c>
      <c r="G492" s="7" t="s">
        <v>57</v>
      </c>
      <c r="H492" s="6"/>
      <c r="I492" s="14" t="s">
        <v>42</v>
      </c>
      <c r="J492" t="s">
        <v>87</v>
      </c>
      <c r="K492" s="37" t="s">
        <v>3</v>
      </c>
    </row>
    <row r="493" spans="1:11" ht="15.75" thickBot="1" x14ac:dyDescent="0.3">
      <c r="A493" s="58" t="s">
        <v>84</v>
      </c>
      <c r="B493" s="26">
        <v>45</v>
      </c>
      <c r="C493" s="35" t="str">
        <f>HYPERLINK("\\Elam-pliki\firmowe\BUDIMEX\Projekty\DANWOOD 2017\DE\10 Październik\45 Rothenanger 11395","Rothenanger")</f>
        <v>Rothenanger</v>
      </c>
      <c r="D493" s="26">
        <v>11395</v>
      </c>
      <c r="E493" s="28" t="s">
        <v>15</v>
      </c>
      <c r="F493" s="28" t="s">
        <v>4</v>
      </c>
      <c r="G493" s="7" t="s">
        <v>13</v>
      </c>
      <c r="H493" s="6"/>
      <c r="I493" s="14" t="s">
        <v>39</v>
      </c>
      <c r="J493" t="s">
        <v>145</v>
      </c>
      <c r="K493" s="6"/>
    </row>
    <row r="494" spans="1:11" ht="15.75" thickBot="1" x14ac:dyDescent="0.3">
      <c r="A494" s="58" t="s">
        <v>84</v>
      </c>
      <c r="B494" s="26">
        <v>46</v>
      </c>
      <c r="C494" s="35" t="str">
        <f>HYPERLINK("\\Elam-pliki\firmowe\BUDIMEX\Projekty\DANWOOD 2017\DE\10 Październik\46 Pompl 10726","Pompl")</f>
        <v>Pompl</v>
      </c>
      <c r="D494" s="26">
        <v>10726</v>
      </c>
      <c r="E494" s="28" t="s">
        <v>65</v>
      </c>
      <c r="F494" s="28" t="s">
        <v>4</v>
      </c>
      <c r="G494" s="7" t="s">
        <v>13</v>
      </c>
      <c r="H494" s="6"/>
      <c r="I494" s="14" t="s">
        <v>42</v>
      </c>
      <c r="J494" t="s">
        <v>92</v>
      </c>
      <c r="K494" s="6"/>
    </row>
    <row r="495" spans="1:11" ht="15.75" thickBot="1" x14ac:dyDescent="0.3">
      <c r="A495" s="58" t="s">
        <v>84</v>
      </c>
      <c r="B495" s="7">
        <v>47</v>
      </c>
      <c r="C495" s="39" t="str">
        <f>HYPERLINK("\\Elam-pliki\firmowe\BUDIMEX\Projekty\DANWOOD 2017\DE\10 Październik\47 Schaub 11342","Schaub")</f>
        <v>Schaub</v>
      </c>
      <c r="D495" s="7">
        <v>11342</v>
      </c>
      <c r="E495" s="6"/>
      <c r="F495" s="6"/>
      <c r="G495" s="7" t="s">
        <v>55</v>
      </c>
      <c r="H495" s="6"/>
      <c r="I495" s="14" t="s">
        <v>39</v>
      </c>
      <c r="J495" t="s">
        <v>87</v>
      </c>
      <c r="K495" s="6"/>
    </row>
    <row r="496" spans="1:11" ht="15.75" thickBot="1" x14ac:dyDescent="0.3">
      <c r="A496" s="58" t="s">
        <v>84</v>
      </c>
      <c r="B496" s="26">
        <v>48</v>
      </c>
      <c r="C496" s="35" t="str">
        <f>HYPERLINK("\\Elam-pliki\firmowe\BUDIMEX\Projekty\DANWOOD 2017\DE\10 Październik\48 Bär Daniel 10852","Bär Daniel")</f>
        <v>Bär Daniel</v>
      </c>
      <c r="D496" s="26">
        <v>10852</v>
      </c>
      <c r="E496" s="28" t="s">
        <v>15</v>
      </c>
      <c r="F496" s="28" t="s">
        <v>4</v>
      </c>
      <c r="G496" s="7" t="s">
        <v>35</v>
      </c>
      <c r="H496" s="6"/>
      <c r="I496" s="14" t="s">
        <v>42</v>
      </c>
      <c r="J496" t="s">
        <v>92</v>
      </c>
      <c r="K496" s="6"/>
    </row>
    <row r="497" spans="1:11" ht="15.75" thickBot="1" x14ac:dyDescent="0.3">
      <c r="A497" s="58" t="s">
        <v>84</v>
      </c>
      <c r="B497" s="12">
        <v>49</v>
      </c>
      <c r="C497" s="31" t="str">
        <f>HYPERLINK("\\Elam-pliki\FIRMOWE\BUDIMEX\PROJEKTY\DANWOOD 2017\DE\10 Październik\49 Schuster 9944","Schuster")</f>
        <v>Schuster</v>
      </c>
      <c r="D497" s="12">
        <v>9944</v>
      </c>
      <c r="E497" s="17"/>
      <c r="F497" s="17" t="s">
        <v>1</v>
      </c>
      <c r="G497" s="7" t="s">
        <v>26</v>
      </c>
      <c r="H497" s="6"/>
      <c r="I497" s="14" t="s">
        <v>39</v>
      </c>
      <c r="J497" t="s">
        <v>153</v>
      </c>
      <c r="K497" s="6"/>
    </row>
    <row r="498" spans="1:11" ht="15.75" thickBot="1" x14ac:dyDescent="0.3">
      <c r="A498" s="58" t="s">
        <v>84</v>
      </c>
      <c r="B498" s="26">
        <v>50</v>
      </c>
      <c r="C498" s="35" t="str">
        <f>HYPERLINK("\\Elam-pliki\firmowe\BUDIMEX\Projekty\DANWOOD 2017\DE\10 Październik\50 Steinhagen 10244","Steinhagen")</f>
        <v>Steinhagen</v>
      </c>
      <c r="D498" s="26">
        <v>10244</v>
      </c>
      <c r="E498" s="28"/>
      <c r="F498" s="28" t="s">
        <v>4</v>
      </c>
      <c r="G498" s="7" t="s">
        <v>26</v>
      </c>
      <c r="H498" s="6"/>
      <c r="I498" s="14" t="s">
        <v>42</v>
      </c>
      <c r="J498" t="s">
        <v>92</v>
      </c>
      <c r="K498" s="6"/>
    </row>
    <row r="499" spans="1:11" ht="15.75" thickBot="1" x14ac:dyDescent="0.3">
      <c r="A499" s="58" t="s">
        <v>84</v>
      </c>
      <c r="B499" s="7">
        <v>51</v>
      </c>
      <c r="C499" s="39" t="str">
        <f>HYPERLINK("\\Elam-pliki\firmowe\BUDIMEX\Projekty\DANWOOD 2017\DE\10 Październik\51 Dörr 10081","Dörr")</f>
        <v>Dörr</v>
      </c>
      <c r="D499" s="7">
        <v>10081</v>
      </c>
      <c r="E499" s="6"/>
      <c r="F499" s="6"/>
      <c r="G499" s="7" t="s">
        <v>16</v>
      </c>
      <c r="H499" s="6"/>
      <c r="I499" s="14" t="s">
        <v>41</v>
      </c>
      <c r="J499" t="s">
        <v>87</v>
      </c>
      <c r="K499" s="6"/>
    </row>
    <row r="500" spans="1:11" ht="15.75" thickBot="1" x14ac:dyDescent="0.3">
      <c r="A500" s="58" t="s">
        <v>84</v>
      </c>
      <c r="B500" s="7">
        <v>52</v>
      </c>
      <c r="C500" s="39" t="str">
        <f>HYPERLINK("\\Elam-pliki\firmowe\BUDIMEX\Projekty\DANWOOD 2017\DE\10 Październik\52 Lambke 11516","Lambke")</f>
        <v>Lambke</v>
      </c>
      <c r="D500" s="7">
        <v>11516</v>
      </c>
      <c r="E500" s="6"/>
      <c r="F500" s="6"/>
      <c r="G500" s="7" t="s">
        <v>27</v>
      </c>
      <c r="H500" s="6"/>
      <c r="I500" s="14" t="s">
        <v>39</v>
      </c>
      <c r="J500" t="s">
        <v>87</v>
      </c>
      <c r="K500" s="6"/>
    </row>
    <row r="501" spans="1:11" ht="15.75" thickBot="1" x14ac:dyDescent="0.3">
      <c r="A501" s="58" t="s">
        <v>84</v>
      </c>
      <c r="B501" s="26">
        <v>53</v>
      </c>
      <c r="C501" s="35" t="str">
        <f>HYPERLINK("\\Elam-pliki\firmowe\BUDIMEX\Projekty\DANWOOD 2017\DE\10 Październik\53 Handreck 11411","Handreck")</f>
        <v>Handreck</v>
      </c>
      <c r="D501" s="26">
        <v>11411</v>
      </c>
      <c r="E501" s="28" t="s">
        <v>15</v>
      </c>
      <c r="F501" s="28" t="s">
        <v>4</v>
      </c>
      <c r="G501" s="7" t="s">
        <v>35</v>
      </c>
      <c r="H501" s="6"/>
      <c r="I501" s="14" t="s">
        <v>39</v>
      </c>
      <c r="J501" t="s">
        <v>87</v>
      </c>
      <c r="K501" s="6"/>
    </row>
    <row r="502" spans="1:11" ht="15.75" thickBot="1" x14ac:dyDescent="0.3">
      <c r="A502" s="58" t="s">
        <v>84</v>
      </c>
      <c r="B502" s="26">
        <v>54</v>
      </c>
      <c r="C502" s="35" t="str">
        <f>HYPERLINK("\\Elam-pliki\firmowe\BUDIMEX\Projekty\DANWOOD 2017\DE\10 Październik\54 Schönwälder 10390","Schönwälder")</f>
        <v>Schönwälder</v>
      </c>
      <c r="D502" s="26">
        <v>10390</v>
      </c>
      <c r="E502" s="28" t="s">
        <v>15</v>
      </c>
      <c r="F502" s="28" t="s">
        <v>4</v>
      </c>
      <c r="G502" s="7" t="s">
        <v>14</v>
      </c>
      <c r="H502" s="6"/>
      <c r="I502" s="14" t="s">
        <v>42</v>
      </c>
      <c r="J502" t="s">
        <v>87</v>
      </c>
      <c r="K502" s="6"/>
    </row>
    <row r="503" spans="1:11" ht="15.75" thickBot="1" x14ac:dyDescent="0.3">
      <c r="A503" s="58" t="s">
        <v>84</v>
      </c>
      <c r="B503" s="7">
        <v>55</v>
      </c>
      <c r="C503" s="39" t="str">
        <f>HYPERLINK("\\Elam-pliki\firmowe\BUDIMEX\Projekty\DANWOOD 2017\DE\10 Październik\55 Barthlein 11000","Barthlein")</f>
        <v>Barthlein</v>
      </c>
      <c r="D503" s="7">
        <v>11000</v>
      </c>
      <c r="E503" s="6"/>
      <c r="F503" s="6"/>
      <c r="G503" s="7" t="s">
        <v>8</v>
      </c>
      <c r="H503" s="6"/>
      <c r="I503" s="14" t="s">
        <v>42</v>
      </c>
      <c r="J503" t="s">
        <v>87</v>
      </c>
      <c r="K503" s="6"/>
    </row>
    <row r="504" spans="1:11" ht="15.75" thickBot="1" x14ac:dyDescent="0.3">
      <c r="A504" s="58" t="s">
        <v>84</v>
      </c>
      <c r="B504" s="7">
        <v>56</v>
      </c>
      <c r="C504" s="39" t="str">
        <f>HYPERLINK("\\Elam-pliki\firmowe\BUDIMEX\Projekty\DANWOOD 2017\DE\10 Październik\56 Wolniczak Rainer 10537","Wolniczak Rainer")</f>
        <v>Wolniczak Rainer</v>
      </c>
      <c r="D504" s="7">
        <v>10537</v>
      </c>
      <c r="E504" s="6" t="s">
        <v>29</v>
      </c>
      <c r="F504" s="6"/>
      <c r="G504" s="7" t="s">
        <v>25</v>
      </c>
      <c r="H504" s="6"/>
      <c r="I504" s="14" t="s">
        <v>39</v>
      </c>
      <c r="J504" t="s">
        <v>87</v>
      </c>
      <c r="K504" s="6"/>
    </row>
    <row r="505" spans="1:11" ht="15.75" thickBot="1" x14ac:dyDescent="0.3">
      <c r="A505" s="58" t="s">
        <v>84</v>
      </c>
      <c r="B505" s="7">
        <v>57</v>
      </c>
      <c r="C505" s="39" t="str">
        <f>HYPERLINK("\\Elam-pliki\firmowe\BUDIMEX\Projekty\DANWOOD 2017\DE\10 Październik\57 Wolniczak Anna 10539","Wolniczak Anna")</f>
        <v>Wolniczak Anna</v>
      </c>
      <c r="D505" s="7">
        <v>10539</v>
      </c>
      <c r="E505" s="6" t="s">
        <v>29</v>
      </c>
      <c r="F505" s="6"/>
      <c r="G505" s="7" t="s">
        <v>25</v>
      </c>
      <c r="H505" s="6"/>
      <c r="I505" s="14" t="s">
        <v>39</v>
      </c>
      <c r="J505" t="s">
        <v>87</v>
      </c>
      <c r="K505" s="6"/>
    </row>
    <row r="506" spans="1:11" ht="15.75" thickBot="1" x14ac:dyDescent="0.3">
      <c r="A506" s="58" t="s">
        <v>84</v>
      </c>
      <c r="B506" s="7">
        <v>58</v>
      </c>
      <c r="C506" s="39" t="str">
        <f>HYPERLINK("\\Elam-pliki\firmowe\BUDIMEX\Projekty\DANWOOD 2017\DE\10 Październik\58 Seidl 11456","Seidl")</f>
        <v>Seidl</v>
      </c>
      <c r="D506" s="7">
        <v>11456</v>
      </c>
      <c r="E506" s="6"/>
      <c r="F506" s="6"/>
      <c r="G506" s="7" t="s">
        <v>16</v>
      </c>
      <c r="H506" s="6"/>
      <c r="I506" s="14" t="s">
        <v>42</v>
      </c>
      <c r="J506" t="s">
        <v>148</v>
      </c>
      <c r="K506" s="6"/>
    </row>
    <row r="507" spans="1:11" ht="15.75" thickBot="1" x14ac:dyDescent="0.3">
      <c r="A507" s="58" t="s">
        <v>84</v>
      </c>
      <c r="B507" s="12">
        <v>59</v>
      </c>
      <c r="C507" s="31" t="str">
        <f>HYPERLINK("\\Elam-pliki\firmowe\BUDIMEX\Projekty\DANWOOD 2017\DE\10 Październik\59 Roßwurm 10581","Roßwurm")</f>
        <v>Roßwurm</v>
      </c>
      <c r="D507" s="12">
        <v>10581</v>
      </c>
      <c r="E507" s="17" t="s">
        <v>15</v>
      </c>
      <c r="F507" s="17" t="s">
        <v>1</v>
      </c>
      <c r="G507" s="7" t="s">
        <v>67</v>
      </c>
      <c r="H507" s="6"/>
      <c r="I507" s="14" t="s">
        <v>41</v>
      </c>
      <c r="J507" t="s">
        <v>154</v>
      </c>
      <c r="K507" s="6"/>
    </row>
    <row r="508" spans="1:11" ht="15.75" thickBot="1" x14ac:dyDescent="0.3">
      <c r="A508" s="58" t="s">
        <v>84</v>
      </c>
      <c r="B508" s="26">
        <v>60</v>
      </c>
      <c r="C508" s="35" t="str">
        <f>HYPERLINK("\\Elam-pliki\firmowe\BUDIMEX\Projekty\DANWOOD 2017\DE\10 Październik\60 Feustel 11580","Feustel")</f>
        <v>Feustel</v>
      </c>
      <c r="D508" s="26">
        <v>11580</v>
      </c>
      <c r="E508" s="28" t="s">
        <v>15</v>
      </c>
      <c r="F508" s="28" t="s">
        <v>4</v>
      </c>
      <c r="G508" s="7" t="s">
        <v>13</v>
      </c>
      <c r="H508" s="6"/>
      <c r="I508" s="14" t="s">
        <v>39</v>
      </c>
      <c r="J508" t="s">
        <v>92</v>
      </c>
      <c r="K508" s="6"/>
    </row>
    <row r="509" spans="1:11" ht="15.75" thickBot="1" x14ac:dyDescent="0.3">
      <c r="A509" s="58" t="s">
        <v>84</v>
      </c>
      <c r="B509" s="7">
        <v>61</v>
      </c>
      <c r="C509" s="39" t="str">
        <f>HYPERLINK("\\Elam-pliki\firmowe\BUDIMEX\Projekty\DANWOOD 2017\DE\10 Październik\61 Yüksel 10527","Yüksel")</f>
        <v>Yüksel</v>
      </c>
      <c r="D509" s="7">
        <v>10527</v>
      </c>
      <c r="E509" s="6"/>
      <c r="F509" s="6"/>
      <c r="G509" s="7" t="s">
        <v>16</v>
      </c>
      <c r="H509" s="6"/>
      <c r="I509" s="14" t="s">
        <v>42</v>
      </c>
      <c r="J509" t="s">
        <v>87</v>
      </c>
      <c r="K509" s="6"/>
    </row>
    <row r="510" spans="1:11" ht="15.75" thickBot="1" x14ac:dyDescent="0.3">
      <c r="A510" s="58" t="s">
        <v>84</v>
      </c>
      <c r="B510" s="7">
        <v>62</v>
      </c>
      <c r="C510" s="39" t="str">
        <f>HYPERLINK("\\Elam-pliki\firmowe\BUDIMEX\Projekty\DANWOOD 2017\DE\10 Październik\62 Laacke Pläne 10370","Laacke Pläne")</f>
        <v>Laacke Pläne</v>
      </c>
      <c r="D510" s="7">
        <v>10370</v>
      </c>
      <c r="E510" s="6"/>
      <c r="F510" s="6"/>
      <c r="G510" s="7" t="s">
        <v>19</v>
      </c>
      <c r="H510" s="6"/>
      <c r="I510" s="14" t="s">
        <v>41</v>
      </c>
      <c r="J510" t="s">
        <v>87</v>
      </c>
      <c r="K510" s="6"/>
    </row>
    <row r="511" spans="1:11" ht="15.75" thickBot="1" x14ac:dyDescent="0.3">
      <c r="A511" s="58" t="s">
        <v>84</v>
      </c>
      <c r="B511" s="7">
        <v>63</v>
      </c>
      <c r="C511" s="39" t="str">
        <f>HYPERLINK("\\Elam-pliki\firmowe\BUDIMEX\Projekty\DANWOOD 2017\DE\10 Październik\63 Wessel Uta 11388","Wessel Uta")</f>
        <v>Wessel Uta</v>
      </c>
      <c r="D511" s="7">
        <v>11388</v>
      </c>
      <c r="E511" s="6"/>
      <c r="F511" s="6"/>
      <c r="G511" s="7" t="s">
        <v>35</v>
      </c>
      <c r="H511" s="6"/>
      <c r="I511" s="14" t="s">
        <v>39</v>
      </c>
      <c r="J511" t="s">
        <v>145</v>
      </c>
      <c r="K511" s="6"/>
    </row>
    <row r="512" spans="1:11" ht="15.75" thickBot="1" x14ac:dyDescent="0.3">
      <c r="A512" s="58" t="s">
        <v>84</v>
      </c>
      <c r="B512" s="7">
        <v>64</v>
      </c>
      <c r="C512" s="39" t="str">
        <f>HYPERLINK("\\Elam-pliki\firmowe\BUDIMEX\Projekty\DANWOOD 2017\DE\10 Październik\64 Schwaiger 11781","Schwaiger")</f>
        <v>Schwaiger</v>
      </c>
      <c r="D512" s="7">
        <v>11781</v>
      </c>
      <c r="E512" s="6"/>
      <c r="F512" s="6" t="s">
        <v>4</v>
      </c>
      <c r="G512" s="7" t="s">
        <v>12</v>
      </c>
      <c r="H512" s="6"/>
      <c r="I512" s="14" t="s">
        <v>42</v>
      </c>
      <c r="J512" t="s">
        <v>151</v>
      </c>
      <c r="K512" s="6"/>
    </row>
    <row r="513" spans="1:11" ht="15.75" thickBot="1" x14ac:dyDescent="0.3">
      <c r="A513" s="58" t="s">
        <v>84</v>
      </c>
      <c r="B513" s="26">
        <v>65</v>
      </c>
      <c r="C513" s="35" t="str">
        <f>HYPERLINK("\\Elam-pliki\firmowe\BUDIMEX\Projekty\DANWOOD 2017\DE\10 Październik\65 Maertens 10884","Maertens")</f>
        <v>Maertens</v>
      </c>
      <c r="D513" s="26">
        <v>10844</v>
      </c>
      <c r="E513" s="49" t="s">
        <v>5</v>
      </c>
      <c r="F513" s="28" t="s">
        <v>4</v>
      </c>
      <c r="G513" s="7" t="s">
        <v>23</v>
      </c>
      <c r="H513" s="6" t="s">
        <v>0</v>
      </c>
      <c r="I513" s="14" t="s">
        <v>42</v>
      </c>
      <c r="J513" t="s">
        <v>87</v>
      </c>
      <c r="K513" s="37" t="s">
        <v>6</v>
      </c>
    </row>
    <row r="514" spans="1:11" ht="15.75" thickBot="1" x14ac:dyDescent="0.3">
      <c r="A514" s="58" t="s">
        <v>84</v>
      </c>
      <c r="B514" s="26">
        <v>66</v>
      </c>
      <c r="C514" s="35" t="str">
        <f>HYPERLINK("\\Elam-pliki\firmowe\BUDIMEX\Projekty\DANWOOD 2017\DE\10 Październik\66 Körner Keller 11807","Körner Keller")</f>
        <v>Körner Keller</v>
      </c>
      <c r="D514" s="26">
        <v>11807</v>
      </c>
      <c r="E514" s="28"/>
      <c r="F514" s="28" t="s">
        <v>4</v>
      </c>
      <c r="G514" s="7" t="s">
        <v>62</v>
      </c>
      <c r="H514" s="6"/>
      <c r="I514" s="14" t="s">
        <v>39</v>
      </c>
      <c r="J514" t="s">
        <v>155</v>
      </c>
      <c r="K514" s="6"/>
    </row>
    <row r="515" spans="1:11" ht="15.75" thickBot="1" x14ac:dyDescent="0.3">
      <c r="A515" s="58" t="s">
        <v>84</v>
      </c>
      <c r="B515" s="7">
        <v>67</v>
      </c>
      <c r="C515" s="39" t="str">
        <f>HYPERLINK("\\Elam-pliki\firmowe\BUDIMEX\Projekty\DANWOOD 2017\DE\10 Październik\67 Franz 11764","Franz")</f>
        <v>Franz</v>
      </c>
      <c r="D515" s="7">
        <v>11764</v>
      </c>
      <c r="E515" s="6"/>
      <c r="F515" s="6"/>
      <c r="G515" s="7" t="s">
        <v>30</v>
      </c>
      <c r="H515" s="6"/>
      <c r="I515" s="14" t="s">
        <v>39</v>
      </c>
      <c r="J515" t="s">
        <v>156</v>
      </c>
      <c r="K515" s="6"/>
    </row>
    <row r="516" spans="1:11" ht="15.75" thickBot="1" x14ac:dyDescent="0.3">
      <c r="A516" s="58" t="s">
        <v>84</v>
      </c>
      <c r="B516" s="50">
        <v>68</v>
      </c>
      <c r="C516" s="51" t="str">
        <f>HYPERLINK("\\Elam-pliki\firmowe\BUDIMEX\Projekty\DANWOOD 2017\DE\10 Październik\68 Trigg 11157","Trigg")</f>
        <v>Trigg</v>
      </c>
      <c r="D516" s="50">
        <v>11157</v>
      </c>
      <c r="E516" s="53" t="s">
        <v>5</v>
      </c>
      <c r="F516" s="52" t="s">
        <v>4</v>
      </c>
      <c r="G516" s="9" t="s">
        <v>32</v>
      </c>
      <c r="H516" s="8" t="s">
        <v>0</v>
      </c>
      <c r="I516" s="16" t="s">
        <v>41</v>
      </c>
      <c r="J516" s="3" t="s">
        <v>87</v>
      </c>
      <c r="K516" s="48" t="s">
        <v>6</v>
      </c>
    </row>
    <row r="517" spans="1:11" ht="15" customHeight="1" thickBot="1" x14ac:dyDescent="0.3">
      <c r="A517" s="58" t="s">
        <v>85</v>
      </c>
      <c r="B517" s="26">
        <v>1</v>
      </c>
      <c r="C517" s="35" t="str">
        <f>HYPERLINK("\\Elam-pliki\firmowe\BUDIMEX\PROJEKTY\DANWOOD 2017\DE\11 Listopad\01 Meißner 10771","Meißner")</f>
        <v>Meißner</v>
      </c>
      <c r="D517" s="26">
        <v>10771</v>
      </c>
      <c r="E517" s="28"/>
      <c r="F517" s="28" t="s">
        <v>4</v>
      </c>
      <c r="G517" s="7" t="s">
        <v>67</v>
      </c>
      <c r="H517" s="6"/>
      <c r="I517" s="14" t="s">
        <v>41</v>
      </c>
      <c r="J517" t="s">
        <v>125</v>
      </c>
      <c r="K517" s="6"/>
    </row>
    <row r="518" spans="1:11" ht="15.75" thickBot="1" x14ac:dyDescent="0.3">
      <c r="A518" s="58" t="s">
        <v>85</v>
      </c>
      <c r="B518" s="26">
        <v>2</v>
      </c>
      <c r="C518" s="35" t="str">
        <f>HYPERLINK("\\Elam-pliki\firmowe\BUDIMEX\Projekty\DANWOOD 2017\DE\11 Listopad\02 Kohler 11122","Kohler")</f>
        <v>Kohler</v>
      </c>
      <c r="D518" s="26">
        <v>11122</v>
      </c>
      <c r="E518" s="28" t="s">
        <v>15</v>
      </c>
      <c r="F518" s="28" t="s">
        <v>4</v>
      </c>
      <c r="G518" s="7" t="s">
        <v>18</v>
      </c>
      <c r="H518" s="6"/>
      <c r="I518" s="14" t="s">
        <v>42</v>
      </c>
      <c r="J518" t="s">
        <v>87</v>
      </c>
      <c r="K518" s="6"/>
    </row>
    <row r="519" spans="1:11" ht="15.75" thickBot="1" x14ac:dyDescent="0.3">
      <c r="A519" s="58" t="s">
        <v>85</v>
      </c>
      <c r="B519" s="12">
        <v>3</v>
      </c>
      <c r="C519" s="31" t="str">
        <f>HYPERLINK("\\Elam-pliki\firmowe\BUDIMEX\Projekty\DANWOOD 2017\DE\11 Listopad\03 Schmidt 9744","Schmidt")</f>
        <v>Schmidt</v>
      </c>
      <c r="D519" s="12">
        <v>9744</v>
      </c>
      <c r="E519" s="17"/>
      <c r="F519" s="17" t="s">
        <v>1</v>
      </c>
      <c r="G519" s="7" t="s">
        <v>26</v>
      </c>
      <c r="H519" s="6"/>
      <c r="I519" s="14" t="s">
        <v>39</v>
      </c>
      <c r="J519" t="s">
        <v>153</v>
      </c>
      <c r="K519" s="6"/>
    </row>
    <row r="520" spans="1:11" ht="15.75" thickBot="1" x14ac:dyDescent="0.3">
      <c r="A520" s="58" t="s">
        <v>85</v>
      </c>
      <c r="B520" s="7">
        <v>4</v>
      </c>
      <c r="C520" s="39" t="str">
        <f>HYPERLINK("\\Elam-pliki\firmowe\BUDIMEX\Projekty\DANWOOD 2017\DE\11 Listopad\04 Dr. Kroeger 11539","Dr. Kroeger")</f>
        <v>Dr. Kroeger</v>
      </c>
      <c r="D520" s="7">
        <v>11539</v>
      </c>
      <c r="E520" s="6"/>
      <c r="F520" s="6"/>
      <c r="G520" s="7" t="s">
        <v>36</v>
      </c>
      <c r="H520" s="6"/>
      <c r="I520" s="14" t="s">
        <v>42</v>
      </c>
      <c r="J520" t="s">
        <v>87</v>
      </c>
      <c r="K520" s="6"/>
    </row>
    <row r="521" spans="1:11" ht="15.75" thickBot="1" x14ac:dyDescent="0.3">
      <c r="A521" s="58" t="s">
        <v>85</v>
      </c>
      <c r="B521" s="7">
        <v>5</v>
      </c>
      <c r="C521" s="39" t="str">
        <f>HYPERLINK("\\Elam-pliki\firmowe\BUDIMEX\Projekty\DANWOOD 2017\DE\11 Listopad\05 Jüttner Marcel 11195","Jüttner Marcel")</f>
        <v>Jüttner Marcel</v>
      </c>
      <c r="D521" s="7">
        <v>11195</v>
      </c>
      <c r="E521" s="6"/>
      <c r="F521" s="6"/>
      <c r="G521" s="7" t="s">
        <v>19</v>
      </c>
      <c r="H521" s="6"/>
      <c r="I521" s="14" t="s">
        <v>63</v>
      </c>
      <c r="J521" t="s">
        <v>87</v>
      </c>
      <c r="K521" s="6"/>
    </row>
    <row r="522" spans="1:11" ht="15.75" thickBot="1" x14ac:dyDescent="0.3">
      <c r="A522" s="58" t="s">
        <v>85</v>
      </c>
      <c r="B522" s="12">
        <v>6</v>
      </c>
      <c r="C522" s="31" t="str">
        <f>HYPERLINK("\\Elam-pliki\firmowe\BUDIMEX\Projekty\DANWOOD 2017\DE\11 Listopad\06 Rothe 10793","Rothe")</f>
        <v>Rothe</v>
      </c>
      <c r="D522" s="12">
        <v>10793</v>
      </c>
      <c r="E522" s="17" t="s">
        <v>15</v>
      </c>
      <c r="F522" s="17" t="s">
        <v>1</v>
      </c>
      <c r="G522" s="7" t="s">
        <v>58</v>
      </c>
      <c r="H522" s="6"/>
      <c r="I522" s="14" t="s">
        <v>63</v>
      </c>
      <c r="J522" t="s">
        <v>92</v>
      </c>
      <c r="K522" s="6"/>
    </row>
    <row r="523" spans="1:11" ht="15.75" thickBot="1" x14ac:dyDescent="0.3">
      <c r="A523" s="58" t="s">
        <v>85</v>
      </c>
      <c r="B523" s="26">
        <v>7</v>
      </c>
      <c r="C523" s="35" t="str">
        <f>HYPERLINK("\\Elam-pliki\firmowe\BUDIMEX\Projekty\DANWOOD 2017\DE\11 Listopad\07 Siegl 7213","Siegl")</f>
        <v>Siegl</v>
      </c>
      <c r="D523" s="26">
        <v>7213</v>
      </c>
      <c r="E523" s="28" t="s">
        <v>53</v>
      </c>
      <c r="F523" s="28" t="s">
        <v>4</v>
      </c>
      <c r="G523" s="7" t="s">
        <v>16</v>
      </c>
      <c r="H523" s="6"/>
      <c r="I523" s="14" t="s">
        <v>63</v>
      </c>
      <c r="J523" t="s">
        <v>87</v>
      </c>
      <c r="K523" s="6"/>
    </row>
    <row r="524" spans="1:11" ht="15.75" thickBot="1" x14ac:dyDescent="0.3">
      <c r="A524" s="58" t="s">
        <v>85</v>
      </c>
      <c r="B524" s="7">
        <v>8</v>
      </c>
      <c r="C524" s="39" t="str">
        <f>HYPERLINK("\\Elam-pliki\firmowe\BUDIMEX\Projekty\DANWOOD 2017\DE\11 Listopad\08 Grill 11873","Grill")</f>
        <v>Grill</v>
      </c>
      <c r="D524" s="7">
        <v>11873</v>
      </c>
      <c r="E524" s="45" t="s">
        <v>5</v>
      </c>
      <c r="F524" s="6"/>
      <c r="G524" s="7" t="s">
        <v>21</v>
      </c>
      <c r="H524" s="6"/>
      <c r="I524" s="14" t="s">
        <v>39</v>
      </c>
      <c r="J524" t="s">
        <v>87</v>
      </c>
      <c r="K524" s="37" t="s">
        <v>3</v>
      </c>
    </row>
    <row r="525" spans="1:11" ht="15.75" thickBot="1" x14ac:dyDescent="0.3">
      <c r="A525" s="58" t="s">
        <v>85</v>
      </c>
      <c r="B525" s="26">
        <v>9</v>
      </c>
      <c r="C525" s="35" t="str">
        <f>HYPERLINK("\\Elam-pliki\firmowe\BUDIMEX\Projekty\DANWOOD 2017\DE\11 Listopad\09 Oldenburg 10164","Oldenburg")</f>
        <v>Oldenburg</v>
      </c>
      <c r="D525" s="26">
        <v>10164</v>
      </c>
      <c r="E525" s="28" t="s">
        <v>15</v>
      </c>
      <c r="F525" s="28" t="s">
        <v>4</v>
      </c>
      <c r="G525" s="7" t="s">
        <v>27</v>
      </c>
      <c r="H525" s="6"/>
      <c r="I525" s="14" t="s">
        <v>63</v>
      </c>
      <c r="J525" t="s">
        <v>92</v>
      </c>
      <c r="K525" s="6"/>
    </row>
    <row r="526" spans="1:11" ht="15.75" thickBot="1" x14ac:dyDescent="0.3">
      <c r="A526" s="58" t="s">
        <v>85</v>
      </c>
      <c r="B526" s="26">
        <v>10</v>
      </c>
      <c r="C526" s="35" t="str">
        <f>HYPERLINK("\\Elam-pliki\firmowe\BUDIMEX\Projekty\DANWOOD 2017\DE\11 Listopad\10 Witkowska-Nowak 10914","Witkowska-Nowak")</f>
        <v>Witkowska-Nowak</v>
      </c>
      <c r="D526" s="26">
        <v>10914</v>
      </c>
      <c r="E526" s="28" t="s">
        <v>65</v>
      </c>
      <c r="F526" s="28" t="s">
        <v>4</v>
      </c>
      <c r="G526" s="7" t="s">
        <v>20</v>
      </c>
      <c r="H526" s="6"/>
      <c r="I526" s="14" t="s">
        <v>42</v>
      </c>
      <c r="J526" t="s">
        <v>92</v>
      </c>
      <c r="K526" s="6"/>
    </row>
    <row r="527" spans="1:11" ht="15.75" thickBot="1" x14ac:dyDescent="0.3">
      <c r="A527" s="58" t="s">
        <v>85</v>
      </c>
      <c r="B527" s="26">
        <v>11</v>
      </c>
      <c r="C527" s="35" t="str">
        <f>HYPERLINK("\\Elam-pliki\firmowe\BUDIMEX\Projekty\DANWOOD 2017\DE\11 Listopad\11 Rutz 10672","Rutz")</f>
        <v>Rutz</v>
      </c>
      <c r="D527" s="26">
        <v>10672</v>
      </c>
      <c r="E527" s="28"/>
      <c r="F527" s="28" t="s">
        <v>4</v>
      </c>
      <c r="G527" s="7" t="s">
        <v>27</v>
      </c>
      <c r="H527" s="6"/>
      <c r="I527" s="14" t="s">
        <v>41</v>
      </c>
      <c r="J527" t="s">
        <v>87</v>
      </c>
      <c r="K527" s="6"/>
    </row>
    <row r="528" spans="1:11" ht="15.75" thickBot="1" x14ac:dyDescent="0.3">
      <c r="A528" s="58" t="s">
        <v>85</v>
      </c>
      <c r="B528" s="26">
        <v>12</v>
      </c>
      <c r="C528" s="35" t="str">
        <f>HYPERLINK("\\Elam-pliki\firmowe\BUDIMEX\Projekty\DANWOOD 2017\DE\11 Listopad\12 Kochel 10748","Kochel")</f>
        <v>Kochel</v>
      </c>
      <c r="D528" s="26">
        <v>10748</v>
      </c>
      <c r="E528" s="28" t="s">
        <v>65</v>
      </c>
      <c r="F528" s="28" t="s">
        <v>4</v>
      </c>
      <c r="G528" s="7" t="s">
        <v>67</v>
      </c>
      <c r="H528" s="6"/>
      <c r="I528" s="14" t="s">
        <v>39</v>
      </c>
      <c r="J528" t="s">
        <v>87</v>
      </c>
      <c r="K528" s="6"/>
    </row>
    <row r="529" spans="1:11" ht="15.75" thickBot="1" x14ac:dyDescent="0.3">
      <c r="A529" s="58" t="s">
        <v>85</v>
      </c>
      <c r="B529" s="7">
        <v>13</v>
      </c>
      <c r="C529" s="39" t="str">
        <f>HYPERLINK("\\Elam-pliki\firmowe\BUDIMEX\Projekty\DANWOOD 2017\DE\11 Listopad\13 Schuber 11918","Schuber")</f>
        <v>Schuber</v>
      </c>
      <c r="D529" s="7">
        <v>11918</v>
      </c>
      <c r="E529" s="6" t="s">
        <v>68</v>
      </c>
      <c r="F529" s="6" t="s">
        <v>4</v>
      </c>
      <c r="G529" s="7" t="s">
        <v>57</v>
      </c>
      <c r="H529" s="6"/>
      <c r="I529" s="14" t="s">
        <v>42</v>
      </c>
      <c r="J529" t="s">
        <v>87</v>
      </c>
      <c r="K529" s="37" t="s">
        <v>3</v>
      </c>
    </row>
    <row r="530" spans="1:11" ht="15.75" thickBot="1" x14ac:dyDescent="0.3">
      <c r="A530" s="58" t="s">
        <v>85</v>
      </c>
      <c r="B530" s="26">
        <v>14</v>
      </c>
      <c r="C530" s="35" t="str">
        <f>HYPERLINK("\\Elam-pliki\firmowe\BUDIMEX\Projekty\DANWOOD 2017\DE\11 Listopad\14 Breitling 10314","Breitling")</f>
        <v>Breitling</v>
      </c>
      <c r="D530" s="26">
        <v>10314</v>
      </c>
      <c r="E530" s="28" t="s">
        <v>15</v>
      </c>
      <c r="F530" s="28" t="s">
        <v>4</v>
      </c>
      <c r="G530" s="7" t="s">
        <v>55</v>
      </c>
      <c r="H530" s="6"/>
      <c r="I530" s="14" t="s">
        <v>42</v>
      </c>
      <c r="J530" t="s">
        <v>157</v>
      </c>
      <c r="K530" s="6"/>
    </row>
    <row r="531" spans="1:11" ht="15.75" thickBot="1" x14ac:dyDescent="0.3">
      <c r="A531" s="58" t="s">
        <v>85</v>
      </c>
      <c r="B531" s="26">
        <v>15</v>
      </c>
      <c r="C531" s="35" t="str">
        <f>HYPERLINK("\\Elam-pliki\firmowe\BUDIMEX\Projekty\DANWOOD 2017\DE\11 Listopad\15 Gref 10523","Gref")</f>
        <v>Gref</v>
      </c>
      <c r="D531" s="26">
        <v>10523</v>
      </c>
      <c r="E531" s="28" t="s">
        <v>15</v>
      </c>
      <c r="F531" s="28" t="s">
        <v>4</v>
      </c>
      <c r="G531" s="7" t="s">
        <v>35</v>
      </c>
      <c r="H531" s="6"/>
      <c r="I531" s="14" t="s">
        <v>41</v>
      </c>
      <c r="J531" t="s">
        <v>92</v>
      </c>
      <c r="K531" s="6"/>
    </row>
    <row r="532" spans="1:11" ht="15.75" thickBot="1" x14ac:dyDescent="0.3">
      <c r="A532" s="58" t="s">
        <v>85</v>
      </c>
      <c r="B532" s="7">
        <v>16</v>
      </c>
      <c r="C532" s="39" t="str">
        <f>HYPERLINK("\\Elam-pliki\firmowe\BUDIMEX\Projekty\DANWOOD 2017\DE\11 Listopad\16 Stimpfle 10866","Stimpfle")</f>
        <v>Stimpfle</v>
      </c>
      <c r="D532" s="7">
        <v>10866</v>
      </c>
      <c r="E532" s="6"/>
      <c r="F532" s="6"/>
      <c r="G532" s="7" t="s">
        <v>20</v>
      </c>
      <c r="H532" s="6"/>
      <c r="I532" s="14" t="s">
        <v>39</v>
      </c>
      <c r="J532" t="s">
        <v>87</v>
      </c>
      <c r="K532" s="6"/>
    </row>
    <row r="533" spans="1:11" ht="15.75" thickBot="1" x14ac:dyDescent="0.3">
      <c r="A533" s="58" t="s">
        <v>85</v>
      </c>
      <c r="B533" s="7">
        <v>17</v>
      </c>
      <c r="C533" s="39" t="str">
        <f>HYPERLINK("\\Elam-pliki\firmowe\BUDIMEX\Projekty\DANWOOD 2017\DE\11 Listopad\17 Risto 10334","Risto")</f>
        <v>Risto</v>
      </c>
      <c r="D533" s="7">
        <v>10334</v>
      </c>
      <c r="E533" s="6"/>
      <c r="F533" s="6"/>
      <c r="G533" s="7" t="s">
        <v>35</v>
      </c>
      <c r="H533" s="6"/>
      <c r="I533" s="14" t="s">
        <v>39</v>
      </c>
      <c r="J533" t="s">
        <v>87</v>
      </c>
      <c r="K533" s="6"/>
    </row>
    <row r="534" spans="1:11" ht="15.75" thickBot="1" x14ac:dyDescent="0.3">
      <c r="A534" s="58" t="s">
        <v>85</v>
      </c>
      <c r="B534" s="7">
        <v>18</v>
      </c>
      <c r="C534" s="39" t="str">
        <f>HYPERLINK("\\Elam-pliki\firmowe\BUDIMEX\Projekty\DANWOOD 2017\DE\11 Listopad\18 Traute 10269","Traute")</f>
        <v>Traute</v>
      </c>
      <c r="D534" s="7">
        <v>10269</v>
      </c>
      <c r="E534" s="6"/>
      <c r="F534" s="6"/>
      <c r="G534" s="7" t="s">
        <v>35</v>
      </c>
      <c r="H534" s="6"/>
      <c r="I534" s="14" t="s">
        <v>39</v>
      </c>
      <c r="J534" t="s">
        <v>87</v>
      </c>
      <c r="K534" s="6"/>
    </row>
    <row r="535" spans="1:11" ht="15.75" thickBot="1" x14ac:dyDescent="0.3">
      <c r="A535" s="58" t="s">
        <v>85</v>
      </c>
      <c r="B535" s="26">
        <v>19</v>
      </c>
      <c r="C535" s="35" t="str">
        <f>HYPERLINK("\\Elam-pliki\firmowe\BUDIMEX\Projekty\DANWOOD 2017\DE\11 Listopad\19 Henschel 9398","Henschel")</f>
        <v>Henschel</v>
      </c>
      <c r="D535" s="26">
        <v>9398</v>
      </c>
      <c r="E535" s="28" t="s">
        <v>15</v>
      </c>
      <c r="F535" s="28" t="s">
        <v>4</v>
      </c>
      <c r="G535" s="7" t="s">
        <v>19</v>
      </c>
      <c r="H535" s="6"/>
      <c r="I535" s="14" t="s">
        <v>41</v>
      </c>
      <c r="J535" t="s">
        <v>92</v>
      </c>
      <c r="K535" s="6"/>
    </row>
    <row r="536" spans="1:11" ht="15.75" thickBot="1" x14ac:dyDescent="0.3">
      <c r="A536" s="58" t="s">
        <v>85</v>
      </c>
      <c r="B536" s="7">
        <v>20</v>
      </c>
      <c r="C536" s="39" t="str">
        <f>HYPERLINK("\\Elam-pliki\firmowe\BUDIMEX\Projekty\DANWOOD 2017\DE\11 Listopad\20 Morocutti 11645","Morocutti")</f>
        <v>Morocutti</v>
      </c>
      <c r="D536" s="7">
        <v>11645</v>
      </c>
      <c r="E536" s="45" t="s">
        <v>5</v>
      </c>
      <c r="F536" s="6"/>
      <c r="G536" s="7" t="s">
        <v>21</v>
      </c>
      <c r="H536" s="6"/>
      <c r="I536" s="14" t="s">
        <v>42</v>
      </c>
      <c r="J536" t="s">
        <v>87</v>
      </c>
      <c r="K536" s="37" t="s">
        <v>3</v>
      </c>
    </row>
    <row r="537" spans="1:11" ht="15.75" thickBot="1" x14ac:dyDescent="0.3">
      <c r="A537" s="58" t="s">
        <v>85</v>
      </c>
      <c r="B537" s="7">
        <v>21</v>
      </c>
      <c r="C537" s="39" t="str">
        <f>HYPERLINK("\\Elam-pliki\firmowe\BUDIMEX\Projekty\DANWOOD 2017\DE\11 Listopad\21 Durst 12160","Durst")</f>
        <v>Durst</v>
      </c>
      <c r="D537" s="7">
        <v>12160</v>
      </c>
      <c r="E537" s="45" t="s">
        <v>5</v>
      </c>
      <c r="F537" s="6"/>
      <c r="G537" s="7" t="s">
        <v>57</v>
      </c>
      <c r="H537" s="6"/>
      <c r="I537" s="14" t="s">
        <v>42</v>
      </c>
      <c r="J537" t="s">
        <v>87</v>
      </c>
      <c r="K537" s="37" t="s">
        <v>3</v>
      </c>
    </row>
    <row r="538" spans="1:11" ht="15.75" thickBot="1" x14ac:dyDescent="0.3">
      <c r="A538" s="58" t="s">
        <v>85</v>
      </c>
      <c r="B538" s="26">
        <v>22</v>
      </c>
      <c r="C538" s="35" t="str">
        <f>HYPERLINK("\\Elam-pliki\firmowe\BUDIMEX\Projekty\DANWOOD 2017\DE\11 Listopad\22 Price 11482","Price")</f>
        <v>Price</v>
      </c>
      <c r="D538" s="26">
        <v>11482</v>
      </c>
      <c r="E538" s="49" t="s">
        <v>5</v>
      </c>
      <c r="F538" s="28" t="s">
        <v>4</v>
      </c>
      <c r="G538" s="7" t="s">
        <v>23</v>
      </c>
      <c r="H538" s="6" t="s">
        <v>0</v>
      </c>
      <c r="I538" s="14" t="s">
        <v>41</v>
      </c>
      <c r="J538" t="s">
        <v>87</v>
      </c>
      <c r="K538" s="37" t="s">
        <v>6</v>
      </c>
    </row>
    <row r="539" spans="1:11" ht="15.75" thickBot="1" x14ac:dyDescent="0.3">
      <c r="A539" s="58" t="s">
        <v>85</v>
      </c>
      <c r="B539" s="7">
        <v>23</v>
      </c>
      <c r="C539" s="39" t="str">
        <f>HYPERLINK("\\Elam-pliki\firmowe\BUDIMEX\Projekty\DANWOOD 2017\DE\11 Listopad\23 Bartz 10749","Bartz")</f>
        <v>Bartz</v>
      </c>
      <c r="D539" s="7">
        <v>10749</v>
      </c>
      <c r="E539" s="6"/>
      <c r="F539" s="6"/>
      <c r="G539" s="7" t="s">
        <v>35</v>
      </c>
      <c r="H539" s="6"/>
      <c r="I539" s="14" t="s">
        <v>42</v>
      </c>
      <c r="J539" t="s">
        <v>87</v>
      </c>
      <c r="K539" s="6"/>
    </row>
    <row r="540" spans="1:11" ht="15.75" thickBot="1" x14ac:dyDescent="0.3">
      <c r="A540" s="58" t="s">
        <v>85</v>
      </c>
      <c r="B540" s="7">
        <v>24</v>
      </c>
      <c r="C540" s="39" t="str">
        <f>HYPERLINK("\\Elam-pliki\firmowe\BUDIMEX\Projekty\DANWOOD 2017\DE\11 Listopad\24 Marschall 11389","Marschall")</f>
        <v>Marschall</v>
      </c>
      <c r="D540" s="7">
        <v>11389</v>
      </c>
      <c r="E540" s="6"/>
      <c r="F540" s="6"/>
      <c r="G540" s="7" t="s">
        <v>12</v>
      </c>
      <c r="H540" s="6"/>
      <c r="I540" s="14" t="s">
        <v>41</v>
      </c>
      <c r="J540" t="s">
        <v>87</v>
      </c>
      <c r="K540" s="6"/>
    </row>
    <row r="541" spans="1:11" ht="15.75" thickBot="1" x14ac:dyDescent="0.3">
      <c r="A541" s="58" t="s">
        <v>85</v>
      </c>
      <c r="B541" s="26">
        <v>25</v>
      </c>
      <c r="C541" s="35" t="str">
        <f>HYPERLINK("\\Elam-pliki\firmowe\BUDIMEX\Projekty\DANWOOD 2017\DE\11 Listopad\25 Böhm Robert 9525","Böhm Robert")</f>
        <v>Böhm Robert</v>
      </c>
      <c r="D541" s="26">
        <v>9525</v>
      </c>
      <c r="E541" s="28" t="s">
        <v>15</v>
      </c>
      <c r="F541" s="28" t="s">
        <v>4</v>
      </c>
      <c r="G541" s="7" t="s">
        <v>11</v>
      </c>
      <c r="H541" s="6"/>
      <c r="I541" s="14" t="s">
        <v>39</v>
      </c>
      <c r="J541" t="s">
        <v>87</v>
      </c>
      <c r="K541" s="6"/>
    </row>
    <row r="542" spans="1:11" ht="15.75" thickBot="1" x14ac:dyDescent="0.3">
      <c r="A542" s="58" t="s">
        <v>85</v>
      </c>
      <c r="B542" s="26">
        <v>26</v>
      </c>
      <c r="C542" s="35" t="str">
        <f>HYPERLINK("\\Elam-pliki\firmowe\BUDIMEX\Projekty\DANWOOD 2017\DE\11 Listopad\26 Köhler Kuntze 12092","Köhler Kuntze")</f>
        <v>Köhler Kuntze</v>
      </c>
      <c r="D542" s="26">
        <v>12092</v>
      </c>
      <c r="E542" s="28"/>
      <c r="F542" s="28" t="s">
        <v>4</v>
      </c>
      <c r="G542" s="7" t="s">
        <v>30</v>
      </c>
      <c r="H542" s="6"/>
      <c r="I542" s="14" t="s">
        <v>39</v>
      </c>
      <c r="J542" t="s">
        <v>87</v>
      </c>
      <c r="K542" s="6"/>
    </row>
    <row r="543" spans="1:11" ht="15.75" thickBot="1" x14ac:dyDescent="0.3">
      <c r="A543" s="58" t="s">
        <v>85</v>
      </c>
      <c r="B543" s="26">
        <v>27</v>
      </c>
      <c r="C543" s="35" t="str">
        <f>HYPERLINK("\\Elam-pliki\firmowe\BUDIMEX\Projekty\DANWOOD 2017\DE\11 Listopad\27 Hollwedel Sascha 11449","Hollwedel Sascha")</f>
        <v>Hollwedel Sascha</v>
      </c>
      <c r="D543" s="26">
        <v>11449</v>
      </c>
      <c r="E543" s="28" t="s">
        <v>15</v>
      </c>
      <c r="F543" s="28" t="s">
        <v>4</v>
      </c>
      <c r="G543" s="7" t="s">
        <v>36</v>
      </c>
      <c r="H543" s="6"/>
      <c r="I543" s="14" t="s">
        <v>42</v>
      </c>
      <c r="J543" t="s">
        <v>87</v>
      </c>
      <c r="K543" s="6"/>
    </row>
    <row r="544" spans="1:11" ht="15.75" thickBot="1" x14ac:dyDescent="0.3">
      <c r="A544" s="58" t="s">
        <v>85</v>
      </c>
      <c r="B544" s="7">
        <v>28</v>
      </c>
      <c r="C544" s="39" t="str">
        <f>HYPERLINK("\\Elam-pliki\firmowe\BUDIMEX\Projekty\DANWOOD 2017\DE\11 Listopad\28 Lechner Hirschler 11655","Lechner Hirschler")</f>
        <v>Lechner Hirschler</v>
      </c>
      <c r="D544" s="7">
        <v>11655</v>
      </c>
      <c r="E544" s="45" t="s">
        <v>69</v>
      </c>
      <c r="F544" s="6"/>
      <c r="G544" s="7" t="s">
        <v>21</v>
      </c>
      <c r="H544" s="6"/>
      <c r="I544" s="14" t="s">
        <v>39</v>
      </c>
      <c r="J544" t="s">
        <v>87</v>
      </c>
      <c r="K544" s="37" t="s">
        <v>3</v>
      </c>
    </row>
    <row r="545" spans="1:11" ht="15.75" thickBot="1" x14ac:dyDescent="0.3">
      <c r="A545" s="58" t="s">
        <v>85</v>
      </c>
      <c r="B545" s="26">
        <v>29</v>
      </c>
      <c r="C545" s="35" t="str">
        <f>HYPERLINK("\\Elam-pliki\firmowe\BUDIMEX\Projekty\DANWOOD 2017\DE\11 Listopad\29 Zenger 10303","Zenger")</f>
        <v>Zenger</v>
      </c>
      <c r="D545" s="26">
        <v>10303</v>
      </c>
      <c r="E545" s="28" t="s">
        <v>15</v>
      </c>
      <c r="F545" s="28" t="s">
        <v>4</v>
      </c>
      <c r="G545" s="7" t="s">
        <v>59</v>
      </c>
      <c r="H545" s="6"/>
      <c r="I545" s="14" t="s">
        <v>42</v>
      </c>
      <c r="J545" t="s">
        <v>158</v>
      </c>
      <c r="K545" s="6"/>
    </row>
    <row r="546" spans="1:11" ht="15.75" thickBot="1" x14ac:dyDescent="0.3">
      <c r="A546" s="58" t="s">
        <v>85</v>
      </c>
      <c r="B546" s="26">
        <v>30</v>
      </c>
      <c r="C546" s="35" t="str">
        <f>HYPERLINK("\\Elam-pliki\firmowe\BUDIMEX\Projekty\DANWOOD 2017\DE\11 Listopad\30 Müller Stefan 10861","Müller Stefan")</f>
        <v>Müller Stefan</v>
      </c>
      <c r="D546" s="26">
        <v>10861</v>
      </c>
      <c r="E546" s="28" t="s">
        <v>15</v>
      </c>
      <c r="F546" s="28" t="s">
        <v>4</v>
      </c>
      <c r="G546" s="7" t="s">
        <v>59</v>
      </c>
      <c r="H546" s="6"/>
      <c r="I546" s="14" t="s">
        <v>41</v>
      </c>
      <c r="J546" t="s">
        <v>92</v>
      </c>
      <c r="K546" s="6"/>
    </row>
    <row r="547" spans="1:11" ht="15.75" thickBot="1" x14ac:dyDescent="0.3">
      <c r="A547" s="58" t="s">
        <v>85</v>
      </c>
      <c r="B547" s="7">
        <v>31</v>
      </c>
      <c r="C547" s="39" t="str">
        <f>HYPERLINK("\\Elam-pliki\firmowe\BUDIMEX\Projekty\DANWOOD 2017\DE\11 Listopad\31 Buresch 11383","Buresch")</f>
        <v>Buresch</v>
      </c>
      <c r="D547" s="7">
        <v>11383</v>
      </c>
      <c r="E547" s="6"/>
      <c r="F547" s="6"/>
      <c r="G547" s="7" t="s">
        <v>35</v>
      </c>
      <c r="H547" s="6"/>
      <c r="I547" s="14" t="s">
        <v>39</v>
      </c>
      <c r="J547" t="s">
        <v>87</v>
      </c>
      <c r="K547" s="6"/>
    </row>
    <row r="548" spans="1:11" ht="15.75" thickBot="1" x14ac:dyDescent="0.3">
      <c r="A548" s="58" t="s">
        <v>85</v>
      </c>
      <c r="B548" s="7">
        <v>32</v>
      </c>
      <c r="C548" s="39" t="str">
        <f>HYPERLINK("\\Elam-pliki\firmowe\BUDIMEX\Projekty\DANWOOD 2017\DE\11 Listopad\32 Enkelmann 10379","Enkelmann")</f>
        <v>Enkelmann</v>
      </c>
      <c r="D548" s="7">
        <v>10379</v>
      </c>
      <c r="E548" s="6"/>
      <c r="F548" s="6"/>
      <c r="G548" s="7" t="s">
        <v>10</v>
      </c>
      <c r="H548" s="6"/>
      <c r="I548" s="14" t="s">
        <v>39</v>
      </c>
      <c r="J548" t="s">
        <v>145</v>
      </c>
      <c r="K548" s="6"/>
    </row>
    <row r="549" spans="1:11" ht="15.75" thickBot="1" x14ac:dyDescent="0.3">
      <c r="A549" s="58" t="s">
        <v>85</v>
      </c>
      <c r="B549" s="7">
        <v>33</v>
      </c>
      <c r="C549" s="39" t="str">
        <f>HYPERLINK("\\Elam-pliki\firmowe\BUDIMEX\Projekty\DANWOOD 2017\DE\11 Listopad\33 Nguyen 12613","Nguyen")</f>
        <v>Nguyen</v>
      </c>
      <c r="D549" s="7">
        <v>12613</v>
      </c>
      <c r="E549" s="45" t="s">
        <v>5</v>
      </c>
      <c r="F549" s="6"/>
      <c r="G549" s="7" t="s">
        <v>7</v>
      </c>
      <c r="H549" s="6"/>
      <c r="I549" s="14" t="s">
        <v>42</v>
      </c>
      <c r="J549" t="s">
        <v>87</v>
      </c>
      <c r="K549" s="37" t="s">
        <v>2</v>
      </c>
    </row>
    <row r="550" spans="1:11" ht="15.75" thickBot="1" x14ac:dyDescent="0.3">
      <c r="A550" s="58" t="s">
        <v>85</v>
      </c>
      <c r="B550" s="26">
        <v>34</v>
      </c>
      <c r="C550" s="35" t="str">
        <f>HYPERLINK("\\Elam-pliki\firmowe\BUDIMEX\Projekty\DANWOOD 2017\DE\11 Listopad\34 Riddell 10032","Riddell")</f>
        <v>Riddell</v>
      </c>
      <c r="D550" s="26">
        <v>10032</v>
      </c>
      <c r="E550" s="28" t="s">
        <v>15</v>
      </c>
      <c r="F550" s="28" t="s">
        <v>4</v>
      </c>
      <c r="G550" s="7" t="s">
        <v>70</v>
      </c>
      <c r="H550" s="6" t="s">
        <v>0</v>
      </c>
      <c r="I550" s="14" t="s">
        <v>41</v>
      </c>
      <c r="J550" t="s">
        <v>87</v>
      </c>
      <c r="K550" s="37" t="s">
        <v>6</v>
      </c>
    </row>
    <row r="551" spans="1:11" ht="15.75" thickBot="1" x14ac:dyDescent="0.3">
      <c r="A551" s="58" t="s">
        <v>85</v>
      </c>
      <c r="B551" s="7">
        <v>35</v>
      </c>
      <c r="C551" s="39" t="str">
        <f>HYPERLINK("\\Elam-pliki\firmowe\BUDIMEX\Projekty\DANWOOD 2017\DE\11 Listopad\35 Heier 10513","Heier")</f>
        <v>Heier</v>
      </c>
      <c r="D551" s="7">
        <v>10513</v>
      </c>
      <c r="E551" s="6"/>
      <c r="F551" s="6"/>
      <c r="G551" s="7" t="s">
        <v>27</v>
      </c>
      <c r="H551" s="6"/>
      <c r="I551" s="14" t="s">
        <v>42</v>
      </c>
      <c r="J551" t="s">
        <v>87</v>
      </c>
      <c r="K551" s="6"/>
    </row>
    <row r="552" spans="1:11" ht="15.75" thickBot="1" x14ac:dyDescent="0.3">
      <c r="A552" s="58" t="s">
        <v>85</v>
      </c>
      <c r="B552" s="7">
        <v>36</v>
      </c>
      <c r="C552" s="39" t="str">
        <f>HYPERLINK("\\Elam-pliki\firmowe\BUDIMEX\Projekty\DANWOOD 2017\DE\11 Listopad\36 Ruckgaber 10491","Ruckgaber")</f>
        <v>Ruckgaber</v>
      </c>
      <c r="D552" s="7">
        <v>10491</v>
      </c>
      <c r="E552" s="6"/>
      <c r="F552" s="6"/>
      <c r="G552" s="7" t="s">
        <v>17</v>
      </c>
      <c r="H552" s="6"/>
      <c r="I552" s="14" t="s">
        <v>39</v>
      </c>
      <c r="J552" t="s">
        <v>87</v>
      </c>
      <c r="K552" s="6"/>
    </row>
    <row r="553" spans="1:11" ht="15.75" thickBot="1" x14ac:dyDescent="0.3">
      <c r="A553" s="58" t="s">
        <v>85</v>
      </c>
      <c r="B553" s="26">
        <v>37</v>
      </c>
      <c r="C553" s="35" t="str">
        <f>HYPERLINK("\\Elam-pliki\firmowe\BUDIMEX\Projekty\DANWOOD 2017\DE\11 Listopad\37 Jüttner 10669","Jüttner")</f>
        <v>Jüttner</v>
      </c>
      <c r="D553" s="26">
        <v>10669</v>
      </c>
      <c r="E553" s="28" t="s">
        <v>15</v>
      </c>
      <c r="F553" s="28" t="s">
        <v>4</v>
      </c>
      <c r="G553" s="7" t="s">
        <v>9</v>
      </c>
      <c r="H553" s="6"/>
      <c r="I553" s="14" t="s">
        <v>39</v>
      </c>
      <c r="J553" t="s">
        <v>87</v>
      </c>
      <c r="K553" s="6"/>
    </row>
    <row r="554" spans="1:11" ht="15.75" thickBot="1" x14ac:dyDescent="0.3">
      <c r="A554" s="58" t="s">
        <v>85</v>
      </c>
      <c r="B554" s="7">
        <v>38</v>
      </c>
      <c r="C554" s="39" t="str">
        <f>HYPERLINK("\\Elam-pliki\firmowe\BUDIMEX\Projekty\DANWOOD 2017\DE\11 Listopad\38 Wagner Benjamin 11823","Wagner Benjamin")</f>
        <v>Wagner Benjamin</v>
      </c>
      <c r="D554" s="7">
        <v>11823</v>
      </c>
      <c r="E554" s="6"/>
      <c r="F554" s="6"/>
      <c r="G554" s="7" t="s">
        <v>30</v>
      </c>
      <c r="H554" s="6"/>
      <c r="I554" s="14" t="s">
        <v>42</v>
      </c>
      <c r="J554" t="s">
        <v>87</v>
      </c>
      <c r="K554" s="6"/>
    </row>
    <row r="555" spans="1:11" ht="15.75" thickBot="1" x14ac:dyDescent="0.3">
      <c r="A555" s="58" t="s">
        <v>85</v>
      </c>
      <c r="B555" s="26">
        <v>39</v>
      </c>
      <c r="C555" s="35" t="str">
        <f>HYPERLINK("\\Elam-pliki\firmowe\BUDIMEX\Projekty\DANWOOD 2017\DE\11 Listopad\39 Nock Alexander 10243","Nock Alexander")</f>
        <v>Nock Alexander</v>
      </c>
      <c r="D555" s="26">
        <v>10243</v>
      </c>
      <c r="E555" s="28" t="s">
        <v>15</v>
      </c>
      <c r="F555" s="28" t="s">
        <v>4</v>
      </c>
      <c r="G555" s="7" t="s">
        <v>62</v>
      </c>
      <c r="H555" s="6"/>
      <c r="I555" s="14" t="s">
        <v>41</v>
      </c>
      <c r="J555" t="s">
        <v>92</v>
      </c>
      <c r="K555" s="6"/>
    </row>
    <row r="556" spans="1:11" ht="15.75" thickBot="1" x14ac:dyDescent="0.3">
      <c r="A556" s="58" t="s">
        <v>85</v>
      </c>
      <c r="B556" s="26">
        <v>40</v>
      </c>
      <c r="C556" s="35" t="str">
        <f>HYPERLINK("\\Elam-pliki\firmowe\BUDIMEX\Projekty\DANWOOD 2017\DE\11 Listopad\40 Rüdiger Alexander 10375","Rüdiger Alexander")</f>
        <v>Rüdiger Alexander</v>
      </c>
      <c r="D556" s="26">
        <v>10375</v>
      </c>
      <c r="E556" s="28" t="s">
        <v>15</v>
      </c>
      <c r="F556" s="28" t="s">
        <v>4</v>
      </c>
      <c r="G556" s="7" t="s">
        <v>71</v>
      </c>
      <c r="H556" s="6"/>
      <c r="I556" s="14" t="s">
        <v>42</v>
      </c>
      <c r="J556" t="s">
        <v>92</v>
      </c>
      <c r="K556" s="6"/>
    </row>
    <row r="557" spans="1:11" ht="15.75" thickBot="1" x14ac:dyDescent="0.3">
      <c r="A557" s="58" t="s">
        <v>85</v>
      </c>
      <c r="B557" s="26">
        <v>41</v>
      </c>
      <c r="C557" s="35" t="str">
        <f>HYPERLINK("\\Elam-pliki\firmowe\BUDIMEX\Projekty\DANWOOD 2017\DE\11 Listopad\41 Kmiecik 11463","Kmiecik")</f>
        <v>Kmiecik</v>
      </c>
      <c r="D557" s="26">
        <v>11463</v>
      </c>
      <c r="E557" s="28" t="s">
        <v>15</v>
      </c>
      <c r="F557" s="28" t="s">
        <v>4</v>
      </c>
      <c r="G557" s="7" t="s">
        <v>26</v>
      </c>
      <c r="H557" s="6"/>
      <c r="I557" s="14" t="s">
        <v>39</v>
      </c>
      <c r="J557" t="s">
        <v>92</v>
      </c>
      <c r="K557" s="6"/>
    </row>
    <row r="558" spans="1:11" ht="15.75" thickBot="1" x14ac:dyDescent="0.3">
      <c r="A558" s="58" t="s">
        <v>85</v>
      </c>
      <c r="B558" s="7">
        <v>42</v>
      </c>
      <c r="C558" s="39" t="str">
        <f>HYPERLINK("\\Elam-pliki\firmowe\BUDIMEX\Projekty\DANWOOD 2017\DE\11 Listopad\42 Bleuer 12612","Bleuer")</f>
        <v>Bleuer</v>
      </c>
      <c r="D558" s="7">
        <v>12612</v>
      </c>
      <c r="E558" s="45" t="s">
        <v>5</v>
      </c>
      <c r="F558" s="6"/>
      <c r="G558" s="7" t="s">
        <v>21</v>
      </c>
      <c r="H558" s="6"/>
      <c r="I558" s="14" t="s">
        <v>42</v>
      </c>
      <c r="J558" t="s">
        <v>87</v>
      </c>
      <c r="K558" s="37" t="s">
        <v>2</v>
      </c>
    </row>
    <row r="559" spans="1:11" ht="15.75" thickBot="1" x14ac:dyDescent="0.3">
      <c r="A559" s="58" t="s">
        <v>85</v>
      </c>
      <c r="B559" s="7">
        <v>43</v>
      </c>
      <c r="C559" s="39" t="str">
        <f>HYPERLINK("\\Elam-pliki\firmowe\BUDIMEX\Projekty\DANWOOD 2017\DE\11 Listopad\43 Kühnel 11796","Kühnel")</f>
        <v>Kühnel</v>
      </c>
      <c r="D559" s="7">
        <v>11796</v>
      </c>
      <c r="E559" s="6"/>
      <c r="F559" s="6"/>
      <c r="G559" s="7" t="s">
        <v>13</v>
      </c>
      <c r="H559" s="6"/>
      <c r="I559" s="14" t="s">
        <v>41</v>
      </c>
      <c r="J559" t="s">
        <v>87</v>
      </c>
      <c r="K559" s="6"/>
    </row>
    <row r="560" spans="1:11" ht="15.75" thickBot="1" x14ac:dyDescent="0.3">
      <c r="A560" s="58" t="s">
        <v>85</v>
      </c>
      <c r="B560" s="11">
        <v>44</v>
      </c>
      <c r="C560" s="39" t="str">
        <f>HYPERLINK("\\Elam-pliki\firmowe\BUDIMEX\Projekty\DANWOOD 2017\DE\11 Listopad\44 Piorun 11553","Piorun")</f>
        <v>Piorun</v>
      </c>
      <c r="D560" s="7">
        <v>11553</v>
      </c>
      <c r="E560" s="6"/>
      <c r="F560" s="6"/>
      <c r="G560" s="7" t="s">
        <v>14</v>
      </c>
      <c r="H560" s="6"/>
      <c r="I560" s="14" t="s">
        <v>39</v>
      </c>
      <c r="J560" t="s">
        <v>92</v>
      </c>
      <c r="K560" s="6"/>
    </row>
    <row r="561" spans="1:11" ht="15.75" thickBot="1" x14ac:dyDescent="0.3">
      <c r="A561" s="58" t="s">
        <v>85</v>
      </c>
      <c r="B561" s="15">
        <v>45</v>
      </c>
      <c r="C561" s="54" t="str">
        <f>HYPERLINK("\\Elam-pliki\firmowe\BUDIMEX\Projekty\DANWOOD 2017\DE\11 Listopad\45 Engel Christopher 11518","Engel Christopher")</f>
        <v>Engel Christopher</v>
      </c>
      <c r="D561" s="9">
        <v>11518</v>
      </c>
      <c r="E561" s="8"/>
      <c r="F561" s="8"/>
      <c r="G561" s="9" t="s">
        <v>13</v>
      </c>
      <c r="H561" s="8"/>
      <c r="I561" s="16" t="s">
        <v>41</v>
      </c>
      <c r="J561" s="3" t="s">
        <v>87</v>
      </c>
      <c r="K561" s="8"/>
    </row>
    <row r="562" spans="1:11" ht="15" customHeight="1" thickBot="1" x14ac:dyDescent="0.3">
      <c r="A562" s="58" t="s">
        <v>86</v>
      </c>
      <c r="B562" s="11">
        <v>1</v>
      </c>
      <c r="C562" s="39" t="str">
        <f>HYPERLINK("\\Elam-pliki\firmowe\BUDIMEX\Projekty\DANWOOD 2017\DE\12 Grudzień\01 Grimm Siebert 10959","Grimm Siebert")</f>
        <v>Grimm Siebert</v>
      </c>
      <c r="D562" s="7">
        <v>10959</v>
      </c>
      <c r="E562" s="6"/>
      <c r="F562" s="6"/>
      <c r="G562" s="7" t="s">
        <v>12</v>
      </c>
      <c r="H562" s="6"/>
      <c r="I562" s="14" t="s">
        <v>42</v>
      </c>
      <c r="J562" t="s">
        <v>87</v>
      </c>
      <c r="K562" s="6"/>
    </row>
    <row r="563" spans="1:11" ht="15.75" thickBot="1" x14ac:dyDescent="0.3">
      <c r="A563" s="58" t="s">
        <v>86</v>
      </c>
      <c r="B563" s="26">
        <v>2</v>
      </c>
      <c r="C563" s="35" t="str">
        <f>HYPERLINK("\\Elam-pliki\firmowe\BUDIMEX\Projekty\DANWOOD 2017\DE\12 Grudzień\02 Wilhelm 9211","Wilhelm")</f>
        <v>Wilhelm</v>
      </c>
      <c r="D563" s="26">
        <v>9211</v>
      </c>
      <c r="E563" s="28" t="s">
        <v>15</v>
      </c>
      <c r="F563" s="28" t="s">
        <v>4</v>
      </c>
      <c r="G563" s="7" t="s">
        <v>67</v>
      </c>
      <c r="H563" s="6"/>
      <c r="I563" s="14" t="s">
        <v>41</v>
      </c>
      <c r="J563" t="s">
        <v>92</v>
      </c>
      <c r="K563" s="6"/>
    </row>
    <row r="564" spans="1:11" ht="15.75" thickBot="1" x14ac:dyDescent="0.3">
      <c r="A564" s="58" t="s">
        <v>86</v>
      </c>
      <c r="B564" s="26">
        <v>3</v>
      </c>
      <c r="C564" s="35" t="str">
        <f>HYPERLINK("\\Elam-pliki\firmowe\BUDIMEX\Projekty\DANWOOD 2017\DE\12 Grudzień\03 Jobst Heimerl 10407","Jobst Heimerl")</f>
        <v>Jobst Heimerl</v>
      </c>
      <c r="D564" s="26">
        <v>10407</v>
      </c>
      <c r="E564" s="28" t="s">
        <v>15</v>
      </c>
      <c r="F564" s="28" t="s">
        <v>4</v>
      </c>
      <c r="G564" s="7" t="s">
        <v>67</v>
      </c>
      <c r="H564" s="6"/>
      <c r="I564" s="14" t="s">
        <v>39</v>
      </c>
      <c r="J564" t="s">
        <v>87</v>
      </c>
      <c r="K564" s="6"/>
    </row>
    <row r="565" spans="1:11" ht="15.75" thickBot="1" x14ac:dyDescent="0.3">
      <c r="A565" s="58" t="s">
        <v>86</v>
      </c>
      <c r="B565" s="26">
        <v>4</v>
      </c>
      <c r="C565" s="35" t="str">
        <f>HYPERLINK("\\Elam-pliki\firmowe\BUDIMEX\Projekty\DANWOOD 2017\DE\12 Grudzień\04 Collins 9707","Collins")</f>
        <v>Collins</v>
      </c>
      <c r="D565" s="26">
        <v>9707</v>
      </c>
      <c r="E565" s="49" t="s">
        <v>5</v>
      </c>
      <c r="F565" s="28" t="s">
        <v>4</v>
      </c>
      <c r="G565" s="7" t="s">
        <v>23</v>
      </c>
      <c r="H565" s="6" t="s">
        <v>0</v>
      </c>
      <c r="I565" s="14" t="s">
        <v>42</v>
      </c>
      <c r="J565" t="s">
        <v>87</v>
      </c>
      <c r="K565" s="37" t="s">
        <v>6</v>
      </c>
    </row>
    <row r="566" spans="1:11" ht="15.75" thickBot="1" x14ac:dyDescent="0.3">
      <c r="A566" s="58" t="s">
        <v>86</v>
      </c>
      <c r="B566" s="26">
        <v>5</v>
      </c>
      <c r="C566" s="35" t="str">
        <f>HYPERLINK("\\Elam-pliki\firmowe\BUDIMEX\Projekty\DANWOOD 2017\DE\12 Grudzień\05 Robinson Rebecca 11159","Robinson Rebecca")</f>
        <v>Robinson Rebecca</v>
      </c>
      <c r="D566" s="26">
        <v>11159</v>
      </c>
      <c r="E566" s="49" t="s">
        <v>72</v>
      </c>
      <c r="F566" s="28" t="s">
        <v>4</v>
      </c>
      <c r="G566" s="7" t="s">
        <v>32</v>
      </c>
      <c r="H566" s="6" t="s">
        <v>0</v>
      </c>
      <c r="I566" s="14" t="s">
        <v>42</v>
      </c>
      <c r="J566" t="s">
        <v>87</v>
      </c>
      <c r="K566" s="37" t="s">
        <v>6</v>
      </c>
    </row>
    <row r="567" spans="1:11" ht="15.75" thickBot="1" x14ac:dyDescent="0.3">
      <c r="A567" s="58" t="s">
        <v>86</v>
      </c>
      <c r="B567" s="26">
        <v>6</v>
      </c>
      <c r="C567" s="35" t="str">
        <f>HYPERLINK("\\Elam-pliki\firmowe\BUDIMEX\Projekty\DANWOOD 2017\DE\12 Grudzień\06 Ruckdeschel 11376","Ruckdeschel")</f>
        <v>Ruckdeschel</v>
      </c>
      <c r="D567" s="26">
        <v>11376</v>
      </c>
      <c r="E567" s="28" t="s">
        <v>15</v>
      </c>
      <c r="F567" s="28" t="s">
        <v>4</v>
      </c>
      <c r="G567" s="7" t="s">
        <v>35</v>
      </c>
      <c r="H567" s="6"/>
      <c r="I567" s="14" t="s">
        <v>42</v>
      </c>
      <c r="J567" t="s">
        <v>87</v>
      </c>
      <c r="K567" s="6"/>
    </row>
    <row r="568" spans="1:11" ht="15.75" thickBot="1" x14ac:dyDescent="0.3">
      <c r="A568" s="58" t="s">
        <v>86</v>
      </c>
      <c r="B568" s="26">
        <v>7</v>
      </c>
      <c r="C568" s="35" t="str">
        <f>HYPERLINK("\\Elam-pliki\firmowe\BUDIMEX\Projekty\DANWOOD 2017\DE\12 Grudzień\07 Schwabauer 11404","Schwabauer")</f>
        <v>Schwabauer</v>
      </c>
      <c r="D568" s="26">
        <v>11404</v>
      </c>
      <c r="E568" s="28" t="s">
        <v>15</v>
      </c>
      <c r="F568" s="28" t="s">
        <v>4</v>
      </c>
      <c r="G568" s="7" t="s">
        <v>35</v>
      </c>
      <c r="H568" s="6"/>
      <c r="I568" s="14" t="s">
        <v>42</v>
      </c>
      <c r="J568" t="s">
        <v>87</v>
      </c>
      <c r="K568" s="6"/>
    </row>
    <row r="569" spans="1:11" ht="15.75" thickBot="1" x14ac:dyDescent="0.3">
      <c r="A569" s="58" t="s">
        <v>86</v>
      </c>
      <c r="B569" s="11">
        <v>8</v>
      </c>
      <c r="C569" s="39" t="str">
        <f>HYPERLINK("\\Elam-pliki\firmowe\BUDIMEX\Projekty\DANWOOD 2017\DE\12 Grudzień\08 Frohlich 11326","Frohlich")</f>
        <v>Frohlich</v>
      </c>
      <c r="D569" s="7">
        <v>11326</v>
      </c>
      <c r="E569" s="6"/>
      <c r="F569" s="6"/>
      <c r="G569" s="7" t="s">
        <v>8</v>
      </c>
      <c r="H569" s="6"/>
      <c r="I569" s="14" t="s">
        <v>42</v>
      </c>
      <c r="J569" t="s">
        <v>87</v>
      </c>
      <c r="K569" s="6"/>
    </row>
    <row r="570" spans="1:11" ht="15.75" thickBot="1" x14ac:dyDescent="0.3">
      <c r="A570" s="58" t="s">
        <v>86</v>
      </c>
      <c r="B570" s="26">
        <v>9</v>
      </c>
      <c r="C570" s="35" t="str">
        <f>HYPERLINK("\\Elam-pliki\firmowe\BUDIMEX\Projekty\DANWOOD 2017\DE\12 Grudzień\09 Wagner 10899","Wagner")</f>
        <v>Wagner</v>
      </c>
      <c r="D570" s="26">
        <v>10899</v>
      </c>
      <c r="E570" s="28" t="s">
        <v>15</v>
      </c>
      <c r="F570" s="28" t="s">
        <v>4</v>
      </c>
      <c r="G570" s="7" t="s">
        <v>27</v>
      </c>
      <c r="H570" s="6"/>
      <c r="I570" s="14" t="s">
        <v>39</v>
      </c>
      <c r="J570" t="s">
        <v>92</v>
      </c>
      <c r="K570" s="6"/>
    </row>
    <row r="571" spans="1:11" ht="15.75" thickBot="1" x14ac:dyDescent="0.3">
      <c r="A571" s="58" t="s">
        <v>86</v>
      </c>
      <c r="B571" s="7">
        <v>10</v>
      </c>
      <c r="C571" s="39" t="str">
        <f>HYPERLINK("\\Elam-pliki\firmowe\BUDIMEX\Projekty\DANWOOD 2017\DE\12 Grudzień\10 Weise 10737","Weise")</f>
        <v>Weise</v>
      </c>
      <c r="D571" s="7">
        <v>10737</v>
      </c>
      <c r="E571" s="6"/>
      <c r="F571" s="6"/>
      <c r="G571" s="7" t="s">
        <v>26</v>
      </c>
      <c r="H571" s="6"/>
      <c r="I571" s="14" t="s">
        <v>39</v>
      </c>
      <c r="J571" t="s">
        <v>92</v>
      </c>
      <c r="K571" s="6"/>
    </row>
    <row r="572" spans="1:11" ht="15.75" thickBot="1" x14ac:dyDescent="0.3">
      <c r="A572" s="58" t="s">
        <v>86</v>
      </c>
      <c r="B572" s="11">
        <v>11</v>
      </c>
      <c r="C572" s="39" t="str">
        <f>HYPERLINK("\\Elam-pliki\firmowe\BUDIMEX\Projekty\DANWOOD 2017\DE\12 Grudzień\11 Kirsch Robert 9869","Kirsch Robert")</f>
        <v>Kirsch Robert</v>
      </c>
      <c r="D572" s="7">
        <v>9869</v>
      </c>
      <c r="E572" s="6" t="s">
        <v>15</v>
      </c>
      <c r="F572" s="6" t="s">
        <v>4</v>
      </c>
      <c r="G572" s="7" t="s">
        <v>16</v>
      </c>
      <c r="H572" s="6"/>
      <c r="I572" s="14" t="s">
        <v>41</v>
      </c>
      <c r="J572" t="s">
        <v>87</v>
      </c>
      <c r="K572" s="6"/>
    </row>
    <row r="573" spans="1:11" ht="15.75" thickBot="1" x14ac:dyDescent="0.3">
      <c r="A573" s="58" t="s">
        <v>86</v>
      </c>
      <c r="B573" s="26">
        <v>12</v>
      </c>
      <c r="C573" s="35" t="str">
        <f>HYPERLINK("\\Elam-pliki\firmowe\BUDIMEX\Projekty\DANWOOD 2017\DE\12 Grudzień\12 Kraus 11738","Kraus")</f>
        <v>Kraus</v>
      </c>
      <c r="D573" s="26">
        <v>11738</v>
      </c>
      <c r="E573" s="28" t="s">
        <v>15</v>
      </c>
      <c r="F573" s="28" t="s">
        <v>4</v>
      </c>
      <c r="G573" s="7" t="s">
        <v>11</v>
      </c>
      <c r="H573" s="6"/>
      <c r="I573" s="14" t="s">
        <v>39</v>
      </c>
      <c r="J573" t="s">
        <v>92</v>
      </c>
      <c r="K573" s="6"/>
    </row>
    <row r="574" spans="1:11" ht="15.75" thickBot="1" x14ac:dyDescent="0.3">
      <c r="A574" s="58" t="s">
        <v>86</v>
      </c>
      <c r="B574" s="11">
        <v>13</v>
      </c>
      <c r="C574" s="39" t="str">
        <f>HYPERLINK("\\Elam-pliki\firmowe\BUDIMEX\Projekty\DANWOOD 2017\DE\12 Grudzień\13 Arlitzer 12046","Arlitzer")</f>
        <v>Arlitzer</v>
      </c>
      <c r="D574" s="7">
        <v>12046</v>
      </c>
      <c r="E574" s="45" t="s">
        <v>5</v>
      </c>
      <c r="F574" s="6"/>
      <c r="G574" s="7" t="s">
        <v>7</v>
      </c>
      <c r="H574" s="6"/>
      <c r="I574" s="14" t="s">
        <v>42</v>
      </c>
      <c r="J574" t="s">
        <v>87</v>
      </c>
      <c r="K574" s="37" t="s">
        <v>3</v>
      </c>
    </row>
    <row r="575" spans="1:11" ht="15.75" thickBot="1" x14ac:dyDescent="0.3">
      <c r="A575" s="58" t="s">
        <v>86</v>
      </c>
      <c r="B575" s="26">
        <v>14</v>
      </c>
      <c r="C575" s="35" t="str">
        <f>HYPERLINK("\\Elam-pliki\firmowe\BUDIMEX\Projekty\DANWOOD 2017\DE\12 Grudzień\14 Newman 11657","Newman")</f>
        <v>Newman</v>
      </c>
      <c r="D575" s="26">
        <v>11657</v>
      </c>
      <c r="E575" s="49" t="s">
        <v>5</v>
      </c>
      <c r="F575" s="28" t="s">
        <v>4</v>
      </c>
      <c r="G575" s="7" t="s">
        <v>32</v>
      </c>
      <c r="H575" s="6" t="s">
        <v>0</v>
      </c>
      <c r="I575" s="14" t="s">
        <v>41</v>
      </c>
      <c r="J575" t="s">
        <v>87</v>
      </c>
      <c r="K575" s="37" t="s">
        <v>6</v>
      </c>
    </row>
    <row r="576" spans="1:11" ht="15.75" thickBot="1" x14ac:dyDescent="0.3">
      <c r="A576" s="58" t="s">
        <v>86</v>
      </c>
      <c r="B576" s="7">
        <v>15</v>
      </c>
      <c r="C576" s="39" t="str">
        <f>HYPERLINK("\\Elam-pliki\firmowe\BUDIMEX\Projekty\DANWOOD 2017\DE\12 Grudzień\15 Schandl 12463","Schandl")</f>
        <v>Schandl</v>
      </c>
      <c r="D576" s="7">
        <v>12463</v>
      </c>
      <c r="E576" s="45" t="s">
        <v>72</v>
      </c>
      <c r="F576" s="6"/>
      <c r="G576" s="7" t="s">
        <v>7</v>
      </c>
      <c r="H576" s="6"/>
      <c r="I576" s="14" t="s">
        <v>39</v>
      </c>
      <c r="J576" t="s">
        <v>87</v>
      </c>
      <c r="K576" s="37" t="s">
        <v>3</v>
      </c>
    </row>
    <row r="577" spans="1:11" ht="15.75" thickBot="1" x14ac:dyDescent="0.3">
      <c r="A577" s="58" t="s">
        <v>86</v>
      </c>
      <c r="B577" s="11">
        <v>16</v>
      </c>
      <c r="C577" s="39" t="str">
        <f>HYPERLINK("\\Elam-pliki\firmowe\BUDIMEX\Projekty\DANWOOD 2017\DE\12 Grudzień\16 Bieregger 11712","Bieregger")</f>
        <v>Bieregger</v>
      </c>
      <c r="D577" s="7">
        <v>11712</v>
      </c>
      <c r="E577" s="45" t="s">
        <v>5</v>
      </c>
      <c r="F577" s="6"/>
      <c r="G577" s="7" t="s">
        <v>21</v>
      </c>
      <c r="H577" s="6"/>
      <c r="I577" s="14" t="s">
        <v>42</v>
      </c>
      <c r="J577" t="s">
        <v>87</v>
      </c>
      <c r="K577" s="37" t="s">
        <v>3</v>
      </c>
    </row>
    <row r="578" spans="1:11" ht="15.75" thickBot="1" x14ac:dyDescent="0.3">
      <c r="A578" s="58" t="s">
        <v>86</v>
      </c>
      <c r="B578" s="11">
        <v>17</v>
      </c>
      <c r="C578" s="39" t="str">
        <f>HYPERLINK("\\Elam-pliki\firmowe\BUDIMEX\Projekty\DANWOOD 2017\DE\12 Grudzień\17 Kirkman 10336","Kirkman")</f>
        <v>Kirkman</v>
      </c>
      <c r="D578" s="7">
        <v>10336</v>
      </c>
      <c r="E578" s="45" t="s">
        <v>5</v>
      </c>
      <c r="F578" s="6"/>
      <c r="G578" s="7" t="s">
        <v>32</v>
      </c>
      <c r="H578" s="6"/>
      <c r="I578" s="14" t="s">
        <v>42</v>
      </c>
      <c r="J578" t="s">
        <v>87</v>
      </c>
      <c r="K578" s="37" t="s">
        <v>6</v>
      </c>
    </row>
    <row r="579" spans="1:11" ht="15.75" thickBot="1" x14ac:dyDescent="0.3">
      <c r="A579" s="58" t="s">
        <v>86</v>
      </c>
      <c r="B579" s="26">
        <v>18</v>
      </c>
      <c r="C579" s="35" t="str">
        <f>HYPERLINK("\\Elam-pliki\firmowe\BUDIMEX\Projekty\DANWOOD 2017\DE\12 Grudzień\18 Allmang 11748","Allmang")</f>
        <v>Allmang</v>
      </c>
      <c r="D579" s="26">
        <v>11748</v>
      </c>
      <c r="E579" s="28" t="s">
        <v>15</v>
      </c>
      <c r="F579" s="28" t="s">
        <v>4</v>
      </c>
      <c r="G579" s="7" t="s">
        <v>73</v>
      </c>
      <c r="H579" s="6"/>
      <c r="I579" s="14" t="s">
        <v>42</v>
      </c>
      <c r="J579" t="s">
        <v>87</v>
      </c>
      <c r="K579" s="6"/>
    </row>
    <row r="580" spans="1:11" ht="15.75" thickBot="1" x14ac:dyDescent="0.3">
      <c r="A580" s="58" t="s">
        <v>86</v>
      </c>
      <c r="B580" s="11">
        <v>19</v>
      </c>
      <c r="C580" s="39" t="str">
        <f>HYPERLINK("\\Elam-pliki\firmowe\BUDIMEX\Projekty\DANWOOD 2017\DE\12 Grudzień\19 Arnold Julia 2 10635","Arnold Julia")</f>
        <v>Arnold Julia</v>
      </c>
      <c r="D580" s="7">
        <v>10635</v>
      </c>
      <c r="E580" s="6"/>
      <c r="F580" s="6"/>
      <c r="G580" s="7" t="s">
        <v>30</v>
      </c>
      <c r="H580" s="6"/>
      <c r="I580" s="14" t="s">
        <v>74</v>
      </c>
      <c r="J580" t="s">
        <v>92</v>
      </c>
      <c r="K580" s="6"/>
    </row>
    <row r="581" spans="1:11" ht="15.75" thickBot="1" x14ac:dyDescent="0.3">
      <c r="A581" s="58" t="s">
        <v>86</v>
      </c>
      <c r="B581" s="26">
        <v>20</v>
      </c>
      <c r="C581" s="35" t="str">
        <f>HYPERLINK("\\Elam-pliki\firmowe\BUDIMEX\Projekty\DANWOOD 2017\DE\12 Grudzień\20 Richter Britt 11710","Richter Britt")</f>
        <v>Richter Britt</v>
      </c>
      <c r="D581" s="26">
        <v>11710</v>
      </c>
      <c r="E581" s="28" t="s">
        <v>15</v>
      </c>
      <c r="F581" s="28" t="s">
        <v>4</v>
      </c>
      <c r="G581" s="7" t="s">
        <v>35</v>
      </c>
      <c r="H581" s="6"/>
      <c r="I581" s="14" t="s">
        <v>39</v>
      </c>
      <c r="J581" t="s">
        <v>87</v>
      </c>
      <c r="K581" s="6"/>
    </row>
    <row r="582" spans="1:11" ht="15.75" thickBot="1" x14ac:dyDescent="0.3">
      <c r="A582" s="58" t="s">
        <v>86</v>
      </c>
      <c r="B582" s="11">
        <v>21</v>
      </c>
      <c r="C582" s="39" t="str">
        <f>HYPERLINK("\\Elam-pliki\firmowe\BUDIMEX\Projekty\DANWOOD 2017\DE\12 Grudzień\21 Feuerer Elisabeth 10976","Feuerer Elisabeth")</f>
        <v>Feuerer Elisabeth</v>
      </c>
      <c r="D582" s="7">
        <v>10976</v>
      </c>
      <c r="E582" s="6" t="s">
        <v>15</v>
      </c>
      <c r="F582" s="6" t="s">
        <v>4</v>
      </c>
      <c r="G582" s="7" t="s">
        <v>45</v>
      </c>
      <c r="H582" s="6"/>
      <c r="I582" s="14" t="s">
        <v>41</v>
      </c>
      <c r="J582" t="s">
        <v>92</v>
      </c>
      <c r="K582" s="6"/>
    </row>
    <row r="583" spans="1:11" ht="15.75" thickBot="1" x14ac:dyDescent="0.3">
      <c r="A583" s="58" t="s">
        <v>86</v>
      </c>
      <c r="B583" s="11">
        <v>22</v>
      </c>
      <c r="C583" s="39" t="str">
        <f>HYPERLINK("\\Elam-pliki\firmowe\BUDIMEX\Projekty\DANWOOD 2017\DE\12 Grudzień\22 Holl 10395","Holl")</f>
        <v>Holl</v>
      </c>
      <c r="D583" s="7">
        <v>10395</v>
      </c>
      <c r="E583" s="6" t="s">
        <v>15</v>
      </c>
      <c r="F583" s="6" t="s">
        <v>4</v>
      </c>
      <c r="G583" s="7" t="s">
        <v>13</v>
      </c>
      <c r="H583" s="6"/>
      <c r="I583" s="14" t="s">
        <v>74</v>
      </c>
      <c r="J583" t="s">
        <v>87</v>
      </c>
      <c r="K583" s="6"/>
    </row>
    <row r="584" spans="1:11" ht="15.75" thickBot="1" x14ac:dyDescent="0.3">
      <c r="A584" s="58" t="s">
        <v>86</v>
      </c>
      <c r="B584" s="11">
        <v>23</v>
      </c>
      <c r="C584" s="39" t="str">
        <f>HYPERLINK("\\Elam-pliki\firmowe\BUDIMEX\Projekty\DANWOOD 2017\DE\12 Grudzień\23 Bartzsch 10260","Bartzsch")</f>
        <v>Bartzsch</v>
      </c>
      <c r="D584" s="7">
        <v>10260</v>
      </c>
      <c r="E584" s="6" t="s">
        <v>15</v>
      </c>
      <c r="F584" s="6" t="s">
        <v>4</v>
      </c>
      <c r="G584" s="7" t="s">
        <v>51</v>
      </c>
      <c r="H584" s="6"/>
      <c r="I584" s="14"/>
      <c r="J584" t="s">
        <v>92</v>
      </c>
      <c r="K584" s="6"/>
    </row>
    <row r="585" spans="1:11" ht="15.75" thickBot="1" x14ac:dyDescent="0.3">
      <c r="A585" s="58" t="s">
        <v>86</v>
      </c>
      <c r="B585" s="11">
        <v>24</v>
      </c>
      <c r="C585" s="39" t="str">
        <f>HYPERLINK("\\Elam-pliki\firmowe\BUDIMEX\Projekty\DANWOOD 2017\DE\12 Grudzień\24 Grolik 10954","Grolik")</f>
        <v>Grolik</v>
      </c>
      <c r="D585" s="7">
        <v>10954</v>
      </c>
      <c r="E585" s="6" t="s">
        <v>15</v>
      </c>
      <c r="F585" s="6" t="s">
        <v>4</v>
      </c>
      <c r="G585" s="7" t="s">
        <v>45</v>
      </c>
      <c r="H585" s="6"/>
      <c r="I585" s="14"/>
      <c r="J585" t="s">
        <v>87</v>
      </c>
      <c r="K585" s="6"/>
    </row>
    <row r="586" spans="1:11" ht="15.75" thickBot="1" x14ac:dyDescent="0.3">
      <c r="A586" s="58" t="s">
        <v>86</v>
      </c>
      <c r="B586" s="7">
        <v>25</v>
      </c>
      <c r="C586" s="39" t="str">
        <f>HYPERLINK("\\Elam-pliki\firmowe\BUDIMEX\Projekty\DANWOOD 2017\DE\12 Grudzień\25 Freistedt 11641","Freistedt")</f>
        <v>Freistedt</v>
      </c>
      <c r="D586" s="7">
        <v>11641</v>
      </c>
      <c r="E586" s="45" t="s">
        <v>5</v>
      </c>
      <c r="F586" s="6"/>
      <c r="G586" s="7" t="s">
        <v>7</v>
      </c>
      <c r="H586" s="6"/>
      <c r="I586" s="14"/>
      <c r="J586" t="s">
        <v>87</v>
      </c>
      <c r="K586" s="37" t="s">
        <v>6</v>
      </c>
    </row>
    <row r="587" spans="1:11" ht="15.75" thickBot="1" x14ac:dyDescent="0.3">
      <c r="A587" s="58" t="s">
        <v>86</v>
      </c>
      <c r="B587" s="11">
        <v>26</v>
      </c>
      <c r="C587" s="39" t="str">
        <f>HYPERLINK("\\Elam-pliki\firmowe\BUDIMEX\Projekty\DANWOOD 2017\DE\12 Grudzień\26 Benz 9627","Benz")</f>
        <v>Benz</v>
      </c>
      <c r="D587" s="7">
        <v>9627</v>
      </c>
      <c r="E587" s="6" t="s">
        <v>15</v>
      </c>
      <c r="F587" s="6" t="s">
        <v>4</v>
      </c>
      <c r="G587" s="7" t="s">
        <v>17</v>
      </c>
      <c r="H587" s="6"/>
      <c r="I587" s="14"/>
      <c r="J587" t="s">
        <v>92</v>
      </c>
      <c r="K587" s="6"/>
    </row>
    <row r="588" spans="1:11" x14ac:dyDescent="0.25">
      <c r="A588" s="58" t="s">
        <v>86</v>
      </c>
      <c r="B588" s="11">
        <v>27</v>
      </c>
      <c r="C588" s="39" t="str">
        <f>HYPERLINK("\\Elam-pliki\firmowe\BUDIMEX\Projekty\DANWOOD 2017\DE\12 Grudzień","Wesołych Świąt")</f>
        <v>Wesołych Świąt</v>
      </c>
      <c r="D588" s="7"/>
      <c r="E588" s="6"/>
      <c r="F588" s="6"/>
      <c r="G588" s="7"/>
      <c r="H588" s="6"/>
      <c r="I588" s="14"/>
      <c r="K588" s="6"/>
    </row>
    <row r="589" spans="1:11" x14ac:dyDescent="0.25">
      <c r="A589" s="59"/>
      <c r="B589" s="11"/>
      <c r="C589" s="14"/>
      <c r="D589" s="7"/>
      <c r="E589" s="6"/>
      <c r="F589" s="6"/>
      <c r="G589" s="7"/>
      <c r="H589" s="6"/>
      <c r="I589" s="14"/>
      <c r="K589" s="6"/>
    </row>
    <row r="590" spans="1:11" x14ac:dyDescent="0.25">
      <c r="A590" s="59"/>
      <c r="B590" s="11"/>
      <c r="C590" s="14"/>
      <c r="D590" s="7"/>
      <c r="E590" s="6"/>
      <c r="F590" s="6"/>
      <c r="G590" s="7"/>
      <c r="H590" s="6"/>
      <c r="I590" s="14"/>
      <c r="K590" s="6"/>
    </row>
    <row r="591" spans="1:11" x14ac:dyDescent="0.25">
      <c r="A591" s="59"/>
      <c r="B591" s="7"/>
      <c r="C591" s="14"/>
      <c r="D591" s="7"/>
      <c r="E591" s="6"/>
      <c r="F591" s="6"/>
      <c r="G591" s="7"/>
      <c r="H591" s="6"/>
      <c r="I591" s="14"/>
      <c r="K591" s="6"/>
    </row>
    <row r="592" spans="1:11" x14ac:dyDescent="0.25">
      <c r="A592" s="59"/>
      <c r="B592" s="11"/>
      <c r="C592" s="14"/>
      <c r="D592" s="7"/>
      <c r="E592" s="6"/>
      <c r="F592" s="6"/>
      <c r="G592" s="7"/>
      <c r="H592" s="6"/>
      <c r="I592" s="14"/>
      <c r="K592" s="6"/>
    </row>
    <row r="593" spans="1:11" x14ac:dyDescent="0.25">
      <c r="A593" s="59"/>
      <c r="B593" s="11"/>
      <c r="C593" s="14"/>
      <c r="D593" s="7"/>
      <c r="E593" s="6"/>
      <c r="F593" s="6"/>
      <c r="G593" s="7"/>
      <c r="H593" s="6"/>
      <c r="I593" s="14"/>
      <c r="K593" s="6"/>
    </row>
    <row r="594" spans="1:11" x14ac:dyDescent="0.25">
      <c r="A594" s="59"/>
      <c r="B594" s="11"/>
      <c r="C594" s="14"/>
      <c r="D594" s="7"/>
      <c r="E594" s="6"/>
      <c r="F594" s="6"/>
      <c r="G594" s="7"/>
      <c r="H594" s="6"/>
      <c r="I594" s="14"/>
      <c r="K594" s="6"/>
    </row>
    <row r="595" spans="1:11" x14ac:dyDescent="0.25">
      <c r="B595" s="7"/>
      <c r="C595" s="14"/>
      <c r="D595" s="7"/>
      <c r="E595" s="6"/>
      <c r="F595" s="6"/>
      <c r="G595" s="7"/>
      <c r="H595" s="6"/>
      <c r="I595" s="14"/>
      <c r="K595" s="6"/>
    </row>
    <row r="596" spans="1:11" x14ac:dyDescent="0.25">
      <c r="B596" s="7"/>
      <c r="C596" s="14"/>
      <c r="D596" s="7"/>
      <c r="E596" s="6"/>
      <c r="F596" s="6"/>
      <c r="G596" s="7"/>
      <c r="H596" s="6"/>
      <c r="I596" s="14"/>
      <c r="K596" s="6"/>
    </row>
    <row r="597" spans="1:11" x14ac:dyDescent="0.25">
      <c r="B597" s="7"/>
      <c r="C597" s="14"/>
      <c r="D597" s="7"/>
      <c r="E597" s="6"/>
      <c r="F597" s="6"/>
      <c r="G597" s="7"/>
      <c r="H597" s="6"/>
      <c r="I597" s="14"/>
      <c r="K597" s="6"/>
    </row>
    <row r="598" spans="1:11" x14ac:dyDescent="0.25">
      <c r="B598" s="7"/>
      <c r="C598" s="14"/>
      <c r="D598" s="7"/>
      <c r="E598" s="6"/>
      <c r="F598" s="6"/>
      <c r="G598" s="7"/>
      <c r="H598" s="6"/>
      <c r="I598" s="14"/>
      <c r="K598" s="6"/>
    </row>
    <row r="599" spans="1:11" x14ac:dyDescent="0.25">
      <c r="B599" s="7"/>
      <c r="C599" s="14"/>
      <c r="D599" s="7"/>
      <c r="E599" s="6"/>
      <c r="F599" s="6"/>
      <c r="G599" s="7"/>
      <c r="H599" s="6"/>
      <c r="I599" s="14"/>
      <c r="K599" s="6"/>
    </row>
    <row r="600" spans="1:11" x14ac:dyDescent="0.25">
      <c r="B600" s="7"/>
      <c r="C600" s="14"/>
      <c r="D600" s="7"/>
      <c r="E600" s="6"/>
      <c r="F600" s="6"/>
      <c r="G600" s="7"/>
      <c r="H600" s="6"/>
      <c r="I600" s="14"/>
      <c r="K600" s="6"/>
    </row>
    <row r="601" spans="1:11" x14ac:dyDescent="0.25">
      <c r="B601" s="7"/>
      <c r="C601" s="14"/>
      <c r="D601" s="7"/>
      <c r="E601" s="6"/>
      <c r="F601" s="6"/>
      <c r="G601" s="7"/>
      <c r="H601" s="6"/>
      <c r="I601" s="14"/>
      <c r="K601" s="6"/>
    </row>
    <row r="602" spans="1:11" x14ac:dyDescent="0.25">
      <c r="B602" s="7"/>
      <c r="C602" s="14"/>
      <c r="D602" s="7"/>
      <c r="E602" s="6"/>
      <c r="F602" s="6"/>
      <c r="G602" s="7"/>
      <c r="H602" s="6"/>
      <c r="I602" s="14"/>
      <c r="K602" s="6"/>
    </row>
    <row r="603" spans="1:11" x14ac:dyDescent="0.25">
      <c r="B603" s="7"/>
      <c r="C603" s="14"/>
      <c r="D603" s="7"/>
      <c r="E603" s="6"/>
      <c r="F603" s="6"/>
      <c r="G603" s="7"/>
      <c r="H603" s="6"/>
      <c r="I603" s="14"/>
      <c r="K603" s="6"/>
    </row>
    <row r="604" spans="1:11" x14ac:dyDescent="0.25">
      <c r="B604" s="7"/>
      <c r="C604" s="14"/>
      <c r="D604" s="7"/>
      <c r="E604" s="6"/>
      <c r="F604" s="6"/>
      <c r="G604" s="7"/>
      <c r="H604" s="6"/>
      <c r="I604" s="14"/>
      <c r="K604" s="6"/>
    </row>
    <row r="605" spans="1:11" x14ac:dyDescent="0.25">
      <c r="B605" s="7"/>
      <c r="C605" s="14"/>
      <c r="D605" s="7"/>
      <c r="E605" s="6"/>
      <c r="F605" s="6"/>
      <c r="G605" s="7"/>
      <c r="H605" s="6"/>
      <c r="I605" s="14"/>
      <c r="K605" s="6"/>
    </row>
    <row r="606" spans="1:11" x14ac:dyDescent="0.25">
      <c r="B606" s="7"/>
      <c r="C606" s="14"/>
      <c r="D606" s="7"/>
      <c r="E606" s="6"/>
      <c r="F606" s="6"/>
      <c r="G606" s="7"/>
      <c r="H606" s="6"/>
      <c r="I606" s="14"/>
      <c r="K606" s="6"/>
    </row>
    <row r="607" spans="1:11" x14ac:dyDescent="0.25">
      <c r="B607" s="7"/>
      <c r="C607" s="14"/>
      <c r="D607" s="7"/>
      <c r="E607" s="6"/>
      <c r="F607" s="6"/>
      <c r="G607" s="7"/>
      <c r="H607" s="6"/>
      <c r="I607" s="14"/>
      <c r="K607" s="6"/>
    </row>
    <row r="608" spans="1:11" x14ac:dyDescent="0.25">
      <c r="B608" s="7"/>
      <c r="C608" s="14"/>
      <c r="D608" s="7"/>
      <c r="E608" s="6"/>
      <c r="F608" s="6"/>
      <c r="G608" s="7"/>
      <c r="H608" s="6"/>
      <c r="I608" s="14"/>
      <c r="K608" s="6"/>
    </row>
    <row r="609" spans="2:11" x14ac:dyDescent="0.25">
      <c r="B609" s="7"/>
      <c r="C609" s="14"/>
      <c r="D609" s="7"/>
      <c r="E609" s="6"/>
      <c r="F609" s="6"/>
      <c r="G609" s="7"/>
      <c r="H609" s="6"/>
      <c r="I609" s="14"/>
      <c r="K609" s="6"/>
    </row>
    <row r="610" spans="2:11" x14ac:dyDescent="0.25">
      <c r="B610" s="7"/>
      <c r="C610" s="14"/>
      <c r="D610" s="7"/>
      <c r="E610" s="6"/>
      <c r="F610" s="6"/>
      <c r="G610" s="7"/>
      <c r="H610" s="6"/>
      <c r="I610" s="14"/>
      <c r="K610" s="6"/>
    </row>
    <row r="611" spans="2:11" x14ac:dyDescent="0.25">
      <c r="B611" s="7"/>
      <c r="C611" s="14"/>
      <c r="D611" s="7"/>
      <c r="E611" s="6"/>
      <c r="F611" s="6"/>
      <c r="G611" s="7"/>
      <c r="H611" s="6"/>
      <c r="I611" s="14"/>
      <c r="K611" s="6"/>
    </row>
    <row r="612" spans="2:11" x14ac:dyDescent="0.25">
      <c r="B612" s="7"/>
      <c r="C612" s="14"/>
      <c r="D612" s="7"/>
      <c r="E612" s="6"/>
      <c r="F612" s="6"/>
      <c r="G612" s="7"/>
      <c r="H612" s="6"/>
      <c r="I612" s="14"/>
      <c r="K612" s="6"/>
    </row>
    <row r="613" spans="2:11" x14ac:dyDescent="0.25">
      <c r="B613" s="7"/>
      <c r="C613" s="14"/>
      <c r="D613" s="7"/>
      <c r="E613" s="6"/>
      <c r="F613" s="6"/>
      <c r="G613" s="7"/>
      <c r="H613" s="6"/>
      <c r="I613" s="14"/>
      <c r="K613" s="6"/>
    </row>
    <row r="614" spans="2:11" x14ac:dyDescent="0.25">
      <c r="B614" s="7"/>
      <c r="C614" s="14"/>
      <c r="D614" s="7"/>
      <c r="E614" s="6"/>
      <c r="F614" s="6"/>
      <c r="G614" s="7"/>
      <c r="H614" s="6"/>
      <c r="I614" s="14"/>
      <c r="K614" s="6"/>
    </row>
    <row r="615" spans="2:11" x14ac:dyDescent="0.25">
      <c r="B615" s="7"/>
      <c r="C615" s="14"/>
      <c r="D615" s="7"/>
      <c r="E615" s="6"/>
      <c r="F615" s="6"/>
      <c r="G615" s="7"/>
      <c r="H615" s="6"/>
      <c r="I615" s="14"/>
      <c r="K615" s="6"/>
    </row>
    <row r="616" spans="2:11" x14ac:dyDescent="0.25">
      <c r="B616" s="7"/>
      <c r="C616" s="14"/>
      <c r="D616" s="7"/>
      <c r="E616" s="6"/>
      <c r="F616" s="6"/>
      <c r="G616" s="7"/>
      <c r="H616" s="6"/>
      <c r="I616" s="14"/>
      <c r="K616" s="6"/>
    </row>
    <row r="617" spans="2:11" x14ac:dyDescent="0.25">
      <c r="B617" s="7"/>
      <c r="C617" s="14"/>
      <c r="D617" s="7"/>
      <c r="E617" s="6"/>
      <c r="F617" s="6"/>
      <c r="G617" s="7"/>
      <c r="H617" s="6"/>
      <c r="I617" s="14"/>
      <c r="K617" s="6"/>
    </row>
    <row r="618" spans="2:11" x14ac:dyDescent="0.25">
      <c r="B618" s="7"/>
      <c r="C618" s="14"/>
      <c r="D618" s="7"/>
      <c r="E618" s="6"/>
      <c r="F618" s="6"/>
      <c r="G618" s="7"/>
      <c r="H618" s="6"/>
      <c r="I618" s="14"/>
      <c r="K618" s="6"/>
    </row>
    <row r="619" spans="2:11" x14ac:dyDescent="0.25">
      <c r="B619" s="7"/>
      <c r="C619" s="14"/>
      <c r="D619" s="7"/>
      <c r="E619" s="6"/>
      <c r="F619" s="6"/>
      <c r="G619" s="7"/>
      <c r="H619" s="6"/>
      <c r="I619" s="14"/>
      <c r="K619" s="6"/>
    </row>
    <row r="620" spans="2:11" x14ac:dyDescent="0.25">
      <c r="B620" s="7"/>
      <c r="C620" s="14"/>
      <c r="D620" s="7"/>
      <c r="E620" s="6"/>
      <c r="F620" s="6"/>
      <c r="G620" s="7"/>
      <c r="H620" s="6"/>
      <c r="I620" s="14"/>
      <c r="K620" s="6"/>
    </row>
    <row r="621" spans="2:11" x14ac:dyDescent="0.25">
      <c r="B621" s="7"/>
      <c r="C621" s="14"/>
      <c r="D621" s="7"/>
      <c r="E621" s="6"/>
      <c r="F621" s="6"/>
      <c r="G621" s="7"/>
      <c r="H621" s="6"/>
      <c r="I621" s="14"/>
      <c r="K621" s="6"/>
    </row>
    <row r="622" spans="2:11" x14ac:dyDescent="0.25">
      <c r="B622" s="7"/>
      <c r="C622" s="14"/>
      <c r="D622" s="7"/>
      <c r="E622" s="6"/>
      <c r="F622" s="6"/>
      <c r="G622" s="7"/>
      <c r="H622" s="6"/>
      <c r="I622" s="14"/>
      <c r="K622" s="6"/>
    </row>
    <row r="623" spans="2:11" x14ac:dyDescent="0.25">
      <c r="B623" s="7"/>
      <c r="C623" s="14"/>
      <c r="D623" s="7"/>
      <c r="E623" s="6"/>
      <c r="F623" s="6"/>
      <c r="G623" s="7"/>
      <c r="H623" s="6"/>
      <c r="I623" s="14"/>
      <c r="K623" s="6"/>
    </row>
    <row r="624" spans="2:11" x14ac:dyDescent="0.25">
      <c r="B624" s="7"/>
      <c r="C624" s="14"/>
      <c r="D624" s="7"/>
      <c r="E624" s="6"/>
      <c r="F624" s="6"/>
      <c r="G624" s="7"/>
      <c r="H624" s="6"/>
      <c r="I624" s="14"/>
      <c r="K624" s="6"/>
    </row>
    <row r="625" spans="2:11" x14ac:dyDescent="0.25">
      <c r="B625" s="7"/>
      <c r="C625" s="14"/>
      <c r="D625" s="7"/>
      <c r="E625" s="6"/>
      <c r="F625" s="6"/>
      <c r="G625" s="7"/>
      <c r="H625" s="6"/>
      <c r="I625" s="14"/>
      <c r="K625" s="6"/>
    </row>
    <row r="626" spans="2:11" x14ac:dyDescent="0.25">
      <c r="B626" s="7"/>
      <c r="C626" s="14"/>
      <c r="D626" s="7"/>
      <c r="E626" s="6"/>
      <c r="F626" s="6"/>
      <c r="G626" s="7"/>
      <c r="H626" s="6"/>
      <c r="I626" s="14"/>
      <c r="K626" s="6"/>
    </row>
    <row r="627" spans="2:11" x14ac:dyDescent="0.25">
      <c r="B627" s="7"/>
      <c r="C627" s="14"/>
      <c r="D627" s="7"/>
      <c r="E627" s="6"/>
      <c r="F627" s="6"/>
      <c r="G627" s="7"/>
      <c r="H627" s="6"/>
      <c r="I627" s="14"/>
      <c r="K627" s="6"/>
    </row>
    <row r="628" spans="2:11" x14ac:dyDescent="0.25">
      <c r="B628" s="7"/>
      <c r="C628" s="14"/>
      <c r="D628" s="7"/>
      <c r="E628" s="6"/>
      <c r="F628" s="6"/>
      <c r="G628" s="7"/>
      <c r="H628" s="6"/>
      <c r="I628" s="14"/>
      <c r="K628" s="6"/>
    </row>
    <row r="629" spans="2:11" x14ac:dyDescent="0.25">
      <c r="B629" s="7"/>
      <c r="C629" s="14"/>
      <c r="D629" s="7"/>
      <c r="E629" s="6"/>
      <c r="F629" s="6"/>
      <c r="G629" s="7"/>
      <c r="H629" s="6"/>
      <c r="I629" s="14"/>
      <c r="K629" s="6"/>
    </row>
    <row r="630" spans="2:11" x14ac:dyDescent="0.25">
      <c r="B630" s="7"/>
      <c r="C630" s="14"/>
      <c r="D630" s="7"/>
      <c r="E630" s="6"/>
      <c r="F630" s="6"/>
      <c r="G630" s="7"/>
      <c r="H630" s="6"/>
      <c r="I630" s="14"/>
      <c r="K630" s="6"/>
    </row>
    <row r="631" spans="2:11" x14ac:dyDescent="0.25">
      <c r="B631" s="7"/>
      <c r="C631" s="14"/>
      <c r="D631" s="7"/>
      <c r="E631" s="6"/>
      <c r="F631" s="6"/>
      <c r="G631" s="7"/>
      <c r="H631" s="6"/>
      <c r="I631" s="14"/>
      <c r="K631" s="6"/>
    </row>
    <row r="632" spans="2:11" x14ac:dyDescent="0.25">
      <c r="B632" s="7"/>
      <c r="C632" s="14"/>
      <c r="D632" s="7"/>
      <c r="E632" s="6"/>
      <c r="F632" s="6"/>
      <c r="G632" s="7"/>
      <c r="H632" s="6"/>
      <c r="I632" s="14"/>
      <c r="K632" s="6"/>
    </row>
    <row r="633" spans="2:11" x14ac:dyDescent="0.25">
      <c r="B633" s="7"/>
      <c r="C633" s="14"/>
      <c r="D633" s="7"/>
      <c r="E633" s="6"/>
      <c r="F633" s="6"/>
      <c r="G633" s="7"/>
      <c r="H633" s="6"/>
      <c r="I633" s="14"/>
      <c r="K633" s="6"/>
    </row>
    <row r="634" spans="2:11" x14ac:dyDescent="0.25">
      <c r="B634" s="7"/>
      <c r="C634" s="14"/>
      <c r="D634" s="7"/>
      <c r="E634" s="6"/>
      <c r="F634" s="6"/>
      <c r="G634" s="7"/>
      <c r="H634" s="6"/>
      <c r="I634" s="14"/>
      <c r="K634" s="6"/>
    </row>
    <row r="635" spans="2:11" x14ac:dyDescent="0.25">
      <c r="B635" s="7"/>
      <c r="C635" s="14"/>
      <c r="D635" s="7"/>
      <c r="E635" s="6"/>
      <c r="F635" s="6"/>
      <c r="G635" s="7"/>
      <c r="H635" s="6"/>
      <c r="I635" s="14"/>
      <c r="K635" s="6"/>
    </row>
    <row r="636" spans="2:11" x14ac:dyDescent="0.25">
      <c r="B636" s="7"/>
      <c r="C636" s="14"/>
      <c r="D636" s="7"/>
      <c r="E636" s="6"/>
      <c r="F636" s="6"/>
      <c r="G636" s="7"/>
      <c r="H636" s="6"/>
      <c r="I636" s="14"/>
      <c r="K636" s="6"/>
    </row>
    <row r="637" spans="2:11" x14ac:dyDescent="0.25">
      <c r="B637" s="7"/>
      <c r="C637" s="14"/>
      <c r="D637" s="7"/>
      <c r="E637" s="6"/>
      <c r="F637" s="6"/>
      <c r="G637" s="7"/>
      <c r="H637" s="6"/>
      <c r="I637" s="14"/>
      <c r="K637" s="6"/>
    </row>
    <row r="638" spans="2:11" x14ac:dyDescent="0.25">
      <c r="B638" s="7"/>
      <c r="C638" s="14"/>
      <c r="D638" s="7"/>
      <c r="E638" s="6"/>
      <c r="F638" s="6"/>
      <c r="G638" s="7"/>
      <c r="H638" s="6"/>
      <c r="I638" s="14"/>
      <c r="K638" s="6"/>
    </row>
    <row r="639" spans="2:11" x14ac:dyDescent="0.25">
      <c r="B639" s="7"/>
      <c r="C639" s="14"/>
      <c r="D639" s="7"/>
      <c r="E639" s="6"/>
      <c r="F639" s="6"/>
      <c r="G639" s="7"/>
      <c r="H639" s="6"/>
      <c r="I639" s="14"/>
      <c r="K639" s="6"/>
    </row>
    <row r="640" spans="2:11" x14ac:dyDescent="0.25">
      <c r="B640" s="7"/>
      <c r="C640" s="14"/>
      <c r="D640" s="7"/>
      <c r="E640" s="6"/>
      <c r="F640" s="6"/>
      <c r="G640" s="7"/>
      <c r="H640" s="6"/>
      <c r="I640" s="14"/>
      <c r="K640" s="6"/>
    </row>
    <row r="641" spans="2:11" x14ac:dyDescent="0.25">
      <c r="B641" s="7"/>
      <c r="C641" s="14"/>
      <c r="D641" s="7"/>
      <c r="E641" s="6"/>
      <c r="F641" s="6"/>
      <c r="G641" s="7"/>
      <c r="H641" s="6"/>
      <c r="I641" s="14"/>
      <c r="K641" s="6"/>
    </row>
    <row r="642" spans="2:11" x14ac:dyDescent="0.25">
      <c r="B642" s="7"/>
      <c r="C642" s="14"/>
      <c r="D642" s="7"/>
      <c r="E642" s="6"/>
      <c r="F642" s="6"/>
      <c r="G642" s="7"/>
      <c r="H642" s="6"/>
      <c r="I642" s="14"/>
      <c r="K642" s="6"/>
    </row>
    <row r="643" spans="2:11" x14ac:dyDescent="0.25">
      <c r="B643" s="7"/>
      <c r="C643" s="14"/>
      <c r="D643" s="7"/>
      <c r="E643" s="6"/>
      <c r="F643" s="6"/>
      <c r="G643" s="7"/>
      <c r="H643" s="6"/>
      <c r="I643" s="14"/>
      <c r="K643" s="6"/>
    </row>
    <row r="644" spans="2:11" x14ac:dyDescent="0.25">
      <c r="B644" s="7"/>
      <c r="C644" s="14"/>
      <c r="D644" s="7"/>
      <c r="E644" s="6"/>
      <c r="F644" s="6"/>
      <c r="G644" s="7"/>
      <c r="H644" s="6"/>
      <c r="I644" s="14"/>
      <c r="K644" s="6"/>
    </row>
    <row r="645" spans="2:11" x14ac:dyDescent="0.25">
      <c r="B645" s="7"/>
      <c r="C645" s="14"/>
      <c r="D645" s="7"/>
      <c r="E645" s="6"/>
      <c r="F645" s="6"/>
      <c r="G645" s="7"/>
      <c r="H645" s="6"/>
      <c r="I645" s="14"/>
      <c r="K645" s="6"/>
    </row>
    <row r="646" spans="2:11" x14ac:dyDescent="0.25">
      <c r="B646" s="7"/>
      <c r="C646" s="14"/>
      <c r="D646" s="7"/>
      <c r="E646" s="6"/>
      <c r="F646" s="6"/>
      <c r="G646" s="7"/>
      <c r="H646" s="6"/>
      <c r="I646" s="14"/>
      <c r="K646" s="6"/>
    </row>
    <row r="647" spans="2:11" x14ac:dyDescent="0.25">
      <c r="B647" s="7"/>
      <c r="C647" s="14"/>
      <c r="D647" s="7"/>
      <c r="E647" s="6"/>
      <c r="F647" s="6"/>
      <c r="G647" s="7"/>
      <c r="H647" s="6"/>
      <c r="I647" s="14"/>
      <c r="K647" s="6"/>
    </row>
    <row r="648" spans="2:11" x14ac:dyDescent="0.25">
      <c r="B648" s="7"/>
      <c r="C648" s="14"/>
      <c r="D648" s="7"/>
      <c r="E648" s="6"/>
      <c r="F648" s="6"/>
      <c r="G648" s="7"/>
      <c r="H648" s="6"/>
      <c r="I648" s="14"/>
      <c r="K648" s="6"/>
    </row>
    <row r="649" spans="2:11" x14ac:dyDescent="0.25">
      <c r="B649" s="7"/>
      <c r="C649" s="14"/>
      <c r="D649" s="7"/>
      <c r="E649" s="6"/>
      <c r="F649" s="6"/>
      <c r="G649" s="7"/>
      <c r="H649" s="6"/>
      <c r="I649" s="14"/>
      <c r="K649" s="6"/>
    </row>
    <row r="650" spans="2:11" x14ac:dyDescent="0.25">
      <c r="B650" s="7"/>
      <c r="C650" s="14"/>
      <c r="D650" s="7"/>
      <c r="E650" s="6"/>
      <c r="F650" s="6"/>
      <c r="G650" s="7"/>
      <c r="H650" s="6"/>
      <c r="I650" s="14"/>
      <c r="K650" s="6"/>
    </row>
    <row r="651" spans="2:11" x14ac:dyDescent="0.25">
      <c r="B651" s="7"/>
      <c r="C651" s="14"/>
      <c r="D651" s="7"/>
      <c r="E651" s="6"/>
      <c r="F651" s="6"/>
      <c r="G651" s="7"/>
      <c r="H651" s="6"/>
      <c r="I651" s="14"/>
      <c r="K651" s="6"/>
    </row>
    <row r="652" spans="2:11" x14ac:dyDescent="0.25">
      <c r="B652" s="7"/>
      <c r="C652" s="14"/>
      <c r="D652" s="7"/>
      <c r="E652" s="6"/>
      <c r="F652" s="6"/>
      <c r="G652" s="7"/>
      <c r="H652" s="6"/>
      <c r="I652" s="14"/>
      <c r="K652" s="6"/>
    </row>
    <row r="653" spans="2:11" x14ac:dyDescent="0.25">
      <c r="B653" s="7"/>
      <c r="C653" s="14"/>
      <c r="D653" s="7"/>
      <c r="E653" s="6"/>
      <c r="F653" s="6"/>
      <c r="G653" s="7"/>
      <c r="H653" s="6"/>
      <c r="I653" s="14"/>
      <c r="K653" s="6"/>
    </row>
    <row r="654" spans="2:11" x14ac:dyDescent="0.25">
      <c r="B654" s="7"/>
      <c r="C654" s="14"/>
      <c r="D654" s="7"/>
      <c r="E654" s="6"/>
      <c r="F654" s="6"/>
      <c r="G654" s="7"/>
      <c r="H654" s="6"/>
      <c r="I654" s="14"/>
      <c r="K654" s="6"/>
    </row>
    <row r="655" spans="2:11" x14ac:dyDescent="0.25">
      <c r="B655" s="7"/>
      <c r="C655" s="14"/>
      <c r="D655" s="7"/>
      <c r="E655" s="6"/>
      <c r="F655" s="6"/>
      <c r="G655" s="7"/>
      <c r="H655" s="6"/>
      <c r="I655" s="14"/>
      <c r="K655" s="6"/>
    </row>
    <row r="656" spans="2:11" x14ac:dyDescent="0.25">
      <c r="B656" s="7"/>
      <c r="C656" s="14"/>
      <c r="D656" s="7"/>
      <c r="E656" s="6"/>
      <c r="F656" s="6"/>
      <c r="G656" s="7"/>
      <c r="H656" s="6"/>
      <c r="I656" s="14"/>
      <c r="K656" s="6"/>
    </row>
    <row r="657" spans="2:11" x14ac:dyDescent="0.25">
      <c r="B657" s="7"/>
      <c r="C657" s="14"/>
      <c r="D657" s="7"/>
      <c r="E657" s="6"/>
      <c r="F657" s="6"/>
      <c r="G657" s="7"/>
      <c r="H657" s="6"/>
      <c r="I657" s="14"/>
      <c r="K657" s="6"/>
    </row>
    <row r="658" spans="2:11" x14ac:dyDescent="0.25">
      <c r="B658" s="7"/>
      <c r="C658" s="14"/>
      <c r="D658" s="7"/>
      <c r="E658" s="6"/>
      <c r="F658" s="6"/>
      <c r="G658" s="7"/>
      <c r="H658" s="6"/>
      <c r="I658" s="14"/>
      <c r="K658" s="6"/>
    </row>
    <row r="659" spans="2:11" x14ac:dyDescent="0.25">
      <c r="B659" s="7"/>
      <c r="C659" s="14"/>
      <c r="D659" s="7"/>
      <c r="E659" s="6"/>
      <c r="F659" s="6"/>
      <c r="G659" s="7"/>
      <c r="H659" s="6"/>
      <c r="I659" s="14"/>
      <c r="K659" s="6"/>
    </row>
    <row r="660" spans="2:11" x14ac:dyDescent="0.25">
      <c r="B660" s="7"/>
      <c r="C660" s="14"/>
      <c r="D660" s="7"/>
      <c r="E660" s="6"/>
      <c r="F660" s="6"/>
      <c r="G660" s="7"/>
      <c r="H660" s="6"/>
      <c r="I660" s="14"/>
      <c r="K660" s="6"/>
    </row>
    <row r="661" spans="2:11" x14ac:dyDescent="0.25">
      <c r="B661" s="7"/>
      <c r="C661" s="14"/>
      <c r="D661" s="7"/>
      <c r="E661" s="6"/>
      <c r="F661" s="6"/>
      <c r="G661" s="7"/>
      <c r="H661" s="6"/>
      <c r="I661" s="14"/>
      <c r="K661" s="6"/>
    </row>
    <row r="662" spans="2:11" x14ac:dyDescent="0.25">
      <c r="B662" s="7"/>
      <c r="C662" s="14"/>
      <c r="D662" s="7"/>
      <c r="E662" s="6"/>
      <c r="F662" s="6"/>
      <c r="G662" s="7"/>
      <c r="H662" s="6"/>
      <c r="I662" s="14"/>
      <c r="K662" s="6"/>
    </row>
    <row r="663" spans="2:11" x14ac:dyDescent="0.25">
      <c r="B663" s="7"/>
      <c r="C663" s="14"/>
      <c r="D663" s="7"/>
      <c r="E663" s="6"/>
      <c r="F663" s="6"/>
      <c r="G663" s="7"/>
      <c r="H663" s="6"/>
      <c r="I663" s="14"/>
      <c r="K663" s="6"/>
    </row>
    <row r="664" spans="2:11" x14ac:dyDescent="0.25">
      <c r="B664" s="7"/>
      <c r="C664" s="14"/>
      <c r="D664" s="7"/>
      <c r="E664" s="6"/>
      <c r="F664" s="6"/>
      <c r="G664" s="7"/>
      <c r="H664" s="6"/>
      <c r="I664" s="14"/>
      <c r="K664" s="6"/>
    </row>
    <row r="665" spans="2:11" x14ac:dyDescent="0.25">
      <c r="B665" s="7"/>
      <c r="C665" s="14"/>
      <c r="D665" s="7"/>
      <c r="E665" s="6"/>
      <c r="F665" s="6"/>
      <c r="G665" s="7"/>
      <c r="H665" s="6"/>
      <c r="I665" s="14"/>
      <c r="K665" s="6"/>
    </row>
    <row r="666" spans="2:11" x14ac:dyDescent="0.25">
      <c r="B666" s="7"/>
      <c r="C666" s="14"/>
      <c r="D666" s="7"/>
      <c r="E666" s="6"/>
      <c r="F666" s="6"/>
      <c r="G666" s="7"/>
      <c r="H666" s="6"/>
      <c r="I666" s="14"/>
      <c r="K666" s="6"/>
    </row>
    <row r="667" spans="2:11" x14ac:dyDescent="0.25">
      <c r="B667" s="7"/>
      <c r="C667" s="14"/>
      <c r="D667" s="7"/>
      <c r="E667" s="6"/>
      <c r="F667" s="6"/>
      <c r="G667" s="7"/>
      <c r="H667" s="6"/>
      <c r="I667" s="14"/>
      <c r="K667" s="6"/>
    </row>
    <row r="668" spans="2:11" x14ac:dyDescent="0.25">
      <c r="B668" s="7"/>
      <c r="C668" s="14"/>
      <c r="D668" s="7"/>
      <c r="E668" s="6"/>
      <c r="F668" s="6"/>
      <c r="G668" s="7"/>
      <c r="H668" s="6"/>
      <c r="I668" s="14"/>
      <c r="K668" s="6"/>
    </row>
    <row r="669" spans="2:11" x14ac:dyDescent="0.25">
      <c r="B669" s="7"/>
      <c r="C669" s="14"/>
      <c r="D669" s="7"/>
      <c r="E669" s="6"/>
      <c r="F669" s="6"/>
      <c r="G669" s="7"/>
      <c r="H669" s="6"/>
      <c r="I669" s="14"/>
      <c r="K669" s="6"/>
    </row>
    <row r="670" spans="2:11" x14ac:dyDescent="0.25">
      <c r="B670" s="7"/>
      <c r="C670" s="14"/>
      <c r="D670" s="7"/>
      <c r="E670" s="6"/>
      <c r="F670" s="6"/>
      <c r="G670" s="7"/>
      <c r="H670" s="6"/>
      <c r="I670" s="14"/>
      <c r="K670" s="6"/>
    </row>
    <row r="671" spans="2:11" x14ac:dyDescent="0.25">
      <c r="B671" s="7"/>
      <c r="C671" s="14"/>
      <c r="D671" s="7"/>
      <c r="E671" s="6"/>
      <c r="F671" s="6"/>
      <c r="G671" s="7"/>
      <c r="H671" s="6"/>
      <c r="I671" s="14"/>
      <c r="K671" s="6"/>
    </row>
    <row r="672" spans="2:11" x14ac:dyDescent="0.25">
      <c r="B672" s="7"/>
      <c r="C672" s="14"/>
      <c r="D672" s="7"/>
      <c r="E672" s="6"/>
      <c r="F672" s="6"/>
      <c r="G672" s="7"/>
      <c r="H672" s="6"/>
      <c r="I672" s="14"/>
      <c r="K672" s="6"/>
    </row>
    <row r="673" spans="2:11" x14ac:dyDescent="0.25">
      <c r="B673" s="7"/>
      <c r="C673" s="14"/>
      <c r="D673" s="7"/>
      <c r="E673" s="6"/>
      <c r="F673" s="6"/>
      <c r="G673" s="7"/>
      <c r="H673" s="6"/>
      <c r="I673" s="14"/>
      <c r="K673" s="6"/>
    </row>
    <row r="674" spans="2:11" x14ac:dyDescent="0.25">
      <c r="B674" s="7"/>
      <c r="C674" s="14"/>
      <c r="D674" s="7"/>
      <c r="E674" s="6"/>
      <c r="F674" s="6"/>
      <c r="G674" s="7"/>
      <c r="H674" s="6"/>
      <c r="I674" s="14"/>
      <c r="K674" s="6"/>
    </row>
    <row r="675" spans="2:11" x14ac:dyDescent="0.25">
      <c r="B675" s="7"/>
      <c r="C675" s="14"/>
      <c r="D675" s="7"/>
      <c r="E675" s="6"/>
      <c r="F675" s="6"/>
      <c r="G675" s="7"/>
      <c r="H675" s="6"/>
      <c r="I675" s="14"/>
      <c r="K675" s="6"/>
    </row>
    <row r="676" spans="2:11" x14ac:dyDescent="0.25">
      <c r="B676" s="7"/>
      <c r="C676" s="14"/>
      <c r="D676" s="7"/>
      <c r="E676" s="6"/>
      <c r="F676" s="6"/>
      <c r="G676" s="7"/>
      <c r="H676" s="6"/>
      <c r="I676" s="14"/>
      <c r="K676" s="6"/>
    </row>
    <row r="677" spans="2:11" x14ac:dyDescent="0.25">
      <c r="B677" s="7"/>
      <c r="C677" s="14"/>
      <c r="D677" s="7"/>
      <c r="E677" s="6"/>
      <c r="F677" s="6"/>
      <c r="G677" s="7"/>
      <c r="H677" s="6"/>
      <c r="I677" s="14"/>
      <c r="K677" s="6"/>
    </row>
    <row r="678" spans="2:11" x14ac:dyDescent="0.25">
      <c r="B678" s="7"/>
      <c r="C678" s="14"/>
      <c r="D678" s="7"/>
      <c r="E678" s="6"/>
      <c r="F678" s="6"/>
      <c r="G678" s="7"/>
      <c r="H678" s="6"/>
      <c r="I678" s="14"/>
      <c r="K678" s="6"/>
    </row>
    <row r="679" spans="2:11" x14ac:dyDescent="0.25">
      <c r="B679" s="7"/>
      <c r="C679" s="14"/>
      <c r="D679" s="7"/>
      <c r="E679" s="6"/>
      <c r="F679" s="6"/>
      <c r="G679" s="7"/>
      <c r="H679" s="6"/>
      <c r="I679" s="14"/>
      <c r="K679" s="6"/>
    </row>
    <row r="680" spans="2:11" x14ac:dyDescent="0.25">
      <c r="B680" s="7"/>
      <c r="C680" s="14"/>
      <c r="D680" s="7"/>
      <c r="E680" s="6"/>
      <c r="F680" s="6"/>
      <c r="G680" s="7"/>
      <c r="H680" s="6"/>
      <c r="I680" s="14"/>
      <c r="K680" s="6"/>
    </row>
    <row r="681" spans="2:11" x14ac:dyDescent="0.25">
      <c r="B681" s="7"/>
      <c r="C681" s="14"/>
      <c r="D681" s="7"/>
      <c r="E681" s="6"/>
      <c r="F681" s="6"/>
      <c r="G681" s="7"/>
      <c r="H681" s="6"/>
      <c r="I681" s="14"/>
      <c r="K681" s="6"/>
    </row>
    <row r="682" spans="2:11" x14ac:dyDescent="0.25">
      <c r="B682" s="7"/>
      <c r="C682" s="14"/>
      <c r="D682" s="7"/>
      <c r="E682" s="6"/>
      <c r="F682" s="6"/>
      <c r="G682" s="7"/>
      <c r="H682" s="6"/>
      <c r="I682" s="14"/>
      <c r="K682" s="6"/>
    </row>
    <row r="683" spans="2:11" x14ac:dyDescent="0.25">
      <c r="B683" s="7"/>
      <c r="C683" s="14"/>
      <c r="D683" s="7"/>
      <c r="E683" s="6"/>
      <c r="F683" s="6"/>
      <c r="G683" s="7"/>
      <c r="H683" s="6"/>
      <c r="I683" s="14"/>
      <c r="K683" s="6"/>
    </row>
    <row r="684" spans="2:11" x14ac:dyDescent="0.25">
      <c r="B684" s="7"/>
      <c r="C684" s="14"/>
      <c r="D684" s="7"/>
      <c r="E684" s="6"/>
      <c r="F684" s="6"/>
      <c r="G684" s="7"/>
      <c r="H684" s="6"/>
      <c r="I684" s="14"/>
      <c r="K684" s="6"/>
    </row>
    <row r="685" spans="2:11" x14ac:dyDescent="0.25">
      <c r="B685" s="7"/>
      <c r="C685" s="14"/>
      <c r="D685" s="7"/>
      <c r="E685" s="6"/>
      <c r="F685" s="6"/>
      <c r="G685" s="7"/>
      <c r="H685" s="6"/>
      <c r="I685" s="14"/>
      <c r="K685" s="6"/>
    </row>
    <row r="686" spans="2:11" x14ac:dyDescent="0.25">
      <c r="B686" s="7"/>
      <c r="C686" s="14"/>
      <c r="D686" s="7"/>
      <c r="E686" s="6"/>
      <c r="F686" s="6"/>
      <c r="G686" s="7"/>
      <c r="H686" s="6"/>
      <c r="I686" s="14"/>
      <c r="K686" s="6"/>
    </row>
    <row r="687" spans="2:11" x14ac:dyDescent="0.25">
      <c r="B687" s="7"/>
      <c r="C687" s="14"/>
      <c r="D687" s="7"/>
      <c r="E687" s="6"/>
      <c r="F687" s="6"/>
      <c r="G687" s="7"/>
      <c r="H687" s="6"/>
      <c r="I687" s="14"/>
      <c r="K687" s="6"/>
    </row>
    <row r="688" spans="2:11" x14ac:dyDescent="0.25">
      <c r="B688" s="7"/>
      <c r="C688" s="14"/>
      <c r="D688" s="7"/>
      <c r="E688" s="6"/>
      <c r="F688" s="6"/>
      <c r="G688" s="7"/>
      <c r="H688" s="6"/>
      <c r="I688" s="14"/>
      <c r="K688" s="6"/>
    </row>
    <row r="689" spans="2:11" x14ac:dyDescent="0.25">
      <c r="B689" s="7"/>
      <c r="C689" s="14"/>
      <c r="D689" s="7"/>
      <c r="E689" s="6"/>
      <c r="F689" s="6"/>
      <c r="G689" s="7"/>
      <c r="H689" s="6"/>
      <c r="I689" s="14"/>
      <c r="K689" s="6"/>
    </row>
    <row r="690" spans="2:11" x14ac:dyDescent="0.25">
      <c r="B690" s="7"/>
      <c r="C690" s="14"/>
      <c r="D690" s="7"/>
      <c r="E690" s="6"/>
      <c r="F690" s="6"/>
      <c r="G690" s="7"/>
      <c r="H690" s="6"/>
      <c r="I690" s="14"/>
      <c r="K690" s="6"/>
    </row>
    <row r="691" spans="2:11" x14ac:dyDescent="0.25">
      <c r="B691" s="7"/>
      <c r="C691" s="14"/>
      <c r="D691" s="7"/>
      <c r="E691" s="6"/>
      <c r="F691" s="6"/>
      <c r="G691" s="7"/>
      <c r="H691" s="6"/>
      <c r="I691" s="14"/>
      <c r="K691" s="6"/>
    </row>
    <row r="692" spans="2:11" x14ac:dyDescent="0.25">
      <c r="B692" s="7"/>
      <c r="C692" s="14"/>
      <c r="D692" s="7"/>
      <c r="E692" s="6"/>
      <c r="F692" s="6"/>
      <c r="G692" s="7"/>
      <c r="H692" s="6"/>
      <c r="I692" s="14"/>
      <c r="K692" s="6"/>
    </row>
    <row r="693" spans="2:11" x14ac:dyDescent="0.25">
      <c r="B693" s="7"/>
      <c r="C693" s="14"/>
      <c r="D693" s="7"/>
      <c r="E693" s="6"/>
      <c r="F693" s="6"/>
      <c r="G693" s="7"/>
      <c r="H693" s="6"/>
      <c r="I693" s="14"/>
      <c r="K693" s="6"/>
    </row>
    <row r="694" spans="2:11" x14ac:dyDescent="0.25">
      <c r="B694" s="7"/>
      <c r="C694" s="14"/>
      <c r="D694" s="7"/>
      <c r="E694" s="6"/>
      <c r="F694" s="6"/>
      <c r="G694" s="7"/>
      <c r="H694" s="6"/>
      <c r="I694" s="14"/>
      <c r="K694" s="6"/>
    </row>
    <row r="695" spans="2:11" x14ac:dyDescent="0.25">
      <c r="B695" s="7"/>
      <c r="C695" s="14"/>
      <c r="D695" s="7"/>
      <c r="E695" s="6"/>
      <c r="F695" s="6"/>
      <c r="G695" s="7"/>
      <c r="H695" s="6"/>
      <c r="I695" s="14"/>
      <c r="K695" s="6"/>
    </row>
    <row r="696" spans="2:11" x14ac:dyDescent="0.25">
      <c r="B696" s="7"/>
      <c r="C696" s="14"/>
      <c r="D696" s="7"/>
      <c r="E696" s="6"/>
      <c r="F696" s="6"/>
      <c r="G696" s="7"/>
      <c r="H696" s="6"/>
      <c r="I696" s="14"/>
      <c r="K696" s="6"/>
    </row>
    <row r="697" spans="2:11" x14ac:dyDescent="0.25">
      <c r="B697" s="7"/>
      <c r="C697" s="14"/>
      <c r="D697" s="7"/>
      <c r="E697" s="6"/>
      <c r="F697" s="6"/>
      <c r="G697" s="7"/>
      <c r="H697" s="6"/>
      <c r="I697" s="14"/>
      <c r="K697" s="6"/>
    </row>
    <row r="698" spans="2:11" x14ac:dyDescent="0.25">
      <c r="B698" s="7"/>
      <c r="C698" s="14"/>
      <c r="D698" s="7"/>
      <c r="E698" s="6"/>
      <c r="F698" s="6"/>
      <c r="G698" s="7"/>
      <c r="H698" s="6"/>
      <c r="I698" s="14"/>
      <c r="K698" s="6"/>
    </row>
    <row r="699" spans="2:11" x14ac:dyDescent="0.25">
      <c r="B699" s="7"/>
      <c r="C699" s="14"/>
      <c r="D699" s="7"/>
      <c r="E699" s="6"/>
      <c r="F699" s="6"/>
      <c r="G699" s="7"/>
      <c r="H699" s="6"/>
      <c r="I699" s="14"/>
      <c r="K699" s="6"/>
    </row>
    <row r="700" spans="2:11" x14ac:dyDescent="0.25">
      <c r="B700" s="7"/>
      <c r="C700" s="14"/>
      <c r="D700" s="7"/>
      <c r="E700" s="6"/>
      <c r="F700" s="6"/>
      <c r="G700" s="7"/>
      <c r="H700" s="6"/>
      <c r="I700" s="14"/>
      <c r="K700" s="6"/>
    </row>
    <row r="701" spans="2:11" x14ac:dyDescent="0.25">
      <c r="B701" s="7"/>
      <c r="C701" s="14"/>
      <c r="D701" s="7"/>
      <c r="E701" s="6"/>
      <c r="F701" s="6"/>
      <c r="G701" s="7"/>
      <c r="H701" s="6"/>
      <c r="I701" s="14"/>
      <c r="K701" s="6"/>
    </row>
    <row r="702" spans="2:11" x14ac:dyDescent="0.25">
      <c r="B702" s="7"/>
      <c r="C702" s="14"/>
      <c r="D702" s="7"/>
      <c r="E702" s="6"/>
      <c r="F702" s="6"/>
      <c r="G702" s="7"/>
      <c r="H702" s="6"/>
      <c r="I702" s="14"/>
      <c r="K702" s="6"/>
    </row>
    <row r="703" spans="2:11" x14ac:dyDescent="0.25">
      <c r="B703" s="7"/>
      <c r="C703" s="14"/>
      <c r="D703" s="7"/>
      <c r="E703" s="6"/>
      <c r="F703" s="6"/>
      <c r="G703" s="7"/>
      <c r="H703" s="6"/>
      <c r="I703" s="14"/>
      <c r="K703" s="6"/>
    </row>
    <row r="704" spans="2:11" x14ac:dyDescent="0.25">
      <c r="B704" s="7"/>
      <c r="C704" s="14"/>
      <c r="D704" s="7"/>
      <c r="E704" s="6"/>
      <c r="F704" s="6"/>
      <c r="G704" s="7"/>
      <c r="H704" s="6"/>
      <c r="I704" s="14"/>
      <c r="K704" s="6"/>
    </row>
    <row r="705" spans="2:11" x14ac:dyDescent="0.25">
      <c r="B705" s="7"/>
      <c r="C705" s="14"/>
      <c r="D705" s="7"/>
      <c r="E705" s="6"/>
      <c r="F705" s="6"/>
      <c r="G705" s="7"/>
      <c r="H705" s="6"/>
      <c r="I705" s="14"/>
      <c r="K705" s="6"/>
    </row>
    <row r="706" spans="2:11" x14ac:dyDescent="0.25">
      <c r="B706" s="7"/>
      <c r="C706" s="14"/>
      <c r="D706" s="7"/>
      <c r="E706" s="6"/>
      <c r="F706" s="6"/>
      <c r="G706" s="7"/>
      <c r="H706" s="6"/>
      <c r="I706" s="14"/>
      <c r="K706" s="6"/>
    </row>
    <row r="707" spans="2:11" x14ac:dyDescent="0.25">
      <c r="B707" s="7"/>
      <c r="C707" s="14"/>
      <c r="D707" s="7"/>
      <c r="E707" s="6"/>
      <c r="F707" s="6"/>
      <c r="G707" s="7"/>
      <c r="H707" s="6"/>
      <c r="I707" s="14"/>
      <c r="K707" s="6"/>
    </row>
    <row r="708" spans="2:11" x14ac:dyDescent="0.25">
      <c r="B708" s="7"/>
      <c r="C708" s="14"/>
      <c r="D708" s="7"/>
      <c r="E708" s="6"/>
      <c r="F708" s="6"/>
      <c r="G708" s="7"/>
      <c r="H708" s="6"/>
      <c r="I708" s="14"/>
      <c r="K708" s="6"/>
    </row>
    <row r="709" spans="2:11" x14ac:dyDescent="0.25">
      <c r="B709" s="7"/>
      <c r="C709" s="14"/>
      <c r="D709" s="7"/>
      <c r="E709" s="6"/>
      <c r="F709" s="6"/>
      <c r="G709" s="7"/>
      <c r="H709" s="6"/>
      <c r="I709" s="14"/>
      <c r="K709" s="6"/>
    </row>
    <row r="710" spans="2:11" x14ac:dyDescent="0.25">
      <c r="B710" s="7"/>
      <c r="C710" s="14"/>
      <c r="D710" s="7"/>
      <c r="E710" s="6"/>
      <c r="F710" s="6"/>
      <c r="G710" s="7"/>
      <c r="H710" s="6"/>
      <c r="I710" s="14"/>
      <c r="K710" s="6"/>
    </row>
    <row r="711" spans="2:11" x14ac:dyDescent="0.25">
      <c r="B711" s="7"/>
      <c r="C711" s="14"/>
      <c r="D711" s="7"/>
      <c r="E711" s="6"/>
      <c r="F711" s="6"/>
      <c r="G711" s="7"/>
      <c r="H711" s="6"/>
      <c r="I711" s="14"/>
      <c r="K711" s="6"/>
    </row>
    <row r="712" spans="2:11" x14ac:dyDescent="0.25">
      <c r="B712" s="7"/>
      <c r="C712" s="14"/>
      <c r="D712" s="7"/>
      <c r="E712" s="6"/>
      <c r="F712" s="6"/>
      <c r="G712" s="7"/>
      <c r="H712" s="6"/>
      <c r="I712" s="14"/>
      <c r="K712" s="6"/>
    </row>
    <row r="713" spans="2:11" x14ac:dyDescent="0.25">
      <c r="B713" s="7"/>
      <c r="C713" s="14"/>
      <c r="D713" s="7"/>
      <c r="E713" s="6"/>
      <c r="F713" s="6"/>
      <c r="G713" s="7"/>
      <c r="H713" s="6"/>
      <c r="I713" s="14"/>
      <c r="K713" s="6"/>
    </row>
    <row r="714" spans="2:11" x14ac:dyDescent="0.25">
      <c r="B714" s="7"/>
      <c r="C714" s="14"/>
      <c r="D714" s="7"/>
      <c r="E714" s="6"/>
      <c r="F714" s="6"/>
      <c r="G714" s="7"/>
      <c r="H714" s="6"/>
      <c r="I714" s="14"/>
      <c r="K714" s="6"/>
    </row>
    <row r="715" spans="2:11" x14ac:dyDescent="0.25">
      <c r="B715" s="7"/>
      <c r="C715" s="14"/>
      <c r="D715" s="7"/>
      <c r="E715" s="6"/>
      <c r="F715" s="6"/>
      <c r="G715" s="7"/>
      <c r="H715" s="6"/>
      <c r="I715" s="14"/>
      <c r="K715" s="6"/>
    </row>
    <row r="716" spans="2:11" x14ac:dyDescent="0.25">
      <c r="B716" s="7"/>
      <c r="C716" s="14"/>
      <c r="D716" s="7"/>
      <c r="E716" s="6"/>
      <c r="F716" s="6"/>
      <c r="G716" s="7"/>
      <c r="H716" s="6"/>
      <c r="I716" s="14"/>
      <c r="K716" s="6"/>
    </row>
    <row r="717" spans="2:11" x14ac:dyDescent="0.25">
      <c r="B717" s="7"/>
      <c r="C717" s="14"/>
      <c r="D717" s="7"/>
      <c r="E717" s="6"/>
      <c r="F717" s="6"/>
      <c r="G717" s="7"/>
      <c r="H717" s="6"/>
      <c r="I717" s="14"/>
      <c r="K717" s="6"/>
    </row>
    <row r="718" spans="2:11" x14ac:dyDescent="0.25">
      <c r="B718" s="7"/>
      <c r="C718" s="14"/>
      <c r="D718" s="7"/>
      <c r="E718" s="6"/>
      <c r="F718" s="6"/>
      <c r="G718" s="7"/>
      <c r="H718" s="6"/>
      <c r="I718" s="14"/>
      <c r="K718" s="6"/>
    </row>
    <row r="719" spans="2:11" x14ac:dyDescent="0.25">
      <c r="B719" s="7"/>
      <c r="C719" s="14"/>
      <c r="D719" s="7"/>
      <c r="E719" s="6"/>
      <c r="F719" s="6"/>
      <c r="G719" s="7"/>
      <c r="H719" s="6"/>
      <c r="I719" s="14"/>
      <c r="K719" s="6"/>
    </row>
    <row r="720" spans="2:11" x14ac:dyDescent="0.25">
      <c r="B720" s="7"/>
      <c r="C720" s="14"/>
      <c r="D720" s="7"/>
      <c r="E720" s="6"/>
      <c r="F720" s="6"/>
      <c r="G720" s="7"/>
      <c r="H720" s="6"/>
      <c r="I720" s="14"/>
      <c r="K720" s="6"/>
    </row>
    <row r="721" spans="2:11" x14ac:dyDescent="0.25">
      <c r="B721" s="7"/>
      <c r="C721" s="14"/>
      <c r="D721" s="7"/>
      <c r="E721" s="6"/>
      <c r="F721" s="6"/>
      <c r="G721" s="7"/>
      <c r="H721" s="6"/>
      <c r="I721" s="14"/>
      <c r="K721" s="6"/>
    </row>
    <row r="722" spans="2:11" x14ac:dyDescent="0.25">
      <c r="B722" s="7"/>
      <c r="C722" s="14"/>
      <c r="D722" s="7"/>
      <c r="E722" s="6"/>
      <c r="F722" s="6"/>
      <c r="G722" s="7"/>
      <c r="H722" s="6"/>
      <c r="I722" s="14"/>
      <c r="K722" s="6"/>
    </row>
    <row r="723" spans="2:11" x14ac:dyDescent="0.25">
      <c r="B723" s="7"/>
      <c r="C723" s="14"/>
      <c r="D723" s="7"/>
      <c r="E723" s="6"/>
      <c r="F723" s="6"/>
      <c r="G723" s="7"/>
      <c r="H723" s="6"/>
      <c r="I723" s="14"/>
      <c r="K723" s="6"/>
    </row>
    <row r="724" spans="2:11" x14ac:dyDescent="0.25">
      <c r="B724" s="7"/>
      <c r="C724" s="14"/>
      <c r="D724" s="7"/>
      <c r="E724" s="6"/>
      <c r="F724" s="6"/>
      <c r="G724" s="7"/>
      <c r="H724" s="6"/>
      <c r="I724" s="14"/>
      <c r="K724" s="6"/>
    </row>
    <row r="725" spans="2:11" x14ac:dyDescent="0.25">
      <c r="B725" s="7"/>
      <c r="C725" s="14"/>
      <c r="D725" s="7"/>
      <c r="E725" s="6"/>
      <c r="F725" s="6"/>
      <c r="G725" s="7"/>
      <c r="H725" s="6"/>
      <c r="I725" s="14"/>
      <c r="K725" s="6"/>
    </row>
    <row r="726" spans="2:11" x14ac:dyDescent="0.25">
      <c r="B726" s="7"/>
      <c r="C726" s="14"/>
      <c r="D726" s="7"/>
      <c r="E726" s="6"/>
      <c r="F726" s="6"/>
      <c r="G726" s="7"/>
      <c r="H726" s="6"/>
      <c r="I726" s="14"/>
      <c r="K726" s="6"/>
    </row>
    <row r="727" spans="2:11" x14ac:dyDescent="0.25">
      <c r="B727" s="7"/>
      <c r="C727" s="14"/>
      <c r="D727" s="7"/>
      <c r="E727" s="6"/>
      <c r="F727" s="6"/>
      <c r="G727" s="7"/>
      <c r="H727" s="6"/>
      <c r="I727" s="14"/>
      <c r="K727" s="6"/>
    </row>
    <row r="728" spans="2:11" x14ac:dyDescent="0.25">
      <c r="B728" s="7"/>
      <c r="C728" s="14"/>
      <c r="D728" s="7"/>
      <c r="E728" s="6"/>
      <c r="F728" s="6"/>
      <c r="G728" s="7"/>
      <c r="H728" s="6"/>
      <c r="I728" s="14"/>
      <c r="K728" s="6"/>
    </row>
    <row r="729" spans="2:11" x14ac:dyDescent="0.25">
      <c r="B729" s="7"/>
      <c r="C729" s="14"/>
      <c r="D729" s="7"/>
      <c r="E729" s="6"/>
      <c r="F729" s="6"/>
      <c r="G729" s="7"/>
      <c r="H729" s="6"/>
      <c r="I729" s="14"/>
      <c r="K729" s="6"/>
    </row>
    <row r="730" spans="2:11" x14ac:dyDescent="0.25">
      <c r="B730" s="7"/>
      <c r="C730" s="14"/>
      <c r="D730" s="7"/>
      <c r="E730" s="6"/>
      <c r="F730" s="6"/>
      <c r="G730" s="7"/>
      <c r="H730" s="6"/>
      <c r="I730" s="14"/>
      <c r="K730" s="6"/>
    </row>
    <row r="731" spans="2:11" x14ac:dyDescent="0.25">
      <c r="B731" s="7"/>
      <c r="C731" s="14"/>
      <c r="D731" s="7"/>
      <c r="E731" s="6"/>
      <c r="F731" s="6"/>
      <c r="G731" s="7"/>
      <c r="H731" s="6"/>
      <c r="I731" s="14"/>
      <c r="K731" s="6"/>
    </row>
    <row r="732" spans="2:11" x14ac:dyDescent="0.25">
      <c r="B732" s="7"/>
      <c r="C732" s="14"/>
      <c r="D732" s="7"/>
      <c r="E732" s="6"/>
      <c r="F732" s="6"/>
      <c r="G732" s="7"/>
      <c r="H732" s="6"/>
      <c r="I732" s="14"/>
      <c r="K732" s="6"/>
    </row>
    <row r="733" spans="2:11" x14ac:dyDescent="0.25">
      <c r="B733" s="7"/>
      <c r="C733" s="14"/>
      <c r="D733" s="7"/>
      <c r="E733" s="6"/>
      <c r="F733" s="6"/>
      <c r="G733" s="7"/>
      <c r="H733" s="6"/>
      <c r="I733" s="14"/>
      <c r="K733" s="6"/>
    </row>
    <row r="734" spans="2:11" x14ac:dyDescent="0.25">
      <c r="B734" s="7"/>
      <c r="C734" s="14"/>
      <c r="D734" s="7"/>
      <c r="E734" s="6"/>
      <c r="F734" s="6"/>
      <c r="G734" s="7"/>
      <c r="H734" s="6"/>
      <c r="I734" s="14"/>
      <c r="K734" s="6"/>
    </row>
    <row r="735" spans="2:11" x14ac:dyDescent="0.25">
      <c r="B735" s="7"/>
      <c r="C735" s="14"/>
      <c r="D735" s="7"/>
      <c r="E735" s="6"/>
      <c r="F735" s="6"/>
      <c r="G735" s="7"/>
      <c r="H735" s="6"/>
      <c r="I735" s="14"/>
      <c r="K735" s="6"/>
    </row>
    <row r="736" spans="2:11" x14ac:dyDescent="0.25">
      <c r="B736" s="7"/>
      <c r="C736" s="14"/>
      <c r="D736" s="7"/>
      <c r="E736" s="6"/>
      <c r="F736" s="6"/>
      <c r="G736" s="7"/>
      <c r="H736" s="6"/>
      <c r="I736" s="14"/>
      <c r="K736" s="6"/>
    </row>
    <row r="737" spans="2:11" x14ac:dyDescent="0.25">
      <c r="B737" s="7"/>
      <c r="C737" s="14"/>
      <c r="D737" s="7"/>
      <c r="E737" s="6"/>
      <c r="F737" s="6"/>
      <c r="G737" s="7"/>
      <c r="H737" s="6"/>
      <c r="I737" s="14"/>
      <c r="K737" s="6"/>
    </row>
    <row r="738" spans="2:11" x14ac:dyDescent="0.25">
      <c r="B738" s="7"/>
      <c r="C738" s="14"/>
      <c r="D738" s="7"/>
      <c r="E738" s="6"/>
      <c r="F738" s="6"/>
      <c r="G738" s="7"/>
      <c r="H738" s="6"/>
      <c r="I738" s="14"/>
      <c r="K738" s="6"/>
    </row>
    <row r="739" spans="2:11" x14ac:dyDescent="0.25">
      <c r="B739" s="7"/>
      <c r="C739" s="14"/>
      <c r="D739" s="7"/>
      <c r="E739" s="6"/>
      <c r="F739" s="6"/>
      <c r="G739" s="7"/>
      <c r="H739" s="6"/>
      <c r="I739" s="14"/>
      <c r="K739" s="6"/>
    </row>
    <row r="740" spans="2:11" x14ac:dyDescent="0.25">
      <c r="B740" s="7"/>
      <c r="C740" s="14"/>
      <c r="D740" s="7"/>
      <c r="E740" s="6"/>
      <c r="F740" s="6"/>
      <c r="G740" s="7"/>
      <c r="H740" s="6"/>
      <c r="I740" s="14"/>
      <c r="K740" s="6"/>
    </row>
    <row r="741" spans="2:11" x14ac:dyDescent="0.25">
      <c r="B741" s="7"/>
      <c r="C741" s="14"/>
      <c r="D741" s="7"/>
      <c r="E741" s="6"/>
      <c r="F741" s="6"/>
      <c r="G741" s="7"/>
      <c r="H741" s="6"/>
      <c r="I741" s="14"/>
      <c r="K741" s="6"/>
    </row>
    <row r="742" spans="2:11" x14ac:dyDescent="0.25">
      <c r="B742" s="7"/>
      <c r="C742" s="14"/>
      <c r="D742" s="7"/>
      <c r="E742" s="6"/>
      <c r="F742" s="6"/>
      <c r="G742" s="7"/>
      <c r="H742" s="6"/>
      <c r="I742" s="14"/>
      <c r="K742" s="6"/>
    </row>
    <row r="743" spans="2:11" x14ac:dyDescent="0.25">
      <c r="B743" s="7"/>
      <c r="C743" s="14"/>
      <c r="D743" s="7"/>
      <c r="E743" s="6"/>
      <c r="F743" s="6"/>
      <c r="G743" s="7"/>
      <c r="H743" s="6"/>
      <c r="I743" s="14"/>
      <c r="K743" s="6"/>
    </row>
    <row r="744" spans="2:11" x14ac:dyDescent="0.25">
      <c r="B744" s="7"/>
      <c r="C744" s="14"/>
      <c r="D744" s="7"/>
      <c r="E744" s="6"/>
      <c r="F744" s="6"/>
      <c r="G744" s="7"/>
      <c r="H744" s="6"/>
      <c r="I744" s="14"/>
      <c r="K744" s="6"/>
    </row>
    <row r="745" spans="2:11" x14ac:dyDescent="0.25">
      <c r="B745" s="7"/>
      <c r="C745" s="14"/>
      <c r="D745" s="7"/>
      <c r="E745" s="6"/>
      <c r="F745" s="6"/>
      <c r="G745" s="7"/>
      <c r="H745" s="6"/>
      <c r="I745" s="14"/>
      <c r="K745" s="6"/>
    </row>
    <row r="746" spans="2:11" x14ac:dyDescent="0.25">
      <c r="B746" s="7"/>
      <c r="C746" s="14"/>
      <c r="D746" s="7"/>
      <c r="E746" s="6"/>
      <c r="F746" s="6"/>
      <c r="G746" s="7"/>
      <c r="H746" s="6"/>
      <c r="I746" s="14"/>
      <c r="K746" s="6"/>
    </row>
    <row r="747" spans="2:11" x14ac:dyDescent="0.25">
      <c r="B747" s="7"/>
      <c r="C747" s="14"/>
      <c r="D747" s="7"/>
      <c r="E747" s="6"/>
      <c r="F747" s="6"/>
      <c r="G747" s="7"/>
      <c r="H747" s="6"/>
      <c r="I747" s="14"/>
      <c r="K747" s="6"/>
    </row>
    <row r="748" spans="2:11" x14ac:dyDescent="0.25">
      <c r="B748" s="7"/>
      <c r="C748" s="14"/>
      <c r="D748" s="7"/>
      <c r="E748" s="6"/>
      <c r="F748" s="6"/>
      <c r="G748" s="7"/>
      <c r="H748" s="6"/>
      <c r="I748" s="14"/>
      <c r="K748" s="6"/>
    </row>
    <row r="749" spans="2:11" x14ac:dyDescent="0.25">
      <c r="B749" s="7"/>
      <c r="C749" s="14"/>
      <c r="D749" s="7"/>
      <c r="E749" s="6"/>
      <c r="F749" s="6"/>
      <c r="G749" s="7"/>
      <c r="H749" s="6"/>
      <c r="I749" s="14"/>
      <c r="K749" s="6"/>
    </row>
    <row r="750" spans="2:11" x14ac:dyDescent="0.25">
      <c r="B750" s="7"/>
      <c r="C750" s="14"/>
      <c r="D750" s="7"/>
      <c r="E750" s="6"/>
      <c r="F750" s="6"/>
      <c r="G750" s="7"/>
      <c r="H750" s="6"/>
      <c r="I750" s="14"/>
      <c r="K750" s="6"/>
    </row>
    <row r="751" spans="2:11" x14ac:dyDescent="0.25">
      <c r="B751" s="7"/>
      <c r="C751" s="14"/>
      <c r="D751" s="7"/>
      <c r="E751" s="6"/>
      <c r="F751" s="6"/>
      <c r="G751" s="7"/>
      <c r="H751" s="6"/>
      <c r="I751" s="14"/>
      <c r="K751" s="6"/>
    </row>
    <row r="752" spans="2:11" x14ac:dyDescent="0.25">
      <c r="B752" s="7"/>
      <c r="C752" s="14"/>
      <c r="D752" s="7"/>
      <c r="E752" s="6"/>
      <c r="F752" s="6"/>
      <c r="G752" s="7"/>
      <c r="H752" s="6"/>
      <c r="I752" s="14"/>
      <c r="K752" s="6"/>
    </row>
    <row r="753" spans="2:11" x14ac:dyDescent="0.25">
      <c r="B753" s="7"/>
      <c r="C753" s="14"/>
      <c r="D753" s="7"/>
      <c r="E753" s="6"/>
      <c r="F753" s="6"/>
      <c r="G753" s="7"/>
      <c r="H753" s="6"/>
      <c r="I753" s="14"/>
      <c r="K753" s="6"/>
    </row>
    <row r="754" spans="2:11" x14ac:dyDescent="0.25">
      <c r="B754" s="7"/>
      <c r="C754" s="14"/>
      <c r="D754" s="7"/>
      <c r="E754" s="6"/>
      <c r="F754" s="6"/>
      <c r="G754" s="7"/>
      <c r="H754" s="6"/>
      <c r="I754" s="14"/>
      <c r="K754" s="6"/>
    </row>
    <row r="755" spans="2:11" x14ac:dyDescent="0.25">
      <c r="B755" s="7"/>
      <c r="C755" s="14"/>
      <c r="D755" s="7"/>
      <c r="E755" s="6"/>
      <c r="F755" s="6"/>
      <c r="G755" s="7"/>
      <c r="H755" s="6"/>
      <c r="I755" s="14"/>
      <c r="K755" s="6"/>
    </row>
    <row r="756" spans="2:11" x14ac:dyDescent="0.25">
      <c r="B756" s="7"/>
      <c r="C756" s="14"/>
      <c r="D756" s="7"/>
      <c r="E756" s="6"/>
      <c r="F756" s="6"/>
      <c r="G756" s="7"/>
      <c r="H756" s="6"/>
      <c r="I756" s="14"/>
      <c r="K756" s="6"/>
    </row>
    <row r="757" spans="2:11" x14ac:dyDescent="0.25">
      <c r="B757" s="7"/>
      <c r="C757" s="14"/>
      <c r="D757" s="7"/>
      <c r="E757" s="6"/>
      <c r="F757" s="6"/>
      <c r="G757" s="7"/>
      <c r="H757" s="6"/>
      <c r="I757" s="14"/>
      <c r="K757" s="6"/>
    </row>
    <row r="758" spans="2:11" x14ac:dyDescent="0.25">
      <c r="B758" s="7"/>
      <c r="C758" s="14"/>
      <c r="D758" s="7"/>
      <c r="E758" s="6"/>
      <c r="F758" s="6"/>
      <c r="G758" s="7"/>
      <c r="H758" s="6"/>
      <c r="I758" s="14"/>
      <c r="K758" s="6"/>
    </row>
    <row r="759" spans="2:11" x14ac:dyDescent="0.25">
      <c r="B759" s="7"/>
      <c r="C759" s="14"/>
      <c r="D759" s="7"/>
      <c r="E759" s="6"/>
      <c r="F759" s="6"/>
      <c r="G759" s="7"/>
      <c r="H759" s="6"/>
      <c r="I759" s="14"/>
      <c r="K759" s="6"/>
    </row>
    <row r="760" spans="2:11" x14ac:dyDescent="0.25">
      <c r="B760" s="7"/>
      <c r="C760" s="14"/>
      <c r="D760" s="7"/>
      <c r="E760" s="6"/>
      <c r="F760" s="6"/>
      <c r="G760" s="7"/>
      <c r="H760" s="6"/>
      <c r="I760" s="14"/>
      <c r="K760" s="6"/>
    </row>
    <row r="761" spans="2:11" x14ac:dyDescent="0.25">
      <c r="B761" s="7"/>
      <c r="C761" s="14"/>
      <c r="D761" s="7"/>
      <c r="E761" s="6"/>
      <c r="F761" s="6"/>
      <c r="G761" s="7"/>
      <c r="H761" s="6"/>
      <c r="I761" s="14"/>
      <c r="K761" s="6"/>
    </row>
    <row r="762" spans="2:11" x14ac:dyDescent="0.25">
      <c r="B762" s="7"/>
      <c r="C762" s="14"/>
      <c r="D762" s="7"/>
      <c r="E762" s="6"/>
      <c r="F762" s="6"/>
      <c r="G762" s="7"/>
      <c r="H762" s="6"/>
      <c r="I762" s="14"/>
      <c r="K762" s="6"/>
    </row>
    <row r="763" spans="2:11" x14ac:dyDescent="0.25">
      <c r="B763" s="7"/>
      <c r="C763" s="14"/>
      <c r="D763" s="7"/>
      <c r="E763" s="6"/>
      <c r="F763" s="6"/>
      <c r="G763" s="7"/>
      <c r="H763" s="6"/>
      <c r="I763" s="14"/>
      <c r="K763" s="6"/>
    </row>
    <row r="764" spans="2:11" x14ac:dyDescent="0.25">
      <c r="B764" s="7"/>
      <c r="C764" s="14"/>
      <c r="D764" s="7"/>
      <c r="E764" s="6"/>
      <c r="F764" s="6"/>
      <c r="G764" s="7"/>
      <c r="H764" s="6"/>
      <c r="I764" s="14"/>
      <c r="K764" s="6"/>
    </row>
    <row r="765" spans="2:11" x14ac:dyDescent="0.25">
      <c r="B765" s="7"/>
      <c r="C765" s="14"/>
      <c r="D765" s="7"/>
      <c r="E765" s="6"/>
      <c r="F765" s="6"/>
      <c r="G765" s="7"/>
      <c r="H765" s="6"/>
      <c r="I765" s="14"/>
      <c r="K765" s="6"/>
    </row>
    <row r="766" spans="2:11" x14ac:dyDescent="0.25">
      <c r="B766" s="7"/>
      <c r="C766" s="14"/>
      <c r="D766" s="7"/>
      <c r="E766" s="6"/>
      <c r="F766" s="6"/>
      <c r="G766" s="7"/>
      <c r="H766" s="6"/>
      <c r="I766" s="14"/>
      <c r="K766" s="6"/>
    </row>
    <row r="767" spans="2:11" x14ac:dyDescent="0.25">
      <c r="B767" s="7"/>
      <c r="C767" s="14"/>
      <c r="D767" s="7"/>
      <c r="E767" s="6"/>
      <c r="F767" s="6"/>
      <c r="G767" s="7"/>
      <c r="H767" s="6"/>
      <c r="I767" s="14"/>
      <c r="K767" s="6"/>
    </row>
    <row r="768" spans="2:11" x14ac:dyDescent="0.25">
      <c r="B768" s="7"/>
      <c r="C768" s="14"/>
      <c r="D768" s="7"/>
      <c r="E768" s="6"/>
      <c r="F768" s="6"/>
      <c r="G768" s="7"/>
      <c r="H768" s="6"/>
      <c r="I768" s="14"/>
      <c r="K768" s="6"/>
    </row>
    <row r="769" spans="2:11" x14ac:dyDescent="0.25">
      <c r="B769" s="7"/>
      <c r="C769" s="14"/>
      <c r="D769" s="7"/>
      <c r="E769" s="6"/>
      <c r="F769" s="6"/>
      <c r="G769" s="7"/>
      <c r="H769" s="6"/>
      <c r="I769" s="14"/>
      <c r="K769" s="6"/>
    </row>
    <row r="770" spans="2:11" x14ac:dyDescent="0.25">
      <c r="B770" s="7"/>
      <c r="C770" s="14"/>
      <c r="D770" s="7"/>
      <c r="E770" s="6"/>
      <c r="F770" s="6"/>
      <c r="G770" s="7"/>
      <c r="H770" s="6"/>
      <c r="I770" s="14"/>
      <c r="K770" s="6"/>
    </row>
    <row r="771" spans="2:11" x14ac:dyDescent="0.25">
      <c r="B771" s="7"/>
      <c r="C771" s="14"/>
      <c r="D771" s="7"/>
      <c r="E771" s="6"/>
      <c r="F771" s="6"/>
      <c r="G771" s="7"/>
      <c r="H771" s="6"/>
      <c r="I771" s="14"/>
      <c r="K771" s="6"/>
    </row>
    <row r="772" spans="2:11" x14ac:dyDescent="0.25">
      <c r="B772" s="7"/>
      <c r="C772" s="14"/>
      <c r="D772" s="7"/>
      <c r="E772" s="6"/>
      <c r="F772" s="6"/>
      <c r="G772" s="7"/>
      <c r="H772" s="6"/>
      <c r="I772" s="14"/>
      <c r="K772" s="6"/>
    </row>
    <row r="773" spans="2:11" x14ac:dyDescent="0.25">
      <c r="B773" s="7"/>
      <c r="C773" s="14"/>
      <c r="D773" s="7"/>
      <c r="E773" s="6"/>
      <c r="F773" s="6"/>
      <c r="G773" s="7"/>
      <c r="H773" s="6"/>
      <c r="I773" s="14"/>
      <c r="K773" s="6"/>
    </row>
    <row r="774" spans="2:11" x14ac:dyDescent="0.25">
      <c r="B774" s="7"/>
      <c r="C774" s="14"/>
      <c r="D774" s="7"/>
      <c r="E774" s="6"/>
      <c r="F774" s="6"/>
      <c r="G774" s="7"/>
      <c r="H774" s="6"/>
      <c r="I774" s="14"/>
      <c r="K774" s="6"/>
    </row>
    <row r="775" spans="2:11" x14ac:dyDescent="0.25">
      <c r="B775" s="7"/>
      <c r="C775" s="14"/>
      <c r="D775" s="7"/>
      <c r="E775" s="6"/>
      <c r="F775" s="6"/>
      <c r="G775" s="7"/>
      <c r="H775" s="6"/>
      <c r="I775" s="14"/>
      <c r="K775" s="6"/>
    </row>
    <row r="776" spans="2:11" x14ac:dyDescent="0.25">
      <c r="B776" s="7"/>
      <c r="C776" s="14"/>
      <c r="D776" s="7"/>
      <c r="E776" s="6"/>
      <c r="F776" s="6"/>
      <c r="G776" s="7"/>
      <c r="H776" s="6"/>
      <c r="I776" s="14"/>
      <c r="K776" s="6"/>
    </row>
    <row r="777" spans="2:11" x14ac:dyDescent="0.25">
      <c r="B777" s="7"/>
      <c r="C777" s="14"/>
      <c r="D777" s="7"/>
      <c r="E777" s="6"/>
      <c r="F777" s="6"/>
      <c r="G777" s="7"/>
      <c r="H777" s="6"/>
      <c r="I777" s="14"/>
      <c r="K777" s="6"/>
    </row>
    <row r="778" spans="2:11" x14ac:dyDescent="0.25">
      <c r="B778" s="7"/>
      <c r="C778" s="14"/>
      <c r="D778" s="7"/>
      <c r="E778" s="6"/>
      <c r="F778" s="6"/>
      <c r="G778" s="7"/>
      <c r="H778" s="6"/>
      <c r="I778" s="14"/>
      <c r="K778" s="6"/>
    </row>
    <row r="779" spans="2:11" x14ac:dyDescent="0.25">
      <c r="B779" s="7"/>
      <c r="C779" s="14"/>
      <c r="D779" s="7"/>
      <c r="E779" s="6"/>
      <c r="F779" s="6"/>
      <c r="G779" s="7"/>
      <c r="H779" s="6"/>
      <c r="I779" s="14"/>
      <c r="K779" s="6"/>
    </row>
    <row r="780" spans="2:11" x14ac:dyDescent="0.25">
      <c r="B780" s="7"/>
      <c r="C780" s="14"/>
      <c r="D780" s="7"/>
      <c r="E780" s="6"/>
      <c r="F780" s="6"/>
      <c r="G780" s="7"/>
      <c r="H780" s="6"/>
      <c r="I780" s="14"/>
      <c r="K780" s="6"/>
    </row>
    <row r="781" spans="2:11" x14ac:dyDescent="0.25">
      <c r="B781" s="7"/>
      <c r="C781" s="14"/>
      <c r="D781" s="7"/>
      <c r="E781" s="6"/>
      <c r="F781" s="6"/>
      <c r="G781" s="7"/>
      <c r="H781" s="6"/>
      <c r="I781" s="14"/>
      <c r="K781" s="6"/>
    </row>
    <row r="782" spans="2:11" x14ac:dyDescent="0.25">
      <c r="B782" s="7"/>
      <c r="C782" s="14"/>
      <c r="D782" s="7"/>
      <c r="E782" s="6"/>
      <c r="F782" s="6"/>
      <c r="G782" s="7"/>
      <c r="H782" s="6"/>
      <c r="I782" s="14"/>
      <c r="K782" s="6"/>
    </row>
    <row r="783" spans="2:11" x14ac:dyDescent="0.25">
      <c r="B783" s="7"/>
      <c r="C783" s="14"/>
      <c r="D783" s="7"/>
      <c r="E783" s="6"/>
      <c r="F783" s="6"/>
      <c r="G783" s="7"/>
      <c r="H783" s="6"/>
      <c r="I783" s="14"/>
      <c r="K783" s="6"/>
    </row>
    <row r="784" spans="2:11" x14ac:dyDescent="0.25">
      <c r="B784" s="7"/>
      <c r="C784" s="14"/>
      <c r="D784" s="7"/>
      <c r="E784" s="6"/>
      <c r="F784" s="6"/>
      <c r="G784" s="7"/>
      <c r="H784" s="6"/>
      <c r="I784" s="14"/>
      <c r="K784" s="6"/>
    </row>
    <row r="785" spans="2:11" x14ac:dyDescent="0.25">
      <c r="B785" s="7"/>
      <c r="C785" s="14"/>
      <c r="D785" s="7"/>
      <c r="E785" s="6"/>
      <c r="F785" s="6"/>
      <c r="G785" s="7"/>
      <c r="H785" s="6"/>
      <c r="I785" s="14"/>
      <c r="K785" s="6"/>
    </row>
    <row r="786" spans="2:11" x14ac:dyDescent="0.25">
      <c r="B786" s="7"/>
      <c r="C786" s="14"/>
      <c r="D786" s="7"/>
      <c r="E786" s="6"/>
      <c r="F786" s="6"/>
      <c r="G786" s="7"/>
      <c r="H786" s="6"/>
      <c r="I786" s="14"/>
      <c r="K786" s="6"/>
    </row>
    <row r="787" spans="2:11" x14ac:dyDescent="0.25">
      <c r="B787" s="7"/>
      <c r="C787" s="14"/>
      <c r="D787" s="7"/>
      <c r="E787" s="6"/>
      <c r="F787" s="6"/>
      <c r="G787" s="7"/>
      <c r="H787" s="6"/>
      <c r="I787" s="14"/>
      <c r="K787" s="6"/>
    </row>
    <row r="788" spans="2:11" x14ac:dyDescent="0.25">
      <c r="B788" s="7"/>
      <c r="C788" s="14"/>
      <c r="D788" s="7"/>
      <c r="E788" s="6"/>
      <c r="F788" s="6"/>
      <c r="G788" s="7"/>
      <c r="H788" s="6"/>
      <c r="I788" s="14"/>
      <c r="K788" s="6"/>
    </row>
    <row r="789" spans="2:11" x14ac:dyDescent="0.25">
      <c r="B789" s="7"/>
      <c r="C789" s="14"/>
      <c r="D789" s="7"/>
      <c r="E789" s="6"/>
      <c r="F789" s="6"/>
      <c r="G789" s="7"/>
      <c r="H789" s="6"/>
      <c r="I789" s="14"/>
      <c r="K789" s="6"/>
    </row>
    <row r="790" spans="2:11" x14ac:dyDescent="0.25">
      <c r="B790" s="7"/>
      <c r="C790" s="14"/>
      <c r="D790" s="7"/>
      <c r="E790" s="6"/>
      <c r="F790" s="6"/>
      <c r="G790" s="7"/>
      <c r="H790" s="6"/>
      <c r="I790" s="14"/>
      <c r="K790" s="6"/>
    </row>
    <row r="791" spans="2:11" x14ac:dyDescent="0.25">
      <c r="B791" s="7"/>
      <c r="C791" s="14"/>
      <c r="D791" s="7"/>
      <c r="E791" s="6"/>
      <c r="F791" s="6"/>
      <c r="G791" s="7"/>
      <c r="H791" s="6"/>
      <c r="I791" s="14"/>
      <c r="K791" s="6"/>
    </row>
    <row r="792" spans="2:11" x14ac:dyDescent="0.25">
      <c r="B792" s="7"/>
      <c r="C792" s="14"/>
      <c r="D792" s="7"/>
      <c r="E792" s="6"/>
      <c r="F792" s="6"/>
      <c r="G792" s="7"/>
      <c r="H792" s="6"/>
      <c r="I792" s="14"/>
      <c r="K792" s="6"/>
    </row>
    <row r="793" spans="2:11" x14ac:dyDescent="0.25">
      <c r="B793" s="7"/>
      <c r="C793" s="14"/>
      <c r="D793" s="7"/>
      <c r="E793" s="6"/>
      <c r="F793" s="6"/>
      <c r="G793" s="7"/>
      <c r="H793" s="6"/>
      <c r="I793" s="14"/>
      <c r="K793" s="6"/>
    </row>
    <row r="794" spans="2:11" x14ac:dyDescent="0.25">
      <c r="B794" s="7"/>
      <c r="C794" s="14"/>
      <c r="D794" s="7"/>
      <c r="E794" s="6"/>
      <c r="F794" s="6"/>
      <c r="G794" s="7"/>
      <c r="H794" s="6"/>
      <c r="I794" s="14"/>
      <c r="K794" s="6"/>
    </row>
    <row r="795" spans="2:11" x14ac:dyDescent="0.25">
      <c r="B795" s="7"/>
      <c r="C795" s="14"/>
      <c r="D795" s="7"/>
      <c r="E795" s="6"/>
      <c r="F795" s="6"/>
      <c r="G795" s="7"/>
      <c r="H795" s="6"/>
      <c r="I795" s="14"/>
      <c r="K795" s="6"/>
    </row>
    <row r="796" spans="2:11" x14ac:dyDescent="0.25">
      <c r="B796" s="7"/>
      <c r="C796" s="14"/>
      <c r="D796" s="7"/>
      <c r="E796" s="6"/>
      <c r="F796" s="6"/>
      <c r="G796" s="7"/>
      <c r="H796" s="6"/>
      <c r="I796" s="14"/>
      <c r="K796" s="6"/>
    </row>
    <row r="797" spans="2:11" x14ac:dyDescent="0.25">
      <c r="B797" s="7"/>
      <c r="C797" s="14"/>
      <c r="D797" s="7"/>
      <c r="E797" s="6"/>
      <c r="F797" s="6"/>
      <c r="G797" s="7"/>
      <c r="H797" s="6"/>
      <c r="I797" s="14"/>
      <c r="K797" s="6"/>
    </row>
    <row r="798" spans="2:11" x14ac:dyDescent="0.25">
      <c r="B798" s="7"/>
      <c r="C798" s="14"/>
      <c r="D798" s="7"/>
      <c r="E798" s="6"/>
      <c r="F798" s="6"/>
      <c r="G798" s="7"/>
      <c r="H798" s="6"/>
      <c r="I798" s="14"/>
      <c r="K798" s="6"/>
    </row>
    <row r="799" spans="2:11" x14ac:dyDescent="0.25">
      <c r="B799" s="7"/>
      <c r="C799" s="14"/>
      <c r="D799" s="7"/>
      <c r="E799" s="6"/>
      <c r="F799" s="6"/>
      <c r="G799" s="7"/>
      <c r="H799" s="6"/>
      <c r="I799" s="14"/>
      <c r="K799" s="6"/>
    </row>
    <row r="800" spans="2:11" x14ac:dyDescent="0.25">
      <c r="B800" s="7"/>
      <c r="C800" s="14"/>
      <c r="D800" s="7"/>
      <c r="E800" s="6"/>
      <c r="F800" s="6"/>
      <c r="G800" s="7"/>
      <c r="H800" s="6"/>
      <c r="I800" s="14"/>
      <c r="K800" s="6"/>
    </row>
    <row r="801" spans="2:11" x14ac:dyDescent="0.25">
      <c r="B801" s="7"/>
      <c r="C801" s="14"/>
      <c r="D801" s="7"/>
      <c r="E801" s="6"/>
      <c r="F801" s="6"/>
      <c r="G801" s="7"/>
      <c r="H801" s="6"/>
      <c r="I801" s="14"/>
      <c r="K801" s="6"/>
    </row>
    <row r="802" spans="2:11" x14ac:dyDescent="0.25">
      <c r="B802" s="7"/>
      <c r="C802" s="14"/>
      <c r="D802" s="7"/>
      <c r="E802" s="6"/>
      <c r="F802" s="6"/>
      <c r="G802" s="7"/>
      <c r="H802" s="6"/>
      <c r="I802" s="14"/>
      <c r="K802" s="6"/>
    </row>
    <row r="803" spans="2:11" x14ac:dyDescent="0.25">
      <c r="B803" s="7"/>
      <c r="C803" s="14"/>
      <c r="D803" s="7"/>
      <c r="E803" s="6"/>
      <c r="F803" s="6"/>
      <c r="G803" s="7"/>
      <c r="H803" s="6"/>
      <c r="I803" s="14"/>
      <c r="K803" s="6"/>
    </row>
    <row r="804" spans="2:11" x14ac:dyDescent="0.25">
      <c r="B804" s="7"/>
      <c r="C804" s="14"/>
      <c r="D804" s="7"/>
      <c r="E804" s="6"/>
      <c r="F804" s="6"/>
      <c r="G804" s="7"/>
      <c r="H804" s="6"/>
      <c r="I804" s="14"/>
      <c r="K804" s="6"/>
    </row>
    <row r="805" spans="2:11" x14ac:dyDescent="0.25">
      <c r="B805" s="7"/>
      <c r="C805" s="14"/>
      <c r="D805" s="7"/>
      <c r="E805" s="6"/>
      <c r="F805" s="6"/>
      <c r="G805" s="7"/>
      <c r="H805" s="6"/>
      <c r="I805" s="14"/>
      <c r="K805" s="6"/>
    </row>
    <row r="806" spans="2:11" x14ac:dyDescent="0.25">
      <c r="B806" s="7"/>
      <c r="C806" s="14"/>
      <c r="D806" s="7"/>
      <c r="E806" s="6"/>
      <c r="F806" s="6"/>
      <c r="G806" s="7"/>
      <c r="H806" s="6"/>
      <c r="I806" s="14"/>
      <c r="K806" s="6"/>
    </row>
    <row r="807" spans="2:11" x14ac:dyDescent="0.25">
      <c r="B807" s="7"/>
      <c r="C807" s="14"/>
      <c r="D807" s="7"/>
      <c r="E807" s="6"/>
      <c r="F807" s="6"/>
      <c r="G807" s="7"/>
      <c r="H807" s="6"/>
      <c r="I807" s="14"/>
      <c r="K807" s="6"/>
    </row>
    <row r="808" spans="2:11" x14ac:dyDescent="0.25">
      <c r="B808" s="7"/>
      <c r="C808" s="14"/>
      <c r="D808" s="7"/>
      <c r="E808" s="6"/>
      <c r="F808" s="6"/>
      <c r="G808" s="7"/>
      <c r="H808" s="6"/>
      <c r="I808" s="14"/>
      <c r="K808" s="6"/>
    </row>
    <row r="809" spans="2:11" x14ac:dyDescent="0.25">
      <c r="B809" s="7"/>
      <c r="C809" s="14"/>
      <c r="D809" s="7"/>
      <c r="E809" s="6"/>
      <c r="F809" s="6"/>
      <c r="G809" s="7"/>
      <c r="H809" s="6"/>
      <c r="I809" s="14"/>
      <c r="K809" s="6"/>
    </row>
    <row r="810" spans="2:11" x14ac:dyDescent="0.25">
      <c r="B810" s="7"/>
      <c r="C810" s="14"/>
      <c r="D810" s="7"/>
      <c r="E810" s="6"/>
      <c r="F810" s="6"/>
      <c r="G810" s="7"/>
      <c r="H810" s="6"/>
      <c r="I810" s="14"/>
      <c r="K810" s="6"/>
    </row>
    <row r="811" spans="2:11" x14ac:dyDescent="0.25">
      <c r="B811" s="7"/>
      <c r="C811" s="14"/>
      <c r="D811" s="7"/>
      <c r="E811" s="6"/>
      <c r="F811" s="6"/>
      <c r="G811" s="7"/>
      <c r="H811" s="6"/>
      <c r="I811" s="14"/>
      <c r="K811" s="6"/>
    </row>
    <row r="812" spans="2:11" x14ac:dyDescent="0.25">
      <c r="B812" s="7"/>
      <c r="C812" s="14"/>
      <c r="D812" s="7"/>
      <c r="E812" s="6"/>
      <c r="F812" s="6"/>
      <c r="G812" s="7"/>
      <c r="H812" s="6"/>
      <c r="I812" s="14"/>
      <c r="K812" s="6"/>
    </row>
    <row r="813" spans="2:11" x14ac:dyDescent="0.25">
      <c r="B813" s="7"/>
      <c r="C813" s="14"/>
      <c r="D813" s="7"/>
      <c r="E813" s="6"/>
      <c r="F813" s="6"/>
      <c r="G813" s="7"/>
      <c r="H813" s="6"/>
      <c r="I813" s="14"/>
      <c r="K813" s="6"/>
    </row>
    <row r="814" spans="2:11" x14ac:dyDescent="0.25">
      <c r="B814" s="7"/>
      <c r="C814" s="14"/>
      <c r="D814" s="7"/>
      <c r="E814" s="6"/>
      <c r="F814" s="6"/>
      <c r="G814" s="7"/>
      <c r="H814" s="6"/>
      <c r="I814" s="14"/>
      <c r="K814" s="6"/>
    </row>
    <row r="815" spans="2:11" x14ac:dyDescent="0.25">
      <c r="B815" s="7"/>
      <c r="C815" s="14"/>
      <c r="D815" s="7"/>
      <c r="E815" s="6"/>
      <c r="F815" s="6"/>
      <c r="G815" s="7"/>
      <c r="H815" s="6"/>
      <c r="I815" s="14"/>
      <c r="K815" s="6"/>
    </row>
    <row r="816" spans="2:11" x14ac:dyDescent="0.25">
      <c r="B816" s="7"/>
      <c r="C816" s="14"/>
      <c r="D816" s="7"/>
      <c r="E816" s="6"/>
      <c r="F816" s="6"/>
      <c r="G816" s="7"/>
      <c r="H816" s="6"/>
      <c r="I816" s="14"/>
      <c r="K816" s="6"/>
    </row>
    <row r="817" spans="2:11" x14ac:dyDescent="0.25">
      <c r="B817" s="7"/>
      <c r="C817" s="14"/>
      <c r="D817" s="7"/>
      <c r="E817" s="6"/>
      <c r="F817" s="6"/>
      <c r="G817" s="7"/>
      <c r="H817" s="6"/>
      <c r="I817" s="14"/>
      <c r="K817" s="6"/>
    </row>
    <row r="818" spans="2:11" x14ac:dyDescent="0.25">
      <c r="B818" s="7"/>
      <c r="C818" s="14"/>
      <c r="D818" s="7"/>
      <c r="E818" s="6"/>
      <c r="F818" s="6"/>
      <c r="G818" s="7"/>
      <c r="H818" s="6"/>
      <c r="I818" s="14"/>
      <c r="K818" s="6"/>
    </row>
    <row r="819" spans="2:11" x14ac:dyDescent="0.25">
      <c r="B819" s="7"/>
      <c r="C819" s="14"/>
      <c r="D819" s="7"/>
      <c r="E819" s="6"/>
      <c r="F819" s="6"/>
      <c r="G819" s="7"/>
      <c r="H819" s="6"/>
      <c r="I819" s="14"/>
      <c r="K819" s="6"/>
    </row>
    <row r="820" spans="2:11" x14ac:dyDescent="0.25">
      <c r="B820" s="7"/>
      <c r="C820" s="14"/>
      <c r="D820" s="7"/>
      <c r="E820" s="6"/>
      <c r="F820" s="6"/>
      <c r="G820" s="7"/>
      <c r="H820" s="6"/>
      <c r="I820" s="14"/>
      <c r="K820" s="6"/>
    </row>
    <row r="821" spans="2:11" x14ac:dyDescent="0.25">
      <c r="B821" s="7"/>
      <c r="C821" s="14"/>
      <c r="D821" s="7"/>
      <c r="E821" s="6"/>
      <c r="F821" s="6"/>
      <c r="G821" s="7"/>
      <c r="H821" s="6"/>
      <c r="I821" s="14"/>
      <c r="K821" s="6"/>
    </row>
    <row r="822" spans="2:11" x14ac:dyDescent="0.25">
      <c r="B822" s="7"/>
      <c r="C822" s="14"/>
      <c r="D822" s="7"/>
      <c r="E822" s="6"/>
      <c r="F822" s="6"/>
      <c r="G822" s="7"/>
      <c r="H822" s="6"/>
      <c r="I822" s="14"/>
      <c r="K822" s="6"/>
    </row>
    <row r="823" spans="2:11" x14ac:dyDescent="0.25">
      <c r="B823" s="7"/>
      <c r="C823" s="14"/>
      <c r="D823" s="7"/>
      <c r="E823" s="6"/>
      <c r="F823" s="6"/>
      <c r="G823" s="7"/>
      <c r="H823" s="6"/>
      <c r="I823" s="14"/>
      <c r="K823" s="6"/>
    </row>
    <row r="824" spans="2:11" x14ac:dyDescent="0.25">
      <c r="B824" s="7"/>
      <c r="C824" s="14"/>
      <c r="D824" s="7"/>
      <c r="E824" s="6"/>
      <c r="F824" s="6"/>
      <c r="G824" s="7"/>
      <c r="H824" s="6"/>
      <c r="I824" s="14"/>
      <c r="K824" s="6"/>
    </row>
    <row r="825" spans="2:11" x14ac:dyDescent="0.25">
      <c r="B825" s="7"/>
      <c r="C825" s="14"/>
      <c r="D825" s="7"/>
      <c r="E825" s="6"/>
      <c r="F825" s="6"/>
      <c r="G825" s="7"/>
      <c r="H825" s="6"/>
      <c r="I825" s="14"/>
      <c r="K825" s="6"/>
    </row>
    <row r="826" spans="2:11" x14ac:dyDescent="0.25">
      <c r="B826" s="7"/>
      <c r="C826" s="14"/>
      <c r="D826" s="7"/>
      <c r="E826" s="6"/>
      <c r="F826" s="6"/>
      <c r="G826" s="7"/>
      <c r="H826" s="6"/>
      <c r="I826" s="14"/>
      <c r="K826" s="6"/>
    </row>
    <row r="827" spans="2:11" x14ac:dyDescent="0.25">
      <c r="B827" s="7"/>
      <c r="C827" s="14"/>
      <c r="D827" s="7"/>
      <c r="E827" s="6"/>
      <c r="F827" s="6"/>
      <c r="G827" s="7"/>
      <c r="H827" s="6"/>
      <c r="I827" s="14"/>
      <c r="K827" s="6"/>
    </row>
    <row r="828" spans="2:11" x14ac:dyDescent="0.25">
      <c r="B828" s="7"/>
      <c r="C828" s="14"/>
      <c r="D828" s="7"/>
      <c r="E828" s="6"/>
      <c r="F828" s="6"/>
      <c r="G828" s="7"/>
      <c r="H828" s="6"/>
      <c r="I828" s="14"/>
      <c r="K828" s="6"/>
    </row>
    <row r="829" spans="2:11" x14ac:dyDescent="0.25">
      <c r="B829" s="7"/>
      <c r="C829" s="14"/>
      <c r="D829" s="7"/>
      <c r="E829" s="6"/>
      <c r="F829" s="6"/>
      <c r="G829" s="7"/>
      <c r="H829" s="6"/>
      <c r="I829" s="14"/>
      <c r="K829" s="6"/>
    </row>
    <row r="830" spans="2:11" x14ac:dyDescent="0.25">
      <c r="B830" s="7"/>
      <c r="C830" s="14"/>
      <c r="D830" s="7"/>
      <c r="E830" s="6"/>
      <c r="F830" s="6"/>
      <c r="G830" s="7"/>
      <c r="H830" s="6"/>
      <c r="I830" s="14"/>
      <c r="K830" s="6"/>
    </row>
    <row r="831" spans="2:11" x14ac:dyDescent="0.25">
      <c r="B831" s="7"/>
      <c r="C831" s="14"/>
      <c r="D831" s="7"/>
      <c r="E831" s="6"/>
      <c r="F831" s="6"/>
      <c r="G831" s="7"/>
      <c r="H831" s="6"/>
      <c r="I831" s="14"/>
      <c r="K831" s="6"/>
    </row>
    <row r="832" spans="2:11" x14ac:dyDescent="0.25">
      <c r="B832" s="7"/>
      <c r="C832" s="14"/>
      <c r="D832" s="7"/>
      <c r="E832" s="6"/>
      <c r="F832" s="6"/>
      <c r="G832" s="7"/>
      <c r="H832" s="6"/>
      <c r="I832" s="14"/>
      <c r="K832" s="6"/>
    </row>
    <row r="833" spans="2:11" x14ac:dyDescent="0.25">
      <c r="B833" s="7"/>
      <c r="C833" s="14"/>
      <c r="D833" s="7"/>
      <c r="E833" s="6"/>
      <c r="F833" s="6"/>
      <c r="G833" s="7"/>
      <c r="H833" s="6"/>
      <c r="I833" s="14"/>
      <c r="K833" s="6"/>
    </row>
    <row r="834" spans="2:11" x14ac:dyDescent="0.25">
      <c r="B834" s="7"/>
      <c r="C834" s="14"/>
      <c r="D834" s="7"/>
      <c r="E834" s="6"/>
      <c r="F834" s="6"/>
      <c r="G834" s="7"/>
      <c r="H834" s="6"/>
      <c r="I834" s="14"/>
      <c r="K834" s="6"/>
    </row>
    <row r="835" spans="2:11" x14ac:dyDescent="0.25">
      <c r="B835" s="7"/>
      <c r="C835" s="14"/>
      <c r="D835" s="7"/>
      <c r="E835" s="6"/>
      <c r="F835" s="6"/>
      <c r="G835" s="7"/>
      <c r="H835" s="6"/>
      <c r="I835" s="14"/>
      <c r="K835" s="6"/>
    </row>
    <row r="836" spans="2:11" x14ac:dyDescent="0.25">
      <c r="B836" s="7"/>
      <c r="C836" s="14"/>
      <c r="D836" s="7"/>
      <c r="E836" s="6"/>
      <c r="F836" s="6"/>
      <c r="G836" s="7"/>
      <c r="H836" s="6"/>
      <c r="I836" s="14"/>
      <c r="K836" s="6"/>
    </row>
    <row r="837" spans="2:11" x14ac:dyDescent="0.25">
      <c r="B837" s="7"/>
      <c r="C837" s="14"/>
      <c r="D837" s="7"/>
      <c r="E837" s="6"/>
      <c r="F837" s="6"/>
      <c r="G837" s="7"/>
      <c r="H837" s="6"/>
      <c r="I837" s="14"/>
      <c r="K837" s="6"/>
    </row>
    <row r="838" spans="2:11" x14ac:dyDescent="0.25">
      <c r="B838" s="7"/>
      <c r="C838" s="14"/>
      <c r="D838" s="7"/>
      <c r="E838" s="6"/>
      <c r="F838" s="6"/>
      <c r="G838" s="7"/>
      <c r="H838" s="6"/>
      <c r="I838" s="14"/>
      <c r="K838" s="6"/>
    </row>
    <row r="839" spans="2:11" x14ac:dyDescent="0.25">
      <c r="B839" s="7"/>
      <c r="C839" s="14"/>
      <c r="D839" s="7"/>
      <c r="E839" s="6"/>
      <c r="F839" s="6"/>
      <c r="G839" s="7"/>
      <c r="H839" s="6"/>
      <c r="I839" s="14"/>
      <c r="K839" s="6"/>
    </row>
    <row r="840" spans="2:11" x14ac:dyDescent="0.25">
      <c r="B840" s="7"/>
      <c r="C840" s="14"/>
      <c r="D840" s="7"/>
      <c r="E840" s="6"/>
      <c r="F840" s="6"/>
      <c r="G840" s="7"/>
      <c r="H840" s="6"/>
      <c r="I840" s="14"/>
      <c r="K840" s="6"/>
    </row>
    <row r="841" spans="2:11" x14ac:dyDescent="0.25">
      <c r="B841" s="7"/>
      <c r="C841" s="14"/>
      <c r="D841" s="7"/>
      <c r="E841" s="6"/>
      <c r="F841" s="6"/>
      <c r="G841" s="7"/>
      <c r="H841" s="6"/>
      <c r="I841" s="14"/>
      <c r="K841" s="6"/>
    </row>
    <row r="842" spans="2:11" x14ac:dyDescent="0.25">
      <c r="B842" s="7"/>
      <c r="C842" s="14"/>
      <c r="D842" s="7"/>
      <c r="E842" s="6"/>
      <c r="F842" s="6"/>
      <c r="G842" s="7"/>
      <c r="H842" s="6"/>
      <c r="I842" s="14"/>
      <c r="K842" s="6"/>
    </row>
    <row r="843" spans="2:11" x14ac:dyDescent="0.25">
      <c r="B843" s="7"/>
      <c r="C843" s="14"/>
      <c r="D843" s="7"/>
      <c r="E843" s="6"/>
      <c r="F843" s="6"/>
      <c r="G843" s="7"/>
      <c r="H843" s="6"/>
      <c r="I843" s="14"/>
      <c r="K843" s="6"/>
    </row>
    <row r="844" spans="2:11" x14ac:dyDescent="0.25">
      <c r="B844" s="7"/>
      <c r="C844" s="14"/>
      <c r="D844" s="7"/>
      <c r="E844" s="6"/>
      <c r="F844" s="6"/>
      <c r="G844" s="7"/>
      <c r="H844" s="6"/>
      <c r="I844" s="14"/>
      <c r="K844" s="6"/>
    </row>
    <row r="845" spans="2:11" x14ac:dyDescent="0.25">
      <c r="B845" s="7"/>
      <c r="C845" s="14"/>
      <c r="D845" s="7"/>
      <c r="E845" s="6"/>
      <c r="F845" s="6"/>
      <c r="G845" s="7"/>
      <c r="H845" s="6"/>
      <c r="I845" s="14"/>
      <c r="K845" s="6"/>
    </row>
    <row r="846" spans="2:11" x14ac:dyDescent="0.25">
      <c r="B846" s="7"/>
      <c r="C846" s="14"/>
      <c r="D846" s="7"/>
      <c r="E846" s="6"/>
      <c r="F846" s="6"/>
      <c r="G846" s="7"/>
      <c r="H846" s="6"/>
      <c r="I846" s="14"/>
      <c r="K846" s="6"/>
    </row>
    <row r="847" spans="2:11" x14ac:dyDescent="0.25">
      <c r="B847" s="7"/>
      <c r="C847" s="14"/>
      <c r="D847" s="7"/>
      <c r="E847" s="6"/>
      <c r="F847" s="6"/>
      <c r="G847" s="7"/>
      <c r="H847" s="6"/>
      <c r="I847" s="14"/>
      <c r="K847" s="6"/>
    </row>
    <row r="848" spans="2:11" x14ac:dyDescent="0.25">
      <c r="B848" s="7"/>
      <c r="C848" s="14"/>
      <c r="D848" s="7"/>
      <c r="E848" s="6"/>
      <c r="F848" s="6"/>
      <c r="G848" s="7"/>
      <c r="H848" s="6"/>
      <c r="I848" s="14"/>
      <c r="K848" s="6"/>
    </row>
    <row r="849" spans="2:11" x14ac:dyDescent="0.25">
      <c r="B849" s="7"/>
      <c r="C849" s="14"/>
      <c r="D849" s="7"/>
      <c r="E849" s="6"/>
      <c r="F849" s="6"/>
      <c r="G849" s="7"/>
      <c r="H849" s="6"/>
      <c r="I849" s="14"/>
      <c r="K849" s="6"/>
    </row>
    <row r="850" spans="2:11" x14ac:dyDescent="0.25">
      <c r="B850" s="7"/>
      <c r="C850" s="14"/>
      <c r="D850" s="7"/>
      <c r="E850" s="6"/>
      <c r="F850" s="6"/>
      <c r="G850" s="7"/>
      <c r="H850" s="6"/>
      <c r="I850" s="14"/>
      <c r="K850" s="6"/>
    </row>
    <row r="851" spans="2:11" x14ac:dyDescent="0.25">
      <c r="B851" s="7"/>
      <c r="C851" s="14"/>
      <c r="D851" s="7"/>
      <c r="E851" s="6"/>
      <c r="F851" s="6"/>
      <c r="G851" s="7"/>
      <c r="H851" s="6"/>
      <c r="I851" s="14"/>
      <c r="K851" s="6"/>
    </row>
    <row r="852" spans="2:11" x14ac:dyDescent="0.25">
      <c r="B852" s="7"/>
      <c r="C852" s="14"/>
      <c r="D852" s="7"/>
      <c r="E852" s="6"/>
      <c r="F852" s="6"/>
      <c r="G852" s="7"/>
      <c r="H852" s="6"/>
      <c r="I852" s="14"/>
      <c r="K852" s="6"/>
    </row>
    <row r="853" spans="2:11" x14ac:dyDescent="0.25">
      <c r="B853" s="7"/>
      <c r="C853" s="14"/>
      <c r="D853" s="7"/>
      <c r="E853" s="6"/>
      <c r="F853" s="6"/>
      <c r="G853" s="7"/>
      <c r="H853" s="6"/>
      <c r="I853" s="14"/>
      <c r="K853" s="6"/>
    </row>
    <row r="854" spans="2:11" x14ac:dyDescent="0.25">
      <c r="B854" s="7"/>
      <c r="C854" s="14"/>
      <c r="D854" s="7"/>
      <c r="E854" s="6"/>
      <c r="F854" s="6"/>
      <c r="G854" s="7"/>
      <c r="H854" s="6"/>
      <c r="I854" s="14"/>
      <c r="K854" s="6"/>
    </row>
    <row r="855" spans="2:11" x14ac:dyDescent="0.25">
      <c r="B855" s="7"/>
      <c r="C855" s="14"/>
      <c r="D855" s="7"/>
      <c r="E855" s="6"/>
      <c r="F855" s="6"/>
      <c r="G855" s="7"/>
      <c r="H855" s="6"/>
      <c r="I855" s="14"/>
      <c r="K855" s="6"/>
    </row>
    <row r="856" spans="2:11" x14ac:dyDescent="0.25">
      <c r="B856" s="7"/>
      <c r="C856" s="14"/>
      <c r="D856" s="7"/>
      <c r="E856" s="6"/>
      <c r="F856" s="6"/>
      <c r="G856" s="7"/>
      <c r="H856" s="6"/>
      <c r="I856" s="14"/>
      <c r="K856" s="6"/>
    </row>
    <row r="857" spans="2:11" x14ac:dyDescent="0.25">
      <c r="B857" s="7"/>
      <c r="C857" s="14"/>
      <c r="D857" s="7"/>
      <c r="E857" s="6"/>
      <c r="F857" s="6"/>
      <c r="G857" s="7"/>
      <c r="H857" s="6"/>
      <c r="I857" s="14"/>
      <c r="K857" s="6"/>
    </row>
    <row r="858" spans="2:11" x14ac:dyDescent="0.25">
      <c r="B858" s="7"/>
      <c r="C858" s="14"/>
      <c r="D858" s="7"/>
      <c r="E858" s="6"/>
      <c r="F858" s="6"/>
      <c r="G858" s="7"/>
      <c r="H858" s="6"/>
      <c r="I858" s="14"/>
      <c r="K858" s="6"/>
    </row>
    <row r="859" spans="2:11" x14ac:dyDescent="0.25">
      <c r="B859" s="7"/>
      <c r="C859" s="14"/>
      <c r="D859" s="7"/>
      <c r="E859" s="6"/>
      <c r="F859" s="6"/>
      <c r="G859" s="7"/>
      <c r="H859" s="6"/>
      <c r="I859" s="14"/>
      <c r="K859" s="6"/>
    </row>
    <row r="860" spans="2:11" x14ac:dyDescent="0.25">
      <c r="B860" s="7"/>
      <c r="C860" s="14"/>
      <c r="D860" s="7"/>
      <c r="E860" s="6"/>
      <c r="F860" s="6"/>
      <c r="G860" s="7"/>
      <c r="H860" s="6"/>
      <c r="I860" s="14"/>
      <c r="K860" s="6"/>
    </row>
    <row r="861" spans="2:11" x14ac:dyDescent="0.25">
      <c r="B861" s="7"/>
      <c r="C861" s="14"/>
      <c r="D861" s="7"/>
      <c r="E861" s="6"/>
      <c r="F861" s="6"/>
      <c r="G861" s="7"/>
      <c r="H861" s="6"/>
      <c r="I861" s="14"/>
      <c r="K861" s="6"/>
    </row>
    <row r="862" spans="2:11" x14ac:dyDescent="0.25">
      <c r="B862" s="7"/>
      <c r="C862" s="14"/>
      <c r="D862" s="7"/>
      <c r="E862" s="6"/>
      <c r="F862" s="6"/>
      <c r="G862" s="7"/>
      <c r="H862" s="6"/>
      <c r="I862" s="14"/>
      <c r="K862" s="6"/>
    </row>
    <row r="863" spans="2:11" x14ac:dyDescent="0.25">
      <c r="B863" s="7"/>
      <c r="C863" s="14"/>
      <c r="D863" s="7"/>
      <c r="E863" s="6"/>
      <c r="F863" s="6"/>
      <c r="G863" s="7"/>
      <c r="H863" s="6"/>
      <c r="I863" s="14"/>
      <c r="K863" s="6"/>
    </row>
    <row r="864" spans="2:11" x14ac:dyDescent="0.25">
      <c r="B864" s="7"/>
      <c r="C864" s="14"/>
      <c r="D864" s="7"/>
      <c r="E864" s="6"/>
      <c r="F864" s="6"/>
      <c r="G864" s="7"/>
      <c r="H864" s="6"/>
      <c r="I864" s="14"/>
      <c r="K864" s="6"/>
    </row>
    <row r="865" spans="2:11" x14ac:dyDescent="0.25">
      <c r="B865" s="7"/>
      <c r="C865" s="14"/>
      <c r="D865" s="7"/>
      <c r="E865" s="6"/>
      <c r="F865" s="6"/>
      <c r="G865" s="7"/>
      <c r="H865" s="6"/>
      <c r="I865" s="14"/>
      <c r="K865" s="6"/>
    </row>
    <row r="866" spans="2:11" x14ac:dyDescent="0.25">
      <c r="B866" s="7"/>
      <c r="C866" s="14"/>
      <c r="D866" s="7"/>
      <c r="E866" s="6"/>
      <c r="F866" s="6"/>
      <c r="G866" s="7"/>
      <c r="H866" s="6"/>
      <c r="I866" s="14"/>
      <c r="K866" s="6"/>
    </row>
    <row r="867" spans="2:11" x14ac:dyDescent="0.25">
      <c r="B867" s="7"/>
      <c r="C867" s="14"/>
      <c r="D867" s="7"/>
      <c r="E867" s="6"/>
      <c r="F867" s="6"/>
      <c r="G867" s="7"/>
      <c r="H867" s="6"/>
      <c r="I867" s="14"/>
      <c r="K867" s="6"/>
    </row>
    <row r="868" spans="2:11" x14ac:dyDescent="0.25">
      <c r="B868" s="7"/>
      <c r="C868" s="14"/>
      <c r="D868" s="7"/>
      <c r="E868" s="6"/>
      <c r="F868" s="6"/>
      <c r="G868" s="7"/>
      <c r="H868" s="6"/>
      <c r="I868" s="14"/>
      <c r="K868" s="6"/>
    </row>
    <row r="869" spans="2:11" x14ac:dyDescent="0.25">
      <c r="B869" s="7"/>
      <c r="C869" s="14"/>
      <c r="D869" s="7"/>
      <c r="E869" s="6"/>
      <c r="F869" s="6"/>
      <c r="G869" s="7"/>
      <c r="H869" s="6"/>
      <c r="I869" s="14"/>
      <c r="K869" s="6"/>
    </row>
    <row r="870" spans="2:11" x14ac:dyDescent="0.25">
      <c r="B870" s="7"/>
      <c r="C870" s="14"/>
      <c r="D870" s="7"/>
      <c r="E870" s="6"/>
      <c r="F870" s="6"/>
      <c r="G870" s="7"/>
      <c r="H870" s="6"/>
      <c r="I870" s="14"/>
      <c r="K870" s="6"/>
    </row>
    <row r="871" spans="2:11" x14ac:dyDescent="0.25">
      <c r="B871" s="7"/>
      <c r="C871" s="14"/>
      <c r="D871" s="7"/>
      <c r="E871" s="6"/>
      <c r="F871" s="6"/>
      <c r="G871" s="7"/>
      <c r="H871" s="6"/>
      <c r="I871" s="14"/>
      <c r="K871" s="6"/>
    </row>
    <row r="872" spans="2:11" x14ac:dyDescent="0.25">
      <c r="B872" s="7"/>
      <c r="C872" s="14"/>
      <c r="D872" s="7"/>
      <c r="E872" s="6"/>
      <c r="F872" s="6"/>
      <c r="G872" s="7"/>
      <c r="H872" s="6"/>
      <c r="I872" s="14"/>
      <c r="K872" s="6"/>
    </row>
    <row r="873" spans="2:11" x14ac:dyDescent="0.25">
      <c r="B873" s="7"/>
      <c r="C873" s="14"/>
      <c r="D873" s="7"/>
      <c r="E873" s="6"/>
      <c r="F873" s="6"/>
      <c r="G873" s="7"/>
      <c r="H873" s="6"/>
      <c r="I873" s="14"/>
      <c r="K873" s="6"/>
    </row>
    <row r="874" spans="2:11" x14ac:dyDescent="0.25">
      <c r="B874" s="7"/>
      <c r="C874" s="14"/>
      <c r="D874" s="7"/>
      <c r="E874" s="6"/>
      <c r="F874" s="6"/>
      <c r="G874" s="7"/>
      <c r="H874" s="6"/>
      <c r="I874" s="14"/>
      <c r="K874" s="6"/>
    </row>
    <row r="875" spans="2:11" x14ac:dyDescent="0.25">
      <c r="B875" s="7"/>
      <c r="C875" s="14"/>
      <c r="D875" s="7"/>
      <c r="E875" s="6"/>
      <c r="F875" s="6"/>
      <c r="G875" s="7"/>
      <c r="H875" s="6"/>
      <c r="I875" s="14"/>
      <c r="K875" s="6"/>
    </row>
    <row r="876" spans="2:11" x14ac:dyDescent="0.25">
      <c r="B876" s="7"/>
      <c r="C876" s="14"/>
      <c r="D876" s="7"/>
      <c r="E876" s="6"/>
      <c r="F876" s="6"/>
      <c r="G876" s="7"/>
      <c r="H876" s="6"/>
      <c r="I876" s="14"/>
      <c r="K876" s="6"/>
    </row>
    <row r="877" spans="2:11" x14ac:dyDescent="0.25">
      <c r="B877" s="7"/>
      <c r="C877" s="14"/>
      <c r="D877" s="7"/>
      <c r="E877" s="6"/>
      <c r="F877" s="6"/>
      <c r="G877" s="7"/>
      <c r="H877" s="6"/>
      <c r="I877" s="14"/>
      <c r="K877" s="6"/>
    </row>
    <row r="878" spans="2:11" x14ac:dyDescent="0.25">
      <c r="B878" s="7"/>
      <c r="C878" s="14"/>
      <c r="D878" s="7"/>
      <c r="E878" s="6"/>
      <c r="F878" s="6"/>
      <c r="G878" s="7"/>
      <c r="H878" s="6"/>
      <c r="I878" s="14"/>
      <c r="K878" s="6"/>
    </row>
    <row r="879" spans="2:11" x14ac:dyDescent="0.25">
      <c r="B879" s="7"/>
      <c r="C879" s="14"/>
      <c r="D879" s="7"/>
      <c r="E879" s="6"/>
      <c r="F879" s="6"/>
      <c r="G879" s="7"/>
      <c r="H879" s="6"/>
      <c r="I879" s="14"/>
      <c r="K879" s="6"/>
    </row>
    <row r="880" spans="2:11" x14ac:dyDescent="0.25">
      <c r="B880" s="7"/>
      <c r="C880" s="14"/>
      <c r="D880" s="7"/>
      <c r="E880" s="6"/>
      <c r="F880" s="6"/>
      <c r="G880" s="7"/>
      <c r="H880" s="6"/>
      <c r="I880" s="14"/>
      <c r="K880" s="6"/>
    </row>
    <row r="881" spans="2:11" x14ac:dyDescent="0.25">
      <c r="B881" s="7"/>
      <c r="C881" s="14"/>
      <c r="D881" s="7"/>
      <c r="E881" s="6"/>
      <c r="F881" s="6"/>
      <c r="G881" s="7"/>
      <c r="H881" s="6"/>
      <c r="I881" s="14"/>
      <c r="K881" s="6"/>
    </row>
    <row r="882" spans="2:11" x14ac:dyDescent="0.25">
      <c r="B882" s="7"/>
      <c r="C882" s="14"/>
      <c r="D882" s="7"/>
      <c r="E882" s="6"/>
      <c r="F882" s="6"/>
      <c r="G882" s="7"/>
      <c r="H882" s="6"/>
      <c r="I882" s="14"/>
      <c r="K882" s="6"/>
    </row>
    <row r="883" spans="2:11" x14ac:dyDescent="0.25">
      <c r="B883" s="7"/>
      <c r="C883" s="14"/>
      <c r="D883" s="7"/>
      <c r="E883" s="6"/>
      <c r="F883" s="6"/>
      <c r="G883" s="7"/>
      <c r="H883" s="6"/>
      <c r="I883" s="14"/>
      <c r="K883" s="6"/>
    </row>
    <row r="884" spans="2:11" x14ac:dyDescent="0.25">
      <c r="B884" s="7"/>
      <c r="C884" s="14"/>
      <c r="D884" s="7"/>
      <c r="E884" s="6"/>
      <c r="F884" s="6"/>
      <c r="G884" s="7"/>
      <c r="H884" s="6"/>
      <c r="I884" s="14"/>
      <c r="K884" s="6"/>
    </row>
    <row r="885" spans="2:11" x14ac:dyDescent="0.25">
      <c r="B885" s="7"/>
      <c r="C885" s="14"/>
      <c r="D885" s="7"/>
      <c r="E885" s="6"/>
      <c r="F885" s="6"/>
      <c r="G885" s="7"/>
      <c r="H885" s="6"/>
      <c r="I885" s="14"/>
      <c r="K885" s="6"/>
    </row>
    <row r="886" spans="2:11" x14ac:dyDescent="0.25">
      <c r="B886" s="7"/>
      <c r="C886" s="14"/>
      <c r="D886" s="7"/>
      <c r="E886" s="6"/>
      <c r="F886" s="6"/>
      <c r="G886" s="7"/>
      <c r="H886" s="6"/>
      <c r="I886" s="14"/>
      <c r="K886" s="6"/>
    </row>
    <row r="887" spans="2:11" x14ac:dyDescent="0.25">
      <c r="B887" s="7"/>
      <c r="C887" s="14"/>
      <c r="D887" s="7"/>
      <c r="E887" s="6"/>
      <c r="F887" s="6"/>
      <c r="G887" s="7"/>
      <c r="H887" s="6"/>
      <c r="I887" s="14"/>
      <c r="K887" s="6"/>
    </row>
    <row r="888" spans="2:11" x14ac:dyDescent="0.25">
      <c r="B888" s="7"/>
      <c r="C888" s="14"/>
      <c r="D888" s="7"/>
      <c r="E888" s="6"/>
      <c r="F888" s="6"/>
      <c r="G888" s="7"/>
      <c r="H888" s="6"/>
      <c r="I888" s="14"/>
      <c r="K888" s="6"/>
    </row>
    <row r="889" spans="2:11" x14ac:dyDescent="0.25">
      <c r="B889" s="7"/>
      <c r="C889" s="14"/>
      <c r="D889" s="7"/>
      <c r="E889" s="6"/>
      <c r="F889" s="6"/>
      <c r="G889" s="7"/>
      <c r="H889" s="6"/>
      <c r="I889" s="14"/>
      <c r="K889" s="6"/>
    </row>
    <row r="890" spans="2:11" x14ac:dyDescent="0.25">
      <c r="B890" s="7"/>
      <c r="C890" s="14"/>
      <c r="D890" s="7"/>
      <c r="E890" s="6"/>
      <c r="F890" s="6"/>
      <c r="G890" s="7"/>
      <c r="H890" s="6"/>
      <c r="I890" s="14"/>
      <c r="K890" s="6"/>
    </row>
    <row r="891" spans="2:11" x14ac:dyDescent="0.25">
      <c r="B891" s="7"/>
      <c r="C891" s="14"/>
      <c r="D891" s="7"/>
      <c r="E891" s="6"/>
      <c r="F891" s="6"/>
      <c r="G891" s="7"/>
      <c r="H891" s="6"/>
      <c r="I891" s="14"/>
      <c r="K891" s="6"/>
    </row>
    <row r="892" spans="2:11" x14ac:dyDescent="0.25">
      <c r="B892" s="7"/>
      <c r="C892" s="14"/>
      <c r="D892" s="7"/>
      <c r="E892" s="6"/>
      <c r="F892" s="6"/>
      <c r="G892" s="7"/>
      <c r="H892" s="6"/>
      <c r="I892" s="14"/>
      <c r="K892" s="6"/>
    </row>
    <row r="893" spans="2:11" x14ac:dyDescent="0.25">
      <c r="B893" s="7"/>
      <c r="C893" s="14"/>
      <c r="D893" s="7"/>
      <c r="E893" s="6"/>
      <c r="F893" s="6"/>
      <c r="G893" s="7"/>
      <c r="H893" s="6"/>
      <c r="I893" s="14"/>
      <c r="K893" s="6"/>
    </row>
    <row r="894" spans="2:11" x14ac:dyDescent="0.25">
      <c r="B894" s="7"/>
      <c r="C894" s="14"/>
      <c r="D894" s="7"/>
      <c r="E894" s="6"/>
      <c r="F894" s="6"/>
      <c r="G894" s="7"/>
      <c r="H894" s="6"/>
      <c r="I894" s="14"/>
      <c r="K894" s="6"/>
    </row>
    <row r="895" spans="2:11" x14ac:dyDescent="0.25">
      <c r="B895" s="7"/>
      <c r="C895" s="14"/>
      <c r="D895" s="7"/>
      <c r="E895" s="6"/>
      <c r="F895" s="6"/>
      <c r="G895" s="7"/>
      <c r="H895" s="6"/>
      <c r="I895" s="14"/>
      <c r="K895" s="6"/>
    </row>
    <row r="896" spans="2:11" x14ac:dyDescent="0.25">
      <c r="B896" s="7"/>
      <c r="C896" s="14"/>
      <c r="D896" s="7"/>
      <c r="E896" s="6"/>
      <c r="F896" s="6"/>
      <c r="G896" s="7"/>
      <c r="H896" s="6"/>
      <c r="I896" s="14"/>
      <c r="K896" s="6"/>
    </row>
    <row r="897" spans="2:11" x14ac:dyDescent="0.25">
      <c r="B897" s="7"/>
      <c r="C897" s="14"/>
      <c r="D897" s="7"/>
      <c r="E897" s="6"/>
      <c r="F897" s="6"/>
      <c r="G897" s="7"/>
      <c r="H897" s="6"/>
      <c r="I897" s="14"/>
      <c r="K897" s="6"/>
    </row>
    <row r="898" spans="2:11" x14ac:dyDescent="0.25">
      <c r="B898" s="7"/>
      <c r="C898" s="14"/>
      <c r="D898" s="7"/>
      <c r="E898" s="6"/>
      <c r="F898" s="6"/>
      <c r="G898" s="7"/>
      <c r="H898" s="6"/>
      <c r="I898" s="14"/>
      <c r="K898" s="6"/>
    </row>
    <row r="899" spans="2:11" x14ac:dyDescent="0.25">
      <c r="B899" s="7"/>
      <c r="C899" s="14"/>
      <c r="D899" s="7"/>
      <c r="E899" s="6"/>
      <c r="F899" s="6"/>
      <c r="G899" s="7"/>
      <c r="H899" s="6"/>
      <c r="I899" s="14"/>
      <c r="K899" s="6"/>
    </row>
    <row r="900" spans="2:11" x14ac:dyDescent="0.25">
      <c r="B900" s="7"/>
      <c r="C900" s="14"/>
      <c r="D900" s="7"/>
      <c r="E900" s="6"/>
      <c r="F900" s="6"/>
      <c r="G900" s="7"/>
      <c r="H900" s="6"/>
      <c r="I900" s="14"/>
      <c r="K900" s="6"/>
    </row>
    <row r="901" spans="2:11" x14ac:dyDescent="0.25">
      <c r="B901" s="7"/>
      <c r="C901" s="14"/>
      <c r="D901" s="7"/>
      <c r="E901" s="6"/>
      <c r="F901" s="6"/>
      <c r="G901" s="7"/>
      <c r="H901" s="6"/>
      <c r="I901" s="14"/>
      <c r="K901" s="6"/>
    </row>
    <row r="902" spans="2:11" x14ac:dyDescent="0.25">
      <c r="B902" s="7"/>
      <c r="C902" s="14"/>
      <c r="D902" s="7"/>
      <c r="E902" s="6"/>
      <c r="F902" s="6"/>
      <c r="G902" s="7"/>
      <c r="H902" s="6"/>
      <c r="I902" s="14"/>
      <c r="K902" s="6"/>
    </row>
    <row r="903" spans="2:11" x14ac:dyDescent="0.25">
      <c r="B903" s="7"/>
      <c r="C903" s="14"/>
      <c r="D903" s="7"/>
      <c r="E903" s="6"/>
      <c r="F903" s="6"/>
      <c r="G903" s="7"/>
      <c r="H903" s="6"/>
      <c r="I903" s="14"/>
      <c r="K903" s="6"/>
    </row>
    <row r="904" spans="2:11" x14ac:dyDescent="0.25">
      <c r="B904" s="7"/>
      <c r="C904" s="14"/>
      <c r="D904" s="7"/>
      <c r="E904" s="6"/>
      <c r="F904" s="6"/>
      <c r="G904" s="7"/>
      <c r="H904" s="6"/>
      <c r="I904" s="14"/>
      <c r="K904" s="6"/>
    </row>
    <row r="905" spans="2:11" x14ac:dyDescent="0.25">
      <c r="B905" s="7"/>
      <c r="C905" s="14"/>
      <c r="D905" s="7"/>
      <c r="E905" s="6"/>
      <c r="F905" s="6"/>
      <c r="G905" s="7"/>
      <c r="H905" s="6"/>
      <c r="I905" s="14"/>
      <c r="K905" s="6"/>
    </row>
    <row r="906" spans="2:11" x14ac:dyDescent="0.25">
      <c r="B906" s="7"/>
      <c r="C906" s="14"/>
      <c r="D906" s="7"/>
      <c r="E906" s="6"/>
      <c r="F906" s="6"/>
      <c r="G906" s="7"/>
      <c r="H906" s="6"/>
      <c r="I906" s="14"/>
      <c r="K906" s="6"/>
    </row>
    <row r="907" spans="2:11" x14ac:dyDescent="0.25">
      <c r="B907" s="7"/>
      <c r="C907" s="14"/>
      <c r="D907" s="7"/>
      <c r="E907" s="6"/>
      <c r="F907" s="6"/>
      <c r="G907" s="7"/>
      <c r="H907" s="6"/>
      <c r="I907" s="14"/>
      <c r="K907" s="6"/>
    </row>
    <row r="908" spans="2:11" x14ac:dyDescent="0.25">
      <c r="B908" s="7"/>
      <c r="C908" s="14"/>
      <c r="D908" s="7"/>
      <c r="E908" s="6"/>
      <c r="F908" s="6"/>
      <c r="G908" s="7"/>
      <c r="H908" s="6"/>
      <c r="I908" s="14"/>
      <c r="K908" s="6"/>
    </row>
    <row r="909" spans="2:11" x14ac:dyDescent="0.25">
      <c r="B909" s="7"/>
      <c r="C909" s="14"/>
      <c r="D909" s="7"/>
      <c r="E909" s="6"/>
      <c r="F909" s="6"/>
      <c r="G909" s="7"/>
      <c r="H909" s="6"/>
      <c r="I909" s="14"/>
      <c r="K909" s="6"/>
    </row>
    <row r="910" spans="2:11" x14ac:dyDescent="0.25">
      <c r="B910" s="7"/>
      <c r="C910" s="14"/>
      <c r="D910" s="7"/>
      <c r="E910" s="6"/>
      <c r="F910" s="6"/>
      <c r="G910" s="7"/>
      <c r="H910" s="6"/>
      <c r="I910" s="14"/>
      <c r="K910" s="6"/>
    </row>
    <row r="911" spans="2:11" x14ac:dyDescent="0.25">
      <c r="B911" s="7"/>
      <c r="C911" s="14"/>
      <c r="D911" s="7"/>
      <c r="E911" s="6"/>
      <c r="F911" s="6"/>
      <c r="G911" s="7"/>
      <c r="H911" s="6"/>
      <c r="I911" s="14"/>
      <c r="K911" s="6"/>
    </row>
    <row r="912" spans="2:11" x14ac:dyDescent="0.25">
      <c r="B912" s="7"/>
      <c r="C912" s="14"/>
      <c r="D912" s="7"/>
      <c r="E912" s="6"/>
      <c r="F912" s="6"/>
      <c r="G912" s="7"/>
      <c r="H912" s="6"/>
      <c r="I912" s="14"/>
      <c r="K912" s="6"/>
    </row>
    <row r="913" spans="2:11" x14ac:dyDescent="0.25">
      <c r="B913" s="7"/>
      <c r="C913" s="14"/>
      <c r="D913" s="7"/>
      <c r="E913" s="6"/>
      <c r="F913" s="6"/>
      <c r="G913" s="7"/>
      <c r="H913" s="6"/>
      <c r="I913" s="14"/>
      <c r="K913" s="6"/>
    </row>
    <row r="914" spans="2:11" x14ac:dyDescent="0.25">
      <c r="B914" s="7"/>
      <c r="C914" s="14"/>
      <c r="D914" s="7"/>
      <c r="E914" s="6"/>
      <c r="F914" s="6"/>
      <c r="G914" s="7"/>
      <c r="H914" s="6"/>
      <c r="I914" s="14"/>
      <c r="K914" s="6"/>
    </row>
    <row r="915" spans="2:11" x14ac:dyDescent="0.25">
      <c r="B915" s="7"/>
      <c r="C915" s="14"/>
      <c r="D915" s="7"/>
      <c r="E915" s="6"/>
      <c r="F915" s="6"/>
      <c r="G915" s="7"/>
      <c r="H915" s="6"/>
      <c r="I915" s="14"/>
      <c r="K915" s="6"/>
    </row>
    <row r="916" spans="2:11" x14ac:dyDescent="0.25">
      <c r="B916" s="7"/>
      <c r="C916" s="14"/>
      <c r="D916" s="7"/>
      <c r="E916" s="6"/>
      <c r="F916" s="6"/>
      <c r="G916" s="7"/>
      <c r="H916" s="6"/>
      <c r="I916" s="14"/>
      <c r="K916" s="6"/>
    </row>
    <row r="917" spans="2:11" x14ac:dyDescent="0.25">
      <c r="B917" s="7"/>
      <c r="C917" s="14"/>
      <c r="D917" s="7"/>
      <c r="E917" s="6"/>
      <c r="F917" s="6"/>
      <c r="G917" s="7"/>
      <c r="H917" s="6"/>
      <c r="I917" s="14"/>
      <c r="K917" s="6"/>
    </row>
    <row r="918" spans="2:11" x14ac:dyDescent="0.25">
      <c r="B918" s="7"/>
      <c r="C918" s="14"/>
      <c r="D918" s="7"/>
      <c r="E918" s="6"/>
      <c r="F918" s="6"/>
      <c r="G918" s="7"/>
      <c r="H918" s="6"/>
      <c r="I918" s="14"/>
      <c r="K918" s="6"/>
    </row>
    <row r="919" spans="2:11" x14ac:dyDescent="0.25">
      <c r="B919" s="7"/>
      <c r="C919" s="14"/>
      <c r="D919" s="7"/>
      <c r="E919" s="6"/>
      <c r="F919" s="6"/>
      <c r="G919" s="7"/>
      <c r="H919" s="6"/>
      <c r="I919" s="14"/>
      <c r="K919" s="6"/>
    </row>
    <row r="920" spans="2:11" x14ac:dyDescent="0.25">
      <c r="B920" s="7"/>
      <c r="C920" s="14"/>
      <c r="D920" s="7"/>
      <c r="E920" s="6"/>
      <c r="F920" s="6"/>
      <c r="G920" s="7"/>
      <c r="H920" s="6"/>
      <c r="I920" s="14"/>
      <c r="K920" s="6"/>
    </row>
    <row r="921" spans="2:11" x14ac:dyDescent="0.25">
      <c r="B921" s="7"/>
      <c r="C921" s="14"/>
      <c r="D921" s="7"/>
      <c r="E921" s="6"/>
      <c r="F921" s="6"/>
      <c r="G921" s="7"/>
      <c r="H921" s="6"/>
      <c r="I921" s="14"/>
      <c r="K921" s="6"/>
    </row>
    <row r="922" spans="2:11" x14ac:dyDescent="0.25">
      <c r="B922" s="7"/>
      <c r="C922" s="14"/>
      <c r="D922" s="7"/>
      <c r="E922" s="6"/>
      <c r="F922" s="6"/>
      <c r="G922" s="7"/>
      <c r="H922" s="6"/>
      <c r="I922" s="14"/>
      <c r="K922" s="6"/>
    </row>
    <row r="923" spans="2:11" x14ac:dyDescent="0.25">
      <c r="B923" s="7"/>
      <c r="C923" s="14"/>
      <c r="D923" s="7"/>
      <c r="E923" s="6"/>
      <c r="F923" s="6"/>
      <c r="G923" s="7"/>
      <c r="H923" s="6"/>
      <c r="I923" s="14"/>
      <c r="K923" s="6"/>
    </row>
    <row r="924" spans="2:11" x14ac:dyDescent="0.25">
      <c r="B924" s="7"/>
      <c r="C924" s="14"/>
      <c r="D924" s="7"/>
      <c r="E924" s="6"/>
      <c r="F924" s="6"/>
      <c r="G924" s="7"/>
      <c r="H924" s="6"/>
      <c r="I924" s="14"/>
      <c r="K924" s="6"/>
    </row>
    <row r="925" spans="2:11" x14ac:dyDescent="0.25">
      <c r="B925" s="7"/>
      <c r="C925" s="14"/>
      <c r="D925" s="7"/>
      <c r="E925" s="6"/>
      <c r="F925" s="6"/>
      <c r="G925" s="7"/>
      <c r="H925" s="6"/>
      <c r="I925" s="14"/>
      <c r="K925" s="6"/>
    </row>
    <row r="926" spans="2:11" x14ac:dyDescent="0.25">
      <c r="B926" s="7"/>
      <c r="C926" s="14"/>
      <c r="D926" s="7"/>
      <c r="E926" s="6"/>
      <c r="F926" s="6"/>
      <c r="G926" s="7"/>
      <c r="H926" s="6"/>
      <c r="I926" s="14"/>
      <c r="K926" s="6"/>
    </row>
    <row r="927" spans="2:11" x14ac:dyDescent="0.25">
      <c r="B927" s="7"/>
      <c r="C927" s="14"/>
      <c r="D927" s="7"/>
      <c r="E927" s="6"/>
      <c r="F927" s="6"/>
      <c r="G927" s="7"/>
      <c r="H927" s="6"/>
      <c r="I927" s="14"/>
      <c r="K927" s="6"/>
    </row>
    <row r="928" spans="2:11" x14ac:dyDescent="0.25">
      <c r="B928" s="7"/>
      <c r="C928" s="14"/>
      <c r="D928" s="7"/>
      <c r="E928" s="6"/>
      <c r="F928" s="6"/>
      <c r="G928" s="7"/>
      <c r="H928" s="6"/>
      <c r="I928" s="14"/>
      <c r="K928" s="6"/>
    </row>
    <row r="929" spans="2:11" x14ac:dyDescent="0.25">
      <c r="B929" s="7"/>
      <c r="C929" s="14"/>
      <c r="D929" s="7"/>
      <c r="E929" s="6"/>
      <c r="F929" s="6"/>
      <c r="G929" s="7"/>
      <c r="H929" s="6"/>
      <c r="I929" s="14"/>
      <c r="K929" s="6"/>
    </row>
    <row r="930" spans="2:11" x14ac:dyDescent="0.25">
      <c r="B930" s="7"/>
      <c r="C930" s="14"/>
      <c r="D930" s="7"/>
      <c r="E930" s="6"/>
      <c r="F930" s="6"/>
      <c r="G930" s="7"/>
      <c r="H930" s="6"/>
      <c r="I930" s="14"/>
      <c r="K930" s="6"/>
    </row>
    <row r="931" spans="2:11" x14ac:dyDescent="0.25">
      <c r="B931" s="7"/>
      <c r="C931" s="14"/>
      <c r="D931" s="7"/>
      <c r="E931" s="6"/>
      <c r="F931" s="6"/>
      <c r="G931" s="7"/>
      <c r="H931" s="6"/>
      <c r="I931" s="14"/>
      <c r="K931" s="6"/>
    </row>
    <row r="932" spans="2:11" x14ac:dyDescent="0.25">
      <c r="B932" s="7"/>
      <c r="C932" s="14"/>
      <c r="D932" s="7"/>
      <c r="E932" s="6"/>
      <c r="F932" s="6"/>
      <c r="G932" s="7"/>
      <c r="H932" s="6"/>
      <c r="I932" s="14"/>
      <c r="K932" s="6"/>
    </row>
    <row r="933" spans="2:11" x14ac:dyDescent="0.25">
      <c r="B933" s="7"/>
      <c r="C933" s="14"/>
      <c r="D933" s="7"/>
      <c r="E933" s="6"/>
      <c r="F933" s="6"/>
      <c r="G933" s="7"/>
      <c r="H933" s="6"/>
      <c r="I933" s="14"/>
      <c r="K933" s="6"/>
    </row>
    <row r="934" spans="2:11" x14ac:dyDescent="0.25">
      <c r="B934" s="7"/>
      <c r="C934" s="14"/>
      <c r="D934" s="7"/>
      <c r="E934" s="6"/>
      <c r="F934" s="6"/>
      <c r="G934" s="7"/>
      <c r="H934" s="6"/>
      <c r="I934" s="14"/>
      <c r="K934" s="6"/>
    </row>
    <row r="935" spans="2:11" x14ac:dyDescent="0.25">
      <c r="B935" s="7"/>
      <c r="C935" s="14"/>
      <c r="D935" s="7"/>
      <c r="E935" s="6"/>
      <c r="F935" s="6"/>
      <c r="G935" s="7"/>
      <c r="H935" s="6"/>
      <c r="I935" s="14"/>
      <c r="K935" s="6"/>
    </row>
    <row r="936" spans="2:11" x14ac:dyDescent="0.25">
      <c r="B936" s="7"/>
      <c r="C936" s="14"/>
      <c r="D936" s="7"/>
      <c r="E936" s="6"/>
      <c r="F936" s="6"/>
      <c r="G936" s="7"/>
      <c r="H936" s="6"/>
      <c r="I936" s="14"/>
      <c r="K936" s="6"/>
    </row>
    <row r="937" spans="2:11" x14ac:dyDescent="0.25">
      <c r="B937" s="7"/>
      <c r="C937" s="14"/>
      <c r="D937" s="7"/>
      <c r="E937" s="6"/>
      <c r="F937" s="6"/>
      <c r="G937" s="7"/>
      <c r="H937" s="6"/>
      <c r="I937" s="14"/>
      <c r="K937" s="6"/>
    </row>
    <row r="938" spans="2:11" x14ac:dyDescent="0.25">
      <c r="B938" s="7"/>
      <c r="C938" s="14"/>
      <c r="D938" s="7"/>
      <c r="E938" s="6"/>
      <c r="F938" s="6"/>
      <c r="G938" s="7"/>
      <c r="H938" s="6"/>
      <c r="I938" s="14"/>
      <c r="K938" s="6"/>
    </row>
    <row r="939" spans="2:11" x14ac:dyDescent="0.25">
      <c r="B939" s="7"/>
      <c r="C939" s="14"/>
      <c r="D939" s="7"/>
      <c r="E939" s="6"/>
      <c r="F939" s="6"/>
      <c r="G939" s="7"/>
      <c r="H939" s="6"/>
      <c r="I939" s="14"/>
      <c r="K939" s="6"/>
    </row>
    <row r="940" spans="2:11" x14ac:dyDescent="0.25">
      <c r="B940" s="7"/>
      <c r="C940" s="14"/>
      <c r="D940" s="7"/>
      <c r="E940" s="6"/>
      <c r="F940" s="6"/>
      <c r="G940" s="7"/>
      <c r="H940" s="6"/>
      <c r="I940" s="14"/>
      <c r="K940" s="6"/>
    </row>
    <row r="941" spans="2:11" x14ac:dyDescent="0.25">
      <c r="B941" s="7"/>
      <c r="C941" s="14"/>
      <c r="D941" s="7"/>
      <c r="E941" s="6"/>
      <c r="F941" s="6"/>
      <c r="G941" s="7"/>
      <c r="H941" s="6"/>
      <c r="I941" s="14"/>
      <c r="K941" s="6"/>
    </row>
    <row r="942" spans="2:11" x14ac:dyDescent="0.25">
      <c r="B942" s="7"/>
      <c r="C942" s="14"/>
      <c r="D942" s="7"/>
      <c r="E942" s="6"/>
      <c r="F942" s="6"/>
      <c r="G942" s="7"/>
      <c r="H942" s="6"/>
      <c r="I942" s="14"/>
      <c r="K942" s="6"/>
    </row>
    <row r="943" spans="2:11" x14ac:dyDescent="0.25">
      <c r="B943" s="7"/>
      <c r="C943" s="14"/>
      <c r="D943" s="7"/>
      <c r="E943" s="6"/>
      <c r="F943" s="6"/>
      <c r="G943" s="7"/>
      <c r="H943" s="6"/>
      <c r="I943" s="14"/>
      <c r="K943" s="6"/>
    </row>
    <row r="944" spans="2:11" x14ac:dyDescent="0.25">
      <c r="B944" s="7"/>
      <c r="C944" s="14"/>
      <c r="D944" s="7"/>
      <c r="E944" s="6"/>
      <c r="F944" s="6"/>
      <c r="G944" s="7"/>
      <c r="H944" s="6"/>
      <c r="I944" s="14"/>
      <c r="K944" s="6"/>
    </row>
    <row r="945" spans="2:11" x14ac:dyDescent="0.25">
      <c r="B945" s="7"/>
      <c r="C945" s="14"/>
      <c r="D945" s="7"/>
      <c r="E945" s="6"/>
      <c r="F945" s="6"/>
      <c r="G945" s="7"/>
      <c r="H945" s="6"/>
      <c r="I945" s="14"/>
      <c r="K945" s="6"/>
    </row>
    <row r="946" spans="2:11" x14ac:dyDescent="0.25">
      <c r="B946" s="7"/>
      <c r="C946" s="14"/>
      <c r="D946" s="7"/>
      <c r="E946" s="6"/>
      <c r="F946" s="6"/>
      <c r="G946" s="7"/>
      <c r="H946" s="6"/>
      <c r="I946" s="14"/>
      <c r="K946" s="6"/>
    </row>
    <row r="947" spans="2:11" x14ac:dyDescent="0.25">
      <c r="B947" s="7"/>
      <c r="C947" s="14"/>
      <c r="D947" s="7"/>
      <c r="E947" s="6"/>
      <c r="F947" s="6"/>
      <c r="G947" s="7"/>
      <c r="H947" s="6"/>
      <c r="I947" s="14"/>
      <c r="K947" s="6"/>
    </row>
    <row r="948" spans="2:11" x14ac:dyDescent="0.25">
      <c r="B948" s="7"/>
      <c r="C948" s="14"/>
      <c r="D948" s="7"/>
      <c r="E948" s="6"/>
      <c r="F948" s="6"/>
      <c r="G948" s="7"/>
      <c r="H948" s="6"/>
      <c r="I948" s="14"/>
      <c r="K948" s="6"/>
    </row>
    <row r="949" spans="2:11" x14ac:dyDescent="0.25">
      <c r="B949" s="7"/>
      <c r="C949" s="14"/>
      <c r="D949" s="7"/>
      <c r="E949" s="6"/>
      <c r="F949" s="6"/>
      <c r="G949" s="7"/>
      <c r="H949" s="6"/>
      <c r="I949" s="14"/>
      <c r="K949" s="6"/>
    </row>
    <row r="950" spans="2:11" x14ac:dyDescent="0.25">
      <c r="B950" s="7"/>
      <c r="C950" s="14"/>
      <c r="D950" s="7"/>
      <c r="E950" s="6"/>
      <c r="F950" s="6"/>
      <c r="G950" s="7"/>
      <c r="H950" s="6"/>
      <c r="I950" s="14"/>
      <c r="K950" s="6"/>
    </row>
    <row r="951" spans="2:11" x14ac:dyDescent="0.25">
      <c r="B951" s="7"/>
      <c r="C951" s="14"/>
      <c r="D951" s="7"/>
      <c r="E951" s="6"/>
      <c r="F951" s="6"/>
      <c r="G951" s="7"/>
      <c r="H951" s="6"/>
      <c r="I951" s="14"/>
      <c r="K951" s="6"/>
    </row>
    <row r="952" spans="2:11" x14ac:dyDescent="0.25">
      <c r="B952" s="7"/>
      <c r="C952" s="14"/>
      <c r="D952" s="7"/>
      <c r="E952" s="6"/>
      <c r="F952" s="6"/>
      <c r="G952" s="7"/>
      <c r="H952" s="6"/>
      <c r="I952" s="14"/>
      <c r="K952" s="6"/>
    </row>
    <row r="953" spans="2:11" x14ac:dyDescent="0.25">
      <c r="B953" s="7"/>
      <c r="C953" s="14"/>
      <c r="D953" s="7"/>
      <c r="E953" s="6"/>
      <c r="F953" s="6"/>
      <c r="G953" s="7"/>
      <c r="H953" s="6"/>
      <c r="I953" s="14"/>
      <c r="K953" s="6"/>
    </row>
    <row r="954" spans="2:11" x14ac:dyDescent="0.25">
      <c r="B954" s="7"/>
      <c r="C954" s="14"/>
      <c r="D954" s="7"/>
      <c r="E954" s="6"/>
      <c r="F954" s="6"/>
      <c r="G954" s="7"/>
      <c r="H954" s="6"/>
      <c r="I954" s="14"/>
      <c r="K954" s="6"/>
    </row>
    <row r="955" spans="2:11" x14ac:dyDescent="0.25">
      <c r="B955" s="7"/>
      <c r="C955" s="14"/>
      <c r="D955" s="7"/>
      <c r="E955" s="6"/>
      <c r="F955" s="6"/>
      <c r="G955" s="7"/>
      <c r="H955" s="6"/>
      <c r="I955" s="14"/>
      <c r="K955" s="6"/>
    </row>
    <row r="956" spans="2:11" x14ac:dyDescent="0.25">
      <c r="B956" s="7"/>
      <c r="C956" s="14"/>
      <c r="D956" s="7"/>
      <c r="E956" s="6"/>
      <c r="F956" s="6"/>
      <c r="G956" s="7"/>
      <c r="H956" s="6"/>
      <c r="I956" s="14"/>
      <c r="K956" s="6"/>
    </row>
    <row r="957" spans="2:11" x14ac:dyDescent="0.25">
      <c r="B957" s="7"/>
      <c r="C957" s="14"/>
      <c r="D957" s="7"/>
      <c r="E957" s="6"/>
      <c r="F957" s="6"/>
      <c r="G957" s="7"/>
      <c r="H957" s="6"/>
      <c r="I957" s="14"/>
      <c r="K957" s="6"/>
    </row>
    <row r="958" spans="2:11" x14ac:dyDescent="0.25">
      <c r="B958" s="7"/>
      <c r="C958" s="14"/>
      <c r="D958" s="7"/>
      <c r="E958" s="6"/>
      <c r="F958" s="6"/>
      <c r="G958" s="7"/>
      <c r="H958" s="6"/>
      <c r="I958" s="14"/>
      <c r="K958" s="6"/>
    </row>
    <row r="959" spans="2:11" x14ac:dyDescent="0.25">
      <c r="B959" s="7"/>
      <c r="C959" s="14"/>
      <c r="D959" s="7"/>
      <c r="E959" s="6"/>
      <c r="F959" s="6"/>
      <c r="G959" s="7"/>
      <c r="H959" s="6"/>
      <c r="I959" s="14"/>
      <c r="K959" s="6"/>
    </row>
    <row r="960" spans="2:11" x14ac:dyDescent="0.25">
      <c r="B960" s="7"/>
      <c r="C960" s="14"/>
      <c r="D960" s="7"/>
      <c r="E960" s="6"/>
      <c r="F960" s="6"/>
      <c r="G960" s="7"/>
      <c r="H960" s="6"/>
      <c r="I960" s="14"/>
      <c r="K960" s="6"/>
    </row>
    <row r="961" spans="2:11" x14ac:dyDescent="0.25">
      <c r="B961" s="7"/>
      <c r="C961" s="14"/>
      <c r="D961" s="7"/>
      <c r="E961" s="6"/>
      <c r="F961" s="6"/>
      <c r="G961" s="7"/>
      <c r="H961" s="6"/>
      <c r="I961" s="14"/>
      <c r="K961" s="6"/>
    </row>
    <row r="962" spans="2:11" x14ac:dyDescent="0.25">
      <c r="B962" s="7"/>
      <c r="C962" s="14"/>
      <c r="D962" s="7"/>
      <c r="E962" s="6"/>
      <c r="F962" s="6"/>
      <c r="G962" s="7"/>
      <c r="H962" s="6"/>
      <c r="I962" s="14"/>
      <c r="K962" s="6"/>
    </row>
    <row r="963" spans="2:11" x14ac:dyDescent="0.25">
      <c r="B963" s="7"/>
      <c r="C963" s="14"/>
      <c r="D963" s="7"/>
      <c r="E963" s="6"/>
      <c r="F963" s="6"/>
      <c r="G963" s="7"/>
      <c r="H963" s="6"/>
      <c r="I963" s="14"/>
      <c r="K963" s="6"/>
    </row>
    <row r="964" spans="2:11" x14ac:dyDescent="0.25">
      <c r="B964" s="7"/>
      <c r="C964" s="14"/>
      <c r="D964" s="7"/>
      <c r="E964" s="6"/>
      <c r="F964" s="6"/>
      <c r="G964" s="7"/>
      <c r="H964" s="6"/>
      <c r="I964" s="14"/>
      <c r="K964" s="6"/>
    </row>
    <row r="965" spans="2:11" x14ac:dyDescent="0.25">
      <c r="B965" s="7"/>
      <c r="C965" s="14"/>
      <c r="D965" s="7"/>
      <c r="E965" s="6"/>
      <c r="F965" s="6"/>
      <c r="G965" s="7"/>
      <c r="H965" s="6"/>
      <c r="I965" s="14"/>
      <c r="K965" s="6"/>
    </row>
    <row r="966" spans="2:11" x14ac:dyDescent="0.25">
      <c r="B966" s="7"/>
      <c r="C966" s="14"/>
      <c r="D966" s="7"/>
      <c r="E966" s="6"/>
      <c r="F966" s="6"/>
      <c r="G966" s="7"/>
      <c r="H966" s="6"/>
      <c r="I966" s="14"/>
      <c r="K966" s="6"/>
    </row>
    <row r="967" spans="2:11" x14ac:dyDescent="0.25">
      <c r="B967" s="7"/>
      <c r="C967" s="14"/>
      <c r="D967" s="7"/>
      <c r="E967" s="6"/>
      <c r="F967" s="6"/>
      <c r="G967" s="7"/>
      <c r="H967" s="6"/>
      <c r="I967" s="14"/>
      <c r="K967" s="6"/>
    </row>
    <row r="968" spans="2:11" x14ac:dyDescent="0.25">
      <c r="B968" s="7"/>
      <c r="C968" s="14"/>
      <c r="D968" s="7"/>
      <c r="E968" s="6"/>
      <c r="F968" s="6"/>
      <c r="G968" s="7"/>
      <c r="H968" s="6"/>
      <c r="I968" s="14"/>
      <c r="K968" s="6"/>
    </row>
    <row r="969" spans="2:11" x14ac:dyDescent="0.25">
      <c r="B969" s="7"/>
      <c r="C969" s="14"/>
      <c r="D969" s="7"/>
      <c r="E969" s="6"/>
      <c r="F969" s="6"/>
      <c r="G969" s="7"/>
      <c r="H969" s="6"/>
      <c r="I969" s="14"/>
      <c r="K969" s="6"/>
    </row>
    <row r="970" spans="2:11" x14ac:dyDescent="0.25">
      <c r="B970" s="7"/>
      <c r="C970" s="14"/>
      <c r="D970" s="7"/>
      <c r="E970" s="6"/>
      <c r="F970" s="6"/>
      <c r="G970" s="7"/>
      <c r="H970" s="6"/>
      <c r="I970" s="14"/>
      <c r="K970" s="6"/>
    </row>
    <row r="971" spans="2:11" x14ac:dyDescent="0.25">
      <c r="B971" s="7"/>
      <c r="C971" s="14"/>
      <c r="D971" s="7"/>
      <c r="E971" s="6"/>
      <c r="F971" s="6"/>
      <c r="G971" s="7"/>
      <c r="H971" s="6"/>
      <c r="I971" s="14"/>
      <c r="K971" s="6"/>
    </row>
    <row r="972" spans="2:11" x14ac:dyDescent="0.25">
      <c r="B972" s="7"/>
      <c r="C972" s="14"/>
      <c r="D972" s="7"/>
      <c r="E972" s="6"/>
      <c r="F972" s="6"/>
      <c r="G972" s="7"/>
      <c r="H972" s="6"/>
      <c r="I972" s="14"/>
      <c r="K972" s="6"/>
    </row>
    <row r="973" spans="2:11" x14ac:dyDescent="0.25">
      <c r="B973" s="7"/>
      <c r="C973" s="14"/>
      <c r="D973" s="7"/>
      <c r="E973" s="6"/>
      <c r="F973" s="6"/>
      <c r="G973" s="7"/>
      <c r="H973" s="6"/>
      <c r="I973" s="14"/>
      <c r="K973" s="6"/>
    </row>
    <row r="974" spans="2:11" x14ac:dyDescent="0.25">
      <c r="B974" s="7"/>
      <c r="C974" s="14"/>
      <c r="D974" s="7"/>
      <c r="E974" s="6"/>
      <c r="F974" s="6"/>
      <c r="G974" s="7"/>
      <c r="H974" s="6"/>
      <c r="I974" s="14"/>
      <c r="K974" s="6"/>
    </row>
    <row r="975" spans="2:11" x14ac:dyDescent="0.25">
      <c r="B975" s="7"/>
      <c r="C975" s="14"/>
      <c r="D975" s="7"/>
      <c r="E975" s="6"/>
      <c r="F975" s="6"/>
      <c r="G975" s="7"/>
      <c r="H975" s="6"/>
      <c r="I975" s="14"/>
      <c r="K975" s="6"/>
    </row>
    <row r="976" spans="2:11" x14ac:dyDescent="0.25">
      <c r="B976" s="7"/>
      <c r="C976" s="14"/>
      <c r="D976" s="7"/>
      <c r="E976" s="6"/>
      <c r="F976" s="6"/>
      <c r="G976" s="7"/>
      <c r="H976" s="6"/>
      <c r="I976" s="14"/>
      <c r="K976" s="6"/>
    </row>
    <row r="977" spans="2:11" x14ac:dyDescent="0.25">
      <c r="B977" s="7"/>
      <c r="C977" s="14"/>
      <c r="D977" s="7"/>
      <c r="E977" s="6"/>
      <c r="F977" s="6"/>
      <c r="G977" s="7"/>
      <c r="H977" s="6"/>
      <c r="I977" s="14"/>
      <c r="K977" s="6"/>
    </row>
    <row r="978" spans="2:11" x14ac:dyDescent="0.25">
      <c r="B978" s="7"/>
      <c r="C978" s="14"/>
      <c r="D978" s="7"/>
      <c r="E978" s="6"/>
      <c r="F978" s="6"/>
      <c r="G978" s="7"/>
      <c r="H978" s="6"/>
      <c r="I978" s="14"/>
      <c r="K978" s="6"/>
    </row>
    <row r="979" spans="2:11" x14ac:dyDescent="0.25">
      <c r="B979" s="7"/>
      <c r="C979" s="14"/>
      <c r="D979" s="7"/>
      <c r="E979" s="6"/>
      <c r="F979" s="6"/>
      <c r="G979" s="7"/>
      <c r="H979" s="6"/>
      <c r="I979" s="14"/>
      <c r="K979" s="6"/>
    </row>
    <row r="980" spans="2:11" x14ac:dyDescent="0.25">
      <c r="B980" s="7"/>
      <c r="C980" s="14"/>
      <c r="D980" s="7"/>
      <c r="E980" s="6"/>
      <c r="F980" s="6"/>
      <c r="G980" s="7"/>
      <c r="H980" s="6"/>
      <c r="I980" s="14"/>
      <c r="K980" s="6"/>
    </row>
    <row r="981" spans="2:11" x14ac:dyDescent="0.25">
      <c r="B981" s="7"/>
      <c r="C981" s="14"/>
      <c r="D981" s="7"/>
      <c r="E981" s="6"/>
      <c r="F981" s="6"/>
      <c r="G981" s="7"/>
      <c r="H981" s="6"/>
      <c r="I981" s="14"/>
      <c r="K981" s="6"/>
    </row>
    <row r="982" spans="2:11" x14ac:dyDescent="0.25">
      <c r="B982" s="7"/>
      <c r="C982" s="14"/>
      <c r="D982" s="7"/>
      <c r="E982" s="6"/>
      <c r="F982" s="6"/>
      <c r="G982" s="7"/>
      <c r="H982" s="6"/>
      <c r="I982" s="14"/>
      <c r="K982" s="6"/>
    </row>
    <row r="983" spans="2:11" x14ac:dyDescent="0.25">
      <c r="B983" s="7"/>
      <c r="C983" s="14"/>
      <c r="D983" s="7"/>
      <c r="E983" s="6"/>
      <c r="F983" s="6"/>
      <c r="G983" s="7"/>
      <c r="H983" s="6"/>
      <c r="I983" s="14"/>
      <c r="K983" s="6"/>
    </row>
    <row r="984" spans="2:11" x14ac:dyDescent="0.25">
      <c r="B984" s="7"/>
      <c r="C984" s="14"/>
      <c r="D984" s="7"/>
      <c r="E984" s="6"/>
      <c r="F984" s="6"/>
      <c r="G984" s="7"/>
      <c r="H984" s="6"/>
      <c r="I984" s="14"/>
      <c r="K984" s="6"/>
    </row>
    <row r="985" spans="2:11" x14ac:dyDescent="0.25">
      <c r="B985" s="7"/>
      <c r="C985" s="14"/>
      <c r="D985" s="7"/>
      <c r="E985" s="6"/>
      <c r="F985" s="6"/>
      <c r="G985" s="7"/>
      <c r="H985" s="6"/>
      <c r="I985" s="14"/>
      <c r="K985" s="6"/>
    </row>
    <row r="986" spans="2:11" x14ac:dyDescent="0.25">
      <c r="B986" s="7"/>
      <c r="C986" s="14"/>
      <c r="D986" s="7"/>
      <c r="E986" s="6"/>
      <c r="F986" s="6"/>
      <c r="G986" s="7"/>
      <c r="H986" s="6"/>
      <c r="I986" s="14"/>
      <c r="K986" s="6"/>
    </row>
    <row r="987" spans="2:11" x14ac:dyDescent="0.25">
      <c r="B987" s="7"/>
      <c r="C987" s="14"/>
      <c r="D987" s="7"/>
      <c r="E987" s="6"/>
      <c r="F987" s="6"/>
      <c r="G987" s="7"/>
      <c r="H987" s="6"/>
      <c r="I987" s="14"/>
      <c r="K987" s="6"/>
    </row>
    <row r="988" spans="2:11" x14ac:dyDescent="0.25">
      <c r="B988" s="7"/>
      <c r="C988" s="14"/>
      <c r="D988" s="7"/>
      <c r="E988" s="6"/>
      <c r="F988" s="6"/>
      <c r="G988" s="7"/>
      <c r="H988" s="6"/>
      <c r="I988" s="14"/>
      <c r="K988" s="6"/>
    </row>
    <row r="989" spans="2:11" x14ac:dyDescent="0.25">
      <c r="B989" s="7"/>
      <c r="C989" s="14"/>
      <c r="D989" s="7"/>
      <c r="E989" s="6"/>
      <c r="F989" s="6"/>
      <c r="G989" s="7"/>
      <c r="H989" s="6"/>
      <c r="I989" s="14"/>
      <c r="K989" s="6"/>
    </row>
    <row r="990" spans="2:11" x14ac:dyDescent="0.25">
      <c r="B990" s="7"/>
      <c r="C990" s="14"/>
      <c r="D990" s="7"/>
      <c r="E990" s="6"/>
      <c r="F990" s="6"/>
      <c r="G990" s="7"/>
      <c r="H990" s="6"/>
      <c r="I990" s="14"/>
      <c r="K990" s="6"/>
    </row>
    <row r="991" spans="2:11" x14ac:dyDescent="0.25">
      <c r="B991" s="7"/>
      <c r="C991" s="14"/>
      <c r="D991" s="7"/>
      <c r="E991" s="6"/>
      <c r="F991" s="6"/>
      <c r="G991" s="7"/>
      <c r="H991" s="6"/>
      <c r="I991" s="14"/>
      <c r="K991" s="6"/>
    </row>
    <row r="992" spans="2:11" x14ac:dyDescent="0.25">
      <c r="B992" s="7"/>
      <c r="C992" s="14"/>
      <c r="D992" s="7"/>
      <c r="E992" s="6"/>
      <c r="F992" s="6"/>
      <c r="G992" s="7"/>
      <c r="H992" s="6"/>
      <c r="I992" s="14"/>
      <c r="K992" s="6"/>
    </row>
    <row r="993" spans="2:11" x14ac:dyDescent="0.25">
      <c r="B993" s="7"/>
      <c r="C993" s="14"/>
      <c r="D993" s="7"/>
      <c r="E993" s="6"/>
      <c r="F993" s="6"/>
      <c r="G993" s="7"/>
      <c r="H993" s="6"/>
      <c r="I993" s="14"/>
      <c r="K993" s="6"/>
    </row>
    <row r="994" spans="2:11" x14ac:dyDescent="0.25">
      <c r="B994" s="7"/>
      <c r="C994" s="14"/>
      <c r="D994" s="7"/>
      <c r="E994" s="6"/>
      <c r="F994" s="6"/>
      <c r="G994" s="7"/>
      <c r="H994" s="6"/>
      <c r="I994" s="14"/>
      <c r="K994" s="6"/>
    </row>
    <row r="995" spans="2:11" x14ac:dyDescent="0.25">
      <c r="B995" s="7"/>
      <c r="C995" s="14"/>
      <c r="D995" s="7"/>
      <c r="E995" s="6"/>
      <c r="F995" s="6"/>
      <c r="G995" s="7"/>
      <c r="H995" s="6"/>
      <c r="I995" s="14"/>
      <c r="K995" s="6"/>
    </row>
    <row r="996" spans="2:11" x14ac:dyDescent="0.25">
      <c r="B996" s="7"/>
      <c r="C996" s="14"/>
      <c r="D996" s="7"/>
      <c r="E996" s="6"/>
      <c r="F996" s="6"/>
      <c r="G996" s="7"/>
      <c r="H996" s="6"/>
      <c r="I996" s="14"/>
      <c r="K996" s="6"/>
    </row>
    <row r="997" spans="2:11" x14ac:dyDescent="0.25">
      <c r="B997" s="7"/>
      <c r="C997" s="14"/>
      <c r="D997" s="7"/>
      <c r="E997" s="6"/>
      <c r="F997" s="6"/>
      <c r="G997" s="7"/>
      <c r="H997" s="6"/>
      <c r="I997" s="14"/>
      <c r="K997" s="6"/>
    </row>
    <row r="998" spans="2:11" x14ac:dyDescent="0.25">
      <c r="B998" s="7"/>
      <c r="C998" s="14"/>
      <c r="D998" s="7"/>
      <c r="E998" s="6"/>
      <c r="F998" s="6"/>
      <c r="G998" s="7"/>
      <c r="H998" s="6"/>
      <c r="I998" s="14"/>
      <c r="K998" s="6"/>
    </row>
    <row r="999" spans="2:11" x14ac:dyDescent="0.25">
      <c r="B999" s="7"/>
      <c r="C999" s="14"/>
      <c r="D999" s="7"/>
      <c r="E999" s="6"/>
      <c r="F999" s="6"/>
      <c r="G999" s="7"/>
      <c r="H999" s="6"/>
      <c r="I999" s="14"/>
      <c r="K999" s="6"/>
    </row>
    <row r="1000" spans="2:11" x14ac:dyDescent="0.25">
      <c r="B1000" s="7"/>
      <c r="C1000" s="14"/>
      <c r="D1000" s="7"/>
      <c r="E1000" s="6"/>
      <c r="F1000" s="6"/>
      <c r="G1000" s="7"/>
      <c r="H1000" s="6"/>
      <c r="I1000" s="14"/>
      <c r="K1000" s="6"/>
    </row>
    <row r="1001" spans="2:11" x14ac:dyDescent="0.25">
      <c r="B1001" s="7"/>
      <c r="C1001" s="14"/>
      <c r="D1001" s="7"/>
      <c r="E1001" s="6"/>
      <c r="F1001" s="6"/>
      <c r="G1001" s="7"/>
      <c r="H1001" s="6"/>
      <c r="I1001" s="14"/>
      <c r="K1001" s="6"/>
    </row>
    <row r="1002" spans="2:11" x14ac:dyDescent="0.25">
      <c r="B1002" s="7"/>
      <c r="C1002" s="14"/>
      <c r="D1002" s="7"/>
      <c r="E1002" s="6"/>
      <c r="F1002" s="6"/>
      <c r="G1002" s="7"/>
      <c r="H1002" s="6"/>
      <c r="I1002" s="14"/>
      <c r="K1002" s="6"/>
    </row>
    <row r="1003" spans="2:11" x14ac:dyDescent="0.25">
      <c r="B1003" s="7"/>
      <c r="C1003" s="14"/>
      <c r="D1003" s="7"/>
      <c r="E1003" s="6"/>
      <c r="F1003" s="6"/>
      <c r="G1003" s="7"/>
      <c r="H1003" s="6"/>
      <c r="I1003" s="14"/>
      <c r="K1003" s="6"/>
    </row>
    <row r="1004" spans="2:11" x14ac:dyDescent="0.25">
      <c r="B1004" s="7"/>
      <c r="C1004" s="14"/>
      <c r="D1004" s="7"/>
      <c r="E1004" s="6"/>
      <c r="F1004" s="6"/>
      <c r="G1004" s="7"/>
      <c r="H1004" s="6"/>
      <c r="I1004" s="14"/>
      <c r="K1004" s="6"/>
    </row>
    <row r="1005" spans="2:11" x14ac:dyDescent="0.25">
      <c r="B1005" s="7"/>
      <c r="C1005" s="14"/>
      <c r="D1005" s="7"/>
      <c r="E1005" s="6"/>
      <c r="F1005" s="6"/>
      <c r="G1005" s="7"/>
      <c r="H1005" s="6"/>
      <c r="I1005" s="14"/>
      <c r="K1005" s="6"/>
    </row>
    <row r="1006" spans="2:11" x14ac:dyDescent="0.25">
      <c r="B1006" s="7"/>
      <c r="C1006" s="14"/>
      <c r="D1006" s="7"/>
      <c r="E1006" s="6"/>
      <c r="F1006" s="6"/>
      <c r="G1006" s="7"/>
      <c r="H1006" s="6"/>
      <c r="I1006" s="14"/>
      <c r="K1006" s="6"/>
    </row>
    <row r="1007" spans="2:11" x14ac:dyDescent="0.25">
      <c r="B1007" s="7"/>
      <c r="C1007" s="14"/>
      <c r="D1007" s="7"/>
      <c r="E1007" s="6"/>
      <c r="F1007" s="6"/>
      <c r="G1007" s="7"/>
      <c r="H1007" s="6"/>
      <c r="I1007" s="14"/>
      <c r="K1007" s="6"/>
    </row>
    <row r="1008" spans="2:11" x14ac:dyDescent="0.25">
      <c r="B1008" s="7"/>
      <c r="C1008" s="14"/>
      <c r="D1008" s="7"/>
      <c r="E1008" s="6"/>
      <c r="F1008" s="6"/>
      <c r="G1008" s="7"/>
      <c r="H1008" s="6"/>
      <c r="I1008" s="14"/>
      <c r="K1008" s="6"/>
    </row>
    <row r="1009" spans="2:11" x14ac:dyDescent="0.25">
      <c r="B1009" s="7"/>
      <c r="C1009" s="14"/>
      <c r="D1009" s="7"/>
      <c r="E1009" s="6"/>
      <c r="F1009" s="6"/>
      <c r="G1009" s="7"/>
      <c r="H1009" s="6"/>
      <c r="I1009" s="14"/>
      <c r="K1009" s="6"/>
    </row>
    <row r="1010" spans="2:11" x14ac:dyDescent="0.25">
      <c r="B1010" s="7"/>
      <c r="C1010" s="14"/>
      <c r="D1010" s="7"/>
      <c r="E1010" s="6"/>
      <c r="F1010" s="6"/>
      <c r="G1010" s="7"/>
      <c r="H1010" s="6"/>
      <c r="I1010" s="14"/>
      <c r="K1010" s="6"/>
    </row>
    <row r="1011" spans="2:11" x14ac:dyDescent="0.25">
      <c r="B1011" s="7"/>
      <c r="C1011" s="14"/>
      <c r="D1011" s="7"/>
      <c r="E1011" s="6"/>
      <c r="F1011" s="6"/>
      <c r="G1011" s="7"/>
      <c r="H1011" s="6"/>
      <c r="I1011" s="14"/>
      <c r="K1011" s="6"/>
    </row>
    <row r="1012" spans="2:11" x14ac:dyDescent="0.25">
      <c r="B1012" s="7"/>
      <c r="C1012" s="14"/>
      <c r="D1012" s="7"/>
      <c r="E1012" s="6"/>
      <c r="F1012" s="6"/>
      <c r="G1012" s="7"/>
      <c r="H1012" s="6"/>
      <c r="I1012" s="14"/>
      <c r="K1012" s="6"/>
    </row>
    <row r="1013" spans="2:11" x14ac:dyDescent="0.25">
      <c r="B1013" s="7"/>
      <c r="C1013" s="14"/>
      <c r="D1013" s="7"/>
      <c r="E1013" s="6"/>
      <c r="F1013" s="6"/>
      <c r="G1013" s="7"/>
      <c r="H1013" s="6"/>
      <c r="I1013" s="14"/>
      <c r="K1013" s="6"/>
    </row>
    <row r="1014" spans="2:11" x14ac:dyDescent="0.25">
      <c r="B1014" s="7"/>
      <c r="C1014" s="14"/>
      <c r="D1014" s="7"/>
      <c r="E1014" s="6"/>
      <c r="F1014" s="6"/>
      <c r="G1014" s="7"/>
      <c r="H1014" s="6"/>
      <c r="I1014" s="14"/>
      <c r="K1014" s="6"/>
    </row>
    <row r="1015" spans="2:11" x14ac:dyDescent="0.25">
      <c r="B1015" s="7"/>
      <c r="C1015" s="14"/>
      <c r="D1015" s="7"/>
      <c r="E1015" s="6"/>
      <c r="F1015" s="6"/>
      <c r="G1015" s="7"/>
      <c r="H1015" s="6"/>
      <c r="I1015" s="14"/>
      <c r="K1015" s="6"/>
    </row>
    <row r="1016" spans="2:11" x14ac:dyDescent="0.25">
      <c r="B1016" s="7"/>
      <c r="C1016" s="14"/>
      <c r="D1016" s="7"/>
      <c r="E1016" s="6"/>
      <c r="F1016" s="6"/>
      <c r="G1016" s="7"/>
      <c r="H1016" s="6"/>
      <c r="I1016" s="14"/>
      <c r="K1016" s="6"/>
    </row>
    <row r="1017" spans="2:11" x14ac:dyDescent="0.25">
      <c r="B1017" s="7"/>
      <c r="C1017" s="14"/>
      <c r="D1017" s="7"/>
      <c r="E1017" s="6"/>
      <c r="F1017" s="6"/>
      <c r="G1017" s="7"/>
      <c r="H1017" s="6"/>
      <c r="I1017" s="14"/>
      <c r="K1017" s="6"/>
    </row>
    <row r="1018" spans="2:11" x14ac:dyDescent="0.25">
      <c r="B1018" s="7"/>
      <c r="C1018" s="14"/>
      <c r="D1018" s="7"/>
      <c r="E1018" s="6"/>
      <c r="F1018" s="6"/>
      <c r="G1018" s="7"/>
      <c r="H1018" s="6"/>
      <c r="I1018" s="14"/>
      <c r="K1018" s="6"/>
    </row>
    <row r="1019" spans="2:11" x14ac:dyDescent="0.25">
      <c r="B1019" s="7"/>
      <c r="C1019" s="14"/>
      <c r="D1019" s="7"/>
      <c r="E1019" s="6"/>
      <c r="F1019" s="6"/>
      <c r="G1019" s="7"/>
      <c r="H1019" s="6"/>
      <c r="I1019" s="14"/>
      <c r="K1019" s="6"/>
    </row>
    <row r="1020" spans="2:11" x14ac:dyDescent="0.25">
      <c r="B1020" s="7"/>
      <c r="C1020" s="14"/>
      <c r="D1020" s="7"/>
      <c r="E1020" s="6"/>
      <c r="F1020" s="6"/>
      <c r="G1020" s="7"/>
      <c r="H1020" s="6"/>
      <c r="I1020" s="14"/>
      <c r="K1020" s="6"/>
    </row>
    <row r="1021" spans="2:11" x14ac:dyDescent="0.25">
      <c r="B1021" s="7"/>
      <c r="C1021" s="14"/>
      <c r="D1021" s="7"/>
      <c r="E1021" s="6"/>
      <c r="F1021" s="6"/>
      <c r="G1021" s="7"/>
      <c r="H1021" s="6"/>
      <c r="I1021" s="14"/>
      <c r="K1021" s="6"/>
    </row>
    <row r="1022" spans="2:11" x14ac:dyDescent="0.25">
      <c r="B1022" s="7"/>
      <c r="C1022" s="14"/>
      <c r="D1022" s="7"/>
      <c r="E1022" s="6"/>
      <c r="F1022" s="6"/>
      <c r="G1022" s="7"/>
      <c r="H1022" s="6"/>
      <c r="I1022" s="14"/>
      <c r="K1022" s="6"/>
    </row>
    <row r="1023" spans="2:11" x14ac:dyDescent="0.25">
      <c r="B1023" s="7"/>
      <c r="C1023" s="14"/>
      <c r="D1023" s="7"/>
      <c r="E1023" s="6"/>
      <c r="F1023" s="6"/>
      <c r="G1023" s="7"/>
      <c r="H1023" s="6"/>
      <c r="I1023" s="14"/>
      <c r="K1023" s="6"/>
    </row>
    <row r="1024" spans="2:11" x14ac:dyDescent="0.25">
      <c r="B1024" s="7"/>
      <c r="C1024" s="14"/>
      <c r="D1024" s="7"/>
      <c r="E1024" s="6"/>
      <c r="F1024" s="6"/>
      <c r="G1024" s="7"/>
      <c r="H1024" s="6"/>
      <c r="I1024" s="14"/>
      <c r="K1024" s="6"/>
    </row>
    <row r="1025" spans="2:11" x14ac:dyDescent="0.25">
      <c r="B1025" s="7"/>
      <c r="C1025" s="14"/>
      <c r="D1025" s="7"/>
      <c r="E1025" s="6"/>
      <c r="F1025" s="6"/>
      <c r="G1025" s="7"/>
      <c r="H1025" s="6"/>
      <c r="I1025" s="14"/>
      <c r="K1025" s="6"/>
    </row>
    <row r="1026" spans="2:11" x14ac:dyDescent="0.25">
      <c r="B1026" s="7"/>
      <c r="C1026" s="14"/>
      <c r="D1026" s="7"/>
      <c r="E1026" s="6"/>
      <c r="F1026" s="6"/>
      <c r="G1026" s="7"/>
      <c r="H1026" s="6"/>
      <c r="I1026" s="14"/>
      <c r="K1026" s="6"/>
    </row>
    <row r="1027" spans="2:11" x14ac:dyDescent="0.25">
      <c r="B1027" s="7"/>
      <c r="C1027" s="14"/>
      <c r="D1027" s="7"/>
      <c r="E1027" s="6"/>
      <c r="F1027" s="6"/>
      <c r="G1027" s="7"/>
      <c r="H1027" s="6"/>
      <c r="I1027" s="14"/>
      <c r="K1027" s="6"/>
    </row>
    <row r="1028" spans="2:11" x14ac:dyDescent="0.25">
      <c r="B1028" s="7"/>
      <c r="C1028" s="14"/>
      <c r="D1028" s="7"/>
      <c r="E1028" s="6"/>
      <c r="F1028" s="6"/>
      <c r="G1028" s="7"/>
      <c r="H1028" s="6"/>
      <c r="I1028" s="14"/>
      <c r="K1028" s="6"/>
    </row>
    <row r="1029" spans="2:11" x14ac:dyDescent="0.25">
      <c r="B1029" s="7"/>
      <c r="C1029" s="14"/>
      <c r="D1029" s="7"/>
      <c r="E1029" s="6"/>
      <c r="F1029" s="6"/>
      <c r="G1029" s="7"/>
      <c r="H1029" s="6"/>
      <c r="I1029" s="14"/>
      <c r="K1029" s="6"/>
    </row>
    <row r="1030" spans="2:11" x14ac:dyDescent="0.25">
      <c r="B1030" s="7"/>
      <c r="C1030" s="14"/>
      <c r="D1030" s="7"/>
      <c r="E1030" s="6"/>
      <c r="F1030" s="6"/>
      <c r="G1030" s="7"/>
      <c r="H1030" s="6"/>
      <c r="I1030" s="14"/>
      <c r="K1030" s="6"/>
    </row>
    <row r="1031" spans="2:11" x14ac:dyDescent="0.25">
      <c r="B1031" s="7"/>
      <c r="C1031" s="14"/>
      <c r="D1031" s="7"/>
      <c r="E1031" s="6"/>
      <c r="F1031" s="6"/>
      <c r="G1031" s="7"/>
      <c r="H1031" s="6"/>
      <c r="I1031" s="14"/>
      <c r="K1031" s="6"/>
    </row>
    <row r="1032" spans="2:11" x14ac:dyDescent="0.25">
      <c r="B1032" s="7"/>
      <c r="C1032" s="14"/>
      <c r="D1032" s="7"/>
      <c r="E1032" s="6"/>
      <c r="F1032" s="6"/>
      <c r="G1032" s="7"/>
      <c r="H1032" s="6"/>
      <c r="I1032" s="14"/>
      <c r="K1032" s="6"/>
    </row>
    <row r="1033" spans="2:11" x14ac:dyDescent="0.25">
      <c r="B1033" s="7"/>
      <c r="C1033" s="14"/>
      <c r="D1033" s="7"/>
      <c r="E1033" s="6"/>
      <c r="F1033" s="6"/>
      <c r="G1033" s="7"/>
      <c r="H1033" s="6"/>
      <c r="I1033" s="14"/>
      <c r="K1033" s="6"/>
    </row>
    <row r="1034" spans="2:11" x14ac:dyDescent="0.25">
      <c r="B1034" s="7"/>
      <c r="C1034" s="14"/>
      <c r="D1034" s="7"/>
      <c r="E1034" s="6"/>
      <c r="F1034" s="6"/>
      <c r="G1034" s="7"/>
      <c r="H1034" s="6"/>
      <c r="I1034" s="14"/>
      <c r="K1034" s="6"/>
    </row>
    <row r="1035" spans="2:11" x14ac:dyDescent="0.25">
      <c r="B1035" s="7"/>
      <c r="C1035" s="14"/>
      <c r="D1035" s="7"/>
      <c r="E1035" s="6"/>
      <c r="F1035" s="6"/>
      <c r="G1035" s="7"/>
      <c r="H1035" s="6"/>
      <c r="I1035" s="14"/>
      <c r="K1035" s="6"/>
    </row>
    <row r="1036" spans="2:11" x14ac:dyDescent="0.25">
      <c r="B1036" s="7"/>
      <c r="C1036" s="14"/>
      <c r="D1036" s="7"/>
      <c r="E1036" s="6"/>
      <c r="F1036" s="6"/>
      <c r="G1036" s="7"/>
      <c r="H1036" s="6"/>
      <c r="I1036" s="14"/>
      <c r="K1036" s="6"/>
    </row>
    <row r="1037" spans="2:11" x14ac:dyDescent="0.25">
      <c r="B1037" s="7"/>
      <c r="C1037" s="14"/>
      <c r="D1037" s="7"/>
      <c r="E1037" s="6"/>
      <c r="F1037" s="6"/>
      <c r="G1037" s="7"/>
      <c r="H1037" s="6"/>
      <c r="I1037" s="14"/>
      <c r="K1037" s="6"/>
    </row>
    <row r="1038" spans="2:11" x14ac:dyDescent="0.25">
      <c r="B1038" s="7"/>
      <c r="C1038" s="14"/>
      <c r="D1038" s="7"/>
      <c r="E1038" s="6"/>
      <c r="F1038" s="6"/>
      <c r="G1038" s="7"/>
      <c r="H1038" s="6"/>
      <c r="I1038" s="14"/>
      <c r="K1038" s="6"/>
    </row>
    <row r="1039" spans="2:11" x14ac:dyDescent="0.25">
      <c r="B1039" s="7"/>
      <c r="C1039" s="14"/>
      <c r="D1039" s="7"/>
      <c r="E1039" s="6"/>
      <c r="F1039" s="6"/>
      <c r="G1039" s="7"/>
      <c r="H1039" s="6"/>
      <c r="I1039" s="14"/>
      <c r="K1039" s="6"/>
    </row>
    <row r="1040" spans="2:11" x14ac:dyDescent="0.25">
      <c r="B1040" s="7"/>
      <c r="C1040" s="14"/>
      <c r="D1040" s="7"/>
      <c r="E1040" s="6"/>
      <c r="F1040" s="6"/>
      <c r="G1040" s="7"/>
      <c r="H1040" s="6"/>
      <c r="I1040" s="14"/>
      <c r="K1040" s="6"/>
    </row>
    <row r="1041" spans="2:11" x14ac:dyDescent="0.25">
      <c r="B1041" s="7"/>
      <c r="C1041" s="14"/>
      <c r="D1041" s="7"/>
      <c r="E1041" s="6"/>
      <c r="F1041" s="6"/>
      <c r="G1041" s="7"/>
      <c r="H1041" s="6"/>
      <c r="I1041" s="14"/>
      <c r="K1041" s="6"/>
    </row>
    <row r="1042" spans="2:11" x14ac:dyDescent="0.25">
      <c r="B1042" s="7"/>
      <c r="C1042" s="14"/>
      <c r="D1042" s="7"/>
      <c r="E1042" s="6"/>
      <c r="F1042" s="6"/>
      <c r="G1042" s="7"/>
      <c r="H1042" s="6"/>
      <c r="I1042" s="14"/>
      <c r="K1042" s="6"/>
    </row>
    <row r="1043" spans="2:11" x14ac:dyDescent="0.25">
      <c r="B1043" s="7"/>
      <c r="C1043" s="14"/>
      <c r="D1043" s="7"/>
      <c r="E1043" s="6"/>
      <c r="F1043" s="6"/>
      <c r="G1043" s="7"/>
      <c r="H1043" s="6"/>
      <c r="I1043" s="14"/>
      <c r="K1043" s="6"/>
    </row>
    <row r="1044" spans="2:11" x14ac:dyDescent="0.25">
      <c r="B1044" s="7"/>
      <c r="C1044" s="14"/>
      <c r="D1044" s="7"/>
      <c r="E1044" s="6"/>
      <c r="F1044" s="6"/>
      <c r="G1044" s="7"/>
      <c r="H1044" s="6"/>
      <c r="I1044" s="14"/>
      <c r="K1044" s="6"/>
    </row>
    <row r="1045" spans="2:11" x14ac:dyDescent="0.25">
      <c r="B1045" s="7"/>
      <c r="C1045" s="14"/>
      <c r="D1045" s="7"/>
      <c r="E1045" s="6"/>
      <c r="F1045" s="6"/>
      <c r="G1045" s="7"/>
      <c r="H1045" s="6"/>
      <c r="I1045" s="14"/>
      <c r="K1045" s="6"/>
    </row>
    <row r="1046" spans="2:11" x14ac:dyDescent="0.25">
      <c r="B1046" s="7"/>
      <c r="C1046" s="14"/>
      <c r="D1046" s="7"/>
      <c r="E1046" s="6"/>
      <c r="F1046" s="6"/>
      <c r="G1046" s="7"/>
      <c r="H1046" s="6"/>
      <c r="I1046" s="14"/>
      <c r="K1046" s="6"/>
    </row>
    <row r="1047" spans="2:11" x14ac:dyDescent="0.25">
      <c r="B1047" s="7"/>
      <c r="C1047" s="14"/>
      <c r="D1047" s="7"/>
      <c r="E1047" s="6"/>
      <c r="F1047" s="6"/>
      <c r="G1047" s="7"/>
      <c r="H1047" s="6"/>
      <c r="I1047" s="14"/>
      <c r="K1047" s="6"/>
    </row>
    <row r="1048" spans="2:11" x14ac:dyDescent="0.25">
      <c r="B1048" s="7"/>
      <c r="C1048" s="14"/>
      <c r="D1048" s="7"/>
      <c r="E1048" s="6"/>
      <c r="F1048" s="6"/>
      <c r="G1048" s="7"/>
      <c r="H1048" s="6"/>
      <c r="I1048" s="14"/>
      <c r="K1048" s="6"/>
    </row>
    <row r="1049" spans="2:11" x14ac:dyDescent="0.25">
      <c r="B1049" s="7"/>
      <c r="C1049" s="14"/>
      <c r="D1049" s="7"/>
      <c r="E1049" s="6"/>
      <c r="F1049" s="6"/>
      <c r="G1049" s="7"/>
      <c r="H1049" s="6"/>
      <c r="I1049" s="14"/>
      <c r="K1049" s="6"/>
    </row>
    <row r="1050" spans="2:11" x14ac:dyDescent="0.25">
      <c r="B1050" s="7"/>
      <c r="C1050" s="14"/>
      <c r="D1050" s="7"/>
      <c r="E1050" s="6"/>
      <c r="F1050" s="6"/>
      <c r="G1050" s="7"/>
      <c r="H1050" s="6"/>
      <c r="I1050" s="14"/>
      <c r="K1050" s="6"/>
    </row>
    <row r="1051" spans="2:11" x14ac:dyDescent="0.25">
      <c r="B1051" s="7"/>
      <c r="C1051" s="14"/>
      <c r="D1051" s="7"/>
      <c r="E1051" s="6"/>
      <c r="F1051" s="6"/>
      <c r="G1051" s="7"/>
      <c r="H1051" s="6"/>
      <c r="I1051" s="14"/>
      <c r="K1051" s="6"/>
    </row>
    <row r="1052" spans="2:11" x14ac:dyDescent="0.25">
      <c r="B1052" s="7"/>
      <c r="C1052" s="14"/>
      <c r="D1052" s="7"/>
      <c r="E1052" s="6"/>
      <c r="F1052" s="6"/>
      <c r="G1052" s="7"/>
      <c r="H1052" s="6"/>
      <c r="I1052" s="14"/>
      <c r="K1052" s="6"/>
    </row>
    <row r="1053" spans="2:11" x14ac:dyDescent="0.25">
      <c r="B1053" s="7"/>
      <c r="C1053" s="14"/>
      <c r="D1053" s="7"/>
      <c r="E1053" s="6"/>
      <c r="F1053" s="6"/>
      <c r="G1053" s="7"/>
      <c r="H1053" s="6"/>
      <c r="I1053" s="14"/>
      <c r="K1053" s="6"/>
    </row>
    <row r="1054" spans="2:11" x14ac:dyDescent="0.25">
      <c r="B1054" s="7"/>
      <c r="C1054" s="14"/>
      <c r="D1054" s="7"/>
      <c r="E1054" s="6"/>
      <c r="F1054" s="6"/>
      <c r="G1054" s="7"/>
      <c r="H1054" s="6"/>
      <c r="I1054" s="14"/>
      <c r="K1054" s="6"/>
    </row>
    <row r="1055" spans="2:11" x14ac:dyDescent="0.25">
      <c r="B1055" s="7"/>
      <c r="C1055" s="14"/>
      <c r="D1055" s="7"/>
      <c r="E1055" s="6"/>
      <c r="F1055" s="6"/>
      <c r="G1055" s="7"/>
      <c r="H1055" s="6"/>
      <c r="I1055" s="14"/>
      <c r="K1055" s="6"/>
    </row>
    <row r="1056" spans="2:11" x14ac:dyDescent="0.25">
      <c r="B1056" s="7"/>
      <c r="C1056" s="14"/>
      <c r="D1056" s="7"/>
      <c r="E1056" s="6"/>
      <c r="F1056" s="6"/>
      <c r="G1056" s="7"/>
      <c r="H1056" s="6"/>
      <c r="I1056" s="14"/>
      <c r="K1056" s="6"/>
    </row>
    <row r="1057" spans="2:11" x14ac:dyDescent="0.25">
      <c r="B1057" s="7"/>
      <c r="C1057" s="14"/>
      <c r="D1057" s="7"/>
      <c r="E1057" s="6"/>
      <c r="F1057" s="6"/>
      <c r="G1057" s="7"/>
      <c r="H1057" s="6"/>
      <c r="I1057" s="14"/>
      <c r="K1057" s="6"/>
    </row>
    <row r="1058" spans="2:11" x14ac:dyDescent="0.25">
      <c r="B1058" s="7"/>
      <c r="C1058" s="14"/>
      <c r="D1058" s="7"/>
      <c r="E1058" s="6"/>
      <c r="F1058" s="6"/>
      <c r="G1058" s="7"/>
      <c r="H1058" s="6"/>
      <c r="I1058" s="14"/>
      <c r="K1058" s="6"/>
    </row>
    <row r="1059" spans="2:11" x14ac:dyDescent="0.25">
      <c r="B1059" s="7"/>
      <c r="C1059" s="14"/>
      <c r="D1059" s="7"/>
      <c r="E1059" s="6"/>
      <c r="F1059" s="6"/>
      <c r="G1059" s="7"/>
      <c r="H1059" s="6"/>
      <c r="I1059" s="14"/>
      <c r="K1059" s="6"/>
    </row>
    <row r="1060" spans="2:11" x14ac:dyDescent="0.25">
      <c r="B1060" s="7"/>
      <c r="C1060" s="14"/>
      <c r="D1060" s="7"/>
      <c r="E1060" s="6"/>
      <c r="F1060" s="6"/>
      <c r="G1060" s="7"/>
      <c r="H1060" s="6"/>
      <c r="I1060" s="14"/>
      <c r="K1060" s="6"/>
    </row>
    <row r="1061" spans="2:11" x14ac:dyDescent="0.25">
      <c r="B1061" s="7"/>
      <c r="C1061" s="14"/>
      <c r="D1061" s="7"/>
      <c r="E1061" s="6"/>
      <c r="F1061" s="6"/>
      <c r="G1061" s="7"/>
      <c r="H1061" s="6"/>
      <c r="I1061" s="14"/>
      <c r="K1061" s="6"/>
    </row>
    <row r="1062" spans="2:11" x14ac:dyDescent="0.25">
      <c r="B1062" s="7"/>
      <c r="C1062" s="14"/>
      <c r="D1062" s="7"/>
      <c r="E1062" s="6"/>
      <c r="F1062" s="6"/>
      <c r="G1062" s="7"/>
      <c r="H1062" s="6"/>
      <c r="I1062" s="14"/>
      <c r="K1062" s="6"/>
    </row>
    <row r="1063" spans="2:11" x14ac:dyDescent="0.25">
      <c r="B1063" s="7"/>
      <c r="C1063" s="14"/>
      <c r="D1063" s="7"/>
      <c r="E1063" s="6"/>
      <c r="F1063" s="6"/>
      <c r="G1063" s="7"/>
      <c r="H1063" s="6"/>
      <c r="I1063" s="14"/>
      <c r="K1063" s="6"/>
    </row>
    <row r="1064" spans="2:11" x14ac:dyDescent="0.25">
      <c r="B1064" s="7"/>
      <c r="C1064" s="14"/>
      <c r="D1064" s="7"/>
      <c r="E1064" s="6"/>
      <c r="F1064" s="6"/>
      <c r="G1064" s="7"/>
      <c r="H1064" s="6"/>
      <c r="I1064" s="14"/>
      <c r="K1064" s="6"/>
    </row>
    <row r="1065" spans="2:11" x14ac:dyDescent="0.25">
      <c r="B1065" s="7"/>
      <c r="C1065" s="14"/>
      <c r="D1065" s="7"/>
      <c r="E1065" s="6"/>
      <c r="F1065" s="6"/>
      <c r="G1065" s="7"/>
      <c r="H1065" s="6"/>
      <c r="I1065" s="14"/>
      <c r="K1065" s="6"/>
    </row>
    <row r="1066" spans="2:11" x14ac:dyDescent="0.25">
      <c r="B1066" s="7"/>
      <c r="C1066" s="14"/>
      <c r="D1066" s="7"/>
      <c r="E1066" s="6"/>
      <c r="F1066" s="6"/>
      <c r="G1066" s="7"/>
      <c r="H1066" s="6"/>
      <c r="I1066" s="14"/>
      <c r="K1066" s="6"/>
    </row>
    <row r="1067" spans="2:11" x14ac:dyDescent="0.25">
      <c r="B1067" s="7"/>
      <c r="C1067" s="14"/>
      <c r="D1067" s="7"/>
      <c r="E1067" s="6"/>
      <c r="F1067" s="6"/>
      <c r="G1067" s="7"/>
      <c r="H1067" s="6"/>
      <c r="I1067" s="14"/>
      <c r="K1067" s="6"/>
    </row>
    <row r="1068" spans="2:11" x14ac:dyDescent="0.25">
      <c r="B1068" s="7"/>
      <c r="C1068" s="14"/>
      <c r="D1068" s="7"/>
      <c r="E1068" s="6"/>
      <c r="F1068" s="6"/>
      <c r="G1068" s="7"/>
      <c r="H1068" s="6"/>
      <c r="I1068" s="14"/>
      <c r="K1068" s="6"/>
    </row>
    <row r="1069" spans="2:11" x14ac:dyDescent="0.25">
      <c r="B1069" s="7"/>
      <c r="C1069" s="14"/>
      <c r="D1069" s="7"/>
      <c r="E1069" s="6"/>
      <c r="F1069" s="6"/>
      <c r="G1069" s="7"/>
      <c r="H1069" s="6"/>
      <c r="I1069" s="14"/>
      <c r="K1069" s="6"/>
    </row>
    <row r="1070" spans="2:11" x14ac:dyDescent="0.25">
      <c r="B1070" s="7"/>
      <c r="C1070" s="14"/>
      <c r="D1070" s="7"/>
      <c r="E1070" s="6"/>
      <c r="F1070" s="6"/>
      <c r="G1070" s="7"/>
      <c r="H1070" s="6"/>
      <c r="I1070" s="14"/>
      <c r="K1070" s="6"/>
    </row>
    <row r="1071" spans="2:11" x14ac:dyDescent="0.25">
      <c r="B1071" s="7"/>
      <c r="C1071" s="14"/>
      <c r="D1071" s="7"/>
      <c r="E1071" s="6"/>
      <c r="F1071" s="6"/>
      <c r="G1071" s="7"/>
      <c r="H1071" s="6"/>
      <c r="I1071" s="14"/>
      <c r="K1071" s="6"/>
    </row>
    <row r="1072" spans="2:11" x14ac:dyDescent="0.25">
      <c r="B1072" s="7"/>
      <c r="C1072" s="14"/>
      <c r="D1072" s="7"/>
      <c r="E1072" s="6"/>
      <c r="F1072" s="6"/>
      <c r="G1072" s="7"/>
      <c r="H1072" s="6"/>
      <c r="I1072" s="14"/>
      <c r="K1072" s="6"/>
    </row>
    <row r="1073" spans="2:11" x14ac:dyDescent="0.25">
      <c r="B1073" s="7"/>
      <c r="C1073" s="14"/>
      <c r="D1073" s="7"/>
      <c r="E1073" s="6"/>
      <c r="F1073" s="6"/>
      <c r="G1073" s="7"/>
      <c r="H1073" s="6"/>
      <c r="I1073" s="14"/>
      <c r="K1073" s="6"/>
    </row>
    <row r="1074" spans="2:11" x14ac:dyDescent="0.25">
      <c r="B1074" s="7"/>
      <c r="C1074" s="14"/>
      <c r="D1074" s="7"/>
      <c r="E1074" s="6"/>
      <c r="F1074" s="6"/>
      <c r="G1074" s="7"/>
      <c r="H1074" s="6"/>
      <c r="I1074" s="14"/>
      <c r="K1074" s="6"/>
    </row>
    <row r="1075" spans="2:11" x14ac:dyDescent="0.25">
      <c r="B1075" s="7"/>
      <c r="C1075" s="14"/>
      <c r="D1075" s="7"/>
      <c r="E1075" s="6"/>
      <c r="F1075" s="6"/>
      <c r="G1075" s="7"/>
      <c r="H1075" s="6"/>
      <c r="I1075" s="14"/>
      <c r="K1075" s="6"/>
    </row>
    <row r="1076" spans="2:11" x14ac:dyDescent="0.25">
      <c r="B1076" s="7"/>
      <c r="C1076" s="14"/>
      <c r="D1076" s="7"/>
      <c r="E1076" s="6"/>
      <c r="F1076" s="6"/>
      <c r="G1076" s="7"/>
      <c r="H1076" s="6"/>
      <c r="I1076" s="14"/>
      <c r="K1076" s="6"/>
    </row>
    <row r="1077" spans="2:11" x14ac:dyDescent="0.25">
      <c r="B1077" s="7"/>
      <c r="C1077" s="14"/>
      <c r="D1077" s="7"/>
      <c r="E1077" s="6"/>
      <c r="F1077" s="6"/>
      <c r="G1077" s="7"/>
      <c r="H1077" s="6"/>
      <c r="I1077" s="14"/>
      <c r="K1077" s="6"/>
    </row>
    <row r="1078" spans="2:11" x14ac:dyDescent="0.25">
      <c r="B1078" s="7"/>
      <c r="C1078" s="14"/>
      <c r="D1078" s="7"/>
      <c r="E1078" s="6"/>
      <c r="F1078" s="6"/>
      <c r="G1078" s="7"/>
      <c r="H1078" s="6"/>
      <c r="I1078" s="14"/>
      <c r="K1078" s="6"/>
    </row>
    <row r="1079" spans="2:11" x14ac:dyDescent="0.25">
      <c r="B1079" s="7"/>
      <c r="C1079" s="14"/>
      <c r="D1079" s="7"/>
      <c r="E1079" s="6"/>
      <c r="F1079" s="6"/>
      <c r="G1079" s="7"/>
      <c r="H1079" s="6"/>
      <c r="I1079" s="14"/>
      <c r="K1079" s="6"/>
    </row>
    <row r="1080" spans="2:11" x14ac:dyDescent="0.25">
      <c r="B1080" s="7"/>
      <c r="C1080" s="14"/>
      <c r="D1080" s="7"/>
      <c r="E1080" s="6"/>
      <c r="F1080" s="6"/>
      <c r="G1080" s="7"/>
      <c r="H1080" s="6"/>
      <c r="I1080" s="14"/>
      <c r="K1080" s="6"/>
    </row>
    <row r="1081" spans="2:11" x14ac:dyDescent="0.25">
      <c r="B1081" s="7"/>
      <c r="C1081" s="14"/>
      <c r="D1081" s="7"/>
      <c r="E1081" s="6"/>
      <c r="F1081" s="6"/>
      <c r="G1081" s="7"/>
      <c r="H1081" s="6"/>
      <c r="I1081" s="14"/>
      <c r="K1081" s="6"/>
    </row>
    <row r="1082" spans="2:11" x14ac:dyDescent="0.25">
      <c r="B1082" s="7"/>
      <c r="C1082" s="14"/>
      <c r="D1082" s="7"/>
      <c r="E1082" s="6"/>
      <c r="F1082" s="6"/>
      <c r="G1082" s="7"/>
      <c r="H1082" s="6"/>
      <c r="I1082" s="14"/>
      <c r="K1082" s="6"/>
    </row>
    <row r="1083" spans="2:11" x14ac:dyDescent="0.25">
      <c r="B1083" s="7"/>
      <c r="C1083" s="14"/>
      <c r="D1083" s="7"/>
      <c r="E1083" s="6"/>
      <c r="F1083" s="6"/>
      <c r="G1083" s="7"/>
      <c r="H1083" s="6"/>
      <c r="I1083" s="14"/>
      <c r="K1083" s="6"/>
    </row>
    <row r="1084" spans="2:11" x14ac:dyDescent="0.25">
      <c r="B1084" s="7"/>
      <c r="C1084" s="14"/>
      <c r="D1084" s="7"/>
      <c r="E1084" s="6"/>
      <c r="F1084" s="6"/>
      <c r="G1084" s="7"/>
      <c r="H1084" s="6"/>
      <c r="I1084" s="14"/>
      <c r="K1084" s="6"/>
    </row>
    <row r="1085" spans="2:11" x14ac:dyDescent="0.25">
      <c r="B1085" s="7"/>
      <c r="C1085" s="14"/>
      <c r="D1085" s="7"/>
      <c r="E1085" s="6"/>
      <c r="F1085" s="6"/>
      <c r="G1085" s="7"/>
      <c r="H1085" s="6"/>
      <c r="I1085" s="14"/>
      <c r="K1085" s="6"/>
    </row>
    <row r="1086" spans="2:11" x14ac:dyDescent="0.25">
      <c r="B1086" s="7"/>
      <c r="C1086" s="14"/>
      <c r="D1086" s="7"/>
      <c r="E1086" s="6"/>
      <c r="F1086" s="6"/>
      <c r="G1086" s="7"/>
      <c r="H1086" s="6"/>
      <c r="I1086" s="14"/>
      <c r="K1086" s="6"/>
    </row>
    <row r="1087" spans="2:11" x14ac:dyDescent="0.25">
      <c r="B1087" s="7"/>
      <c r="C1087" s="14"/>
      <c r="D1087" s="7"/>
      <c r="E1087" s="6"/>
      <c r="F1087" s="6"/>
      <c r="G1087" s="7"/>
      <c r="H1087" s="6"/>
      <c r="I1087" s="14"/>
      <c r="K1087" s="6"/>
    </row>
    <row r="1088" spans="2:11" x14ac:dyDescent="0.25">
      <c r="B1088" s="7"/>
      <c r="C1088" s="14"/>
      <c r="D1088" s="7"/>
      <c r="E1088" s="6"/>
      <c r="F1088" s="6"/>
      <c r="G1088" s="7"/>
      <c r="H1088" s="6"/>
      <c r="I1088" s="14"/>
      <c r="K1088" s="6"/>
    </row>
    <row r="1089" spans="2:11" x14ac:dyDescent="0.25">
      <c r="B1089" s="7"/>
      <c r="C1089" s="14"/>
      <c r="D1089" s="7"/>
      <c r="E1089" s="6"/>
      <c r="F1089" s="6"/>
      <c r="G1089" s="7"/>
      <c r="H1089" s="6"/>
      <c r="I1089" s="14"/>
      <c r="K1089" s="6"/>
    </row>
    <row r="1090" spans="2:11" x14ac:dyDescent="0.25">
      <c r="B1090" s="7"/>
      <c r="C1090" s="14"/>
      <c r="D1090" s="7"/>
      <c r="E1090" s="6"/>
      <c r="F1090" s="6"/>
      <c r="G1090" s="7"/>
      <c r="H1090" s="6"/>
      <c r="I1090" s="14"/>
      <c r="K1090" s="6"/>
    </row>
    <row r="1091" spans="2:11" x14ac:dyDescent="0.25">
      <c r="B1091" s="7"/>
      <c r="C1091" s="14"/>
      <c r="D1091" s="7"/>
      <c r="E1091" s="6"/>
      <c r="F1091" s="6"/>
      <c r="G1091" s="7"/>
      <c r="H1091" s="6"/>
      <c r="I1091" s="14"/>
      <c r="K1091" s="6"/>
    </row>
    <row r="1092" spans="2:11" x14ac:dyDescent="0.25">
      <c r="B1092" s="7"/>
      <c r="C1092" s="14"/>
      <c r="D1092" s="7"/>
      <c r="E1092" s="6"/>
      <c r="F1092" s="6"/>
      <c r="G1092" s="7"/>
      <c r="H1092" s="6"/>
      <c r="I1092" s="14"/>
      <c r="K1092" s="6"/>
    </row>
    <row r="1093" spans="2:11" x14ac:dyDescent="0.25">
      <c r="B1093" s="7"/>
      <c r="C1093" s="14"/>
      <c r="D1093" s="7"/>
      <c r="E1093" s="6"/>
      <c r="F1093" s="6"/>
      <c r="G1093" s="7"/>
      <c r="H1093" s="6"/>
      <c r="I1093" s="14"/>
      <c r="K1093" s="6"/>
    </row>
    <row r="1094" spans="2:11" x14ac:dyDescent="0.25">
      <c r="B1094" s="7"/>
      <c r="C1094" s="14"/>
      <c r="D1094" s="7"/>
      <c r="E1094" s="6"/>
      <c r="F1094" s="6"/>
      <c r="G1094" s="7"/>
      <c r="H1094" s="6"/>
      <c r="I1094" s="14"/>
      <c r="K1094" s="6"/>
    </row>
    <row r="1095" spans="2:11" x14ac:dyDescent="0.25">
      <c r="B1095" s="7"/>
      <c r="C1095" s="14"/>
      <c r="D1095" s="7"/>
      <c r="E1095" s="6"/>
      <c r="F1095" s="6"/>
      <c r="G1095" s="7"/>
      <c r="H1095" s="6"/>
      <c r="I1095" s="14"/>
      <c r="K1095" s="6"/>
    </row>
    <row r="1096" spans="2:11" x14ac:dyDescent="0.25">
      <c r="B1096" s="7"/>
      <c r="C1096" s="14"/>
      <c r="D1096" s="7"/>
      <c r="E1096" s="6"/>
      <c r="F1096" s="6"/>
      <c r="G1096" s="7"/>
      <c r="H1096" s="6"/>
      <c r="I1096" s="14"/>
      <c r="K1096" s="6"/>
    </row>
    <row r="1097" spans="2:11" x14ac:dyDescent="0.25">
      <c r="B1097" s="7"/>
      <c r="C1097" s="14"/>
      <c r="D1097" s="7"/>
      <c r="E1097" s="6"/>
      <c r="F1097" s="6"/>
      <c r="G1097" s="7"/>
      <c r="H1097" s="6"/>
      <c r="I1097" s="14"/>
      <c r="K1097" s="6"/>
    </row>
    <row r="1098" spans="2:11" x14ac:dyDescent="0.25">
      <c r="B1098" s="7"/>
      <c r="C1098" s="14"/>
      <c r="D1098" s="7"/>
      <c r="E1098" s="6"/>
      <c r="F1098" s="6"/>
      <c r="G1098" s="7"/>
      <c r="H1098" s="6"/>
      <c r="I1098" s="14"/>
      <c r="K1098" s="6"/>
    </row>
    <row r="1099" spans="2:11" x14ac:dyDescent="0.25">
      <c r="B1099" s="7"/>
      <c r="C1099" s="14"/>
      <c r="D1099" s="7"/>
      <c r="E1099" s="6"/>
      <c r="F1099" s="6"/>
      <c r="G1099" s="7"/>
      <c r="H1099" s="6"/>
      <c r="I1099" s="14"/>
      <c r="K1099" s="6"/>
    </row>
    <row r="1100" spans="2:11" x14ac:dyDescent="0.25">
      <c r="B1100" s="7"/>
      <c r="C1100" s="14"/>
      <c r="D1100" s="7"/>
      <c r="E1100" s="6"/>
      <c r="F1100" s="6"/>
      <c r="G1100" s="7"/>
      <c r="H1100" s="6"/>
      <c r="I1100" s="14"/>
      <c r="K1100" s="6"/>
    </row>
    <row r="1101" spans="2:11" x14ac:dyDescent="0.25">
      <c r="B1101" s="7"/>
      <c r="C1101" s="14"/>
      <c r="D1101" s="7"/>
      <c r="E1101" s="6"/>
      <c r="F1101" s="6"/>
      <c r="G1101" s="7"/>
      <c r="H1101" s="6"/>
      <c r="I1101" s="14"/>
      <c r="K1101" s="6"/>
    </row>
    <row r="1102" spans="2:11" x14ac:dyDescent="0.25">
      <c r="B1102" s="7"/>
      <c r="C1102" s="14"/>
      <c r="D1102" s="7"/>
      <c r="E1102" s="6"/>
      <c r="F1102" s="6"/>
      <c r="G1102" s="7"/>
      <c r="H1102" s="6"/>
      <c r="I1102" s="14"/>
      <c r="K1102" s="6"/>
    </row>
    <row r="1103" spans="2:11" x14ac:dyDescent="0.25">
      <c r="B1103" s="7"/>
      <c r="C1103" s="14"/>
      <c r="D1103" s="7"/>
      <c r="E1103" s="6"/>
      <c r="F1103" s="6"/>
      <c r="G1103" s="7"/>
      <c r="H1103" s="6"/>
      <c r="I1103" s="14"/>
      <c r="K1103" s="6"/>
    </row>
    <row r="1104" spans="2:11" x14ac:dyDescent="0.25">
      <c r="B1104" s="7"/>
      <c r="C1104" s="14"/>
      <c r="D1104" s="7"/>
      <c r="E1104" s="6"/>
      <c r="F1104" s="6"/>
      <c r="G1104" s="7"/>
      <c r="H1104" s="6"/>
      <c r="I1104" s="14"/>
      <c r="K1104" s="6"/>
    </row>
    <row r="1105" spans="2:11" x14ac:dyDescent="0.25">
      <c r="B1105" s="7"/>
      <c r="C1105" s="14"/>
      <c r="D1105" s="7"/>
      <c r="E1105" s="6"/>
      <c r="F1105" s="6"/>
      <c r="G1105" s="7"/>
      <c r="H1105" s="6"/>
      <c r="I1105" s="14"/>
      <c r="K1105" s="6"/>
    </row>
    <row r="1106" spans="2:11" x14ac:dyDescent="0.25">
      <c r="B1106" s="7"/>
      <c r="C1106" s="14"/>
      <c r="D1106" s="7"/>
      <c r="E1106" s="6"/>
      <c r="F1106" s="6"/>
      <c r="G1106" s="7"/>
      <c r="H1106" s="6"/>
      <c r="I1106" s="14"/>
      <c r="K1106" s="6"/>
    </row>
    <row r="1107" spans="2:11" x14ac:dyDescent="0.25">
      <c r="B1107" s="7"/>
      <c r="C1107" s="14"/>
      <c r="D1107" s="7"/>
      <c r="E1107" s="6"/>
      <c r="F1107" s="6"/>
      <c r="G1107" s="7"/>
      <c r="H1107" s="6"/>
      <c r="I1107" s="14"/>
      <c r="K1107" s="6"/>
    </row>
    <row r="1108" spans="2:11" x14ac:dyDescent="0.25">
      <c r="B1108" s="7"/>
      <c r="C1108" s="14"/>
      <c r="D1108" s="7"/>
      <c r="E1108" s="6"/>
      <c r="F1108" s="6"/>
      <c r="G1108" s="7"/>
      <c r="H1108" s="6"/>
      <c r="I1108" s="14"/>
      <c r="K1108" s="6"/>
    </row>
    <row r="1109" spans="2:11" x14ac:dyDescent="0.25">
      <c r="B1109" s="7"/>
      <c r="C1109" s="14"/>
      <c r="D1109" s="7"/>
      <c r="E1109" s="6"/>
      <c r="F1109" s="6"/>
      <c r="G1109" s="7"/>
      <c r="H1109" s="6"/>
      <c r="I1109" s="14"/>
      <c r="K1109" s="6"/>
    </row>
    <row r="1110" spans="2:11" x14ac:dyDescent="0.25">
      <c r="B1110" s="7"/>
      <c r="C1110" s="14"/>
      <c r="D1110" s="7"/>
      <c r="E1110" s="6"/>
      <c r="F1110" s="6"/>
      <c r="G1110" s="7"/>
      <c r="H1110" s="6"/>
      <c r="I1110" s="14"/>
      <c r="K1110" s="6"/>
    </row>
    <row r="1111" spans="2:11" x14ac:dyDescent="0.25">
      <c r="B1111" s="7"/>
      <c r="C1111" s="14"/>
      <c r="D1111" s="7"/>
      <c r="E1111" s="6"/>
      <c r="F1111" s="6"/>
      <c r="G1111" s="7"/>
      <c r="H1111" s="6"/>
      <c r="I1111" s="14"/>
      <c r="K1111" s="6"/>
    </row>
    <row r="1112" spans="2:11" x14ac:dyDescent="0.25">
      <c r="B1112" s="7"/>
      <c r="C1112" s="14"/>
      <c r="D1112" s="7"/>
      <c r="E1112" s="6"/>
      <c r="F1112" s="6"/>
      <c r="G1112" s="7"/>
      <c r="H1112" s="6"/>
      <c r="I1112" s="14"/>
      <c r="K1112" s="6"/>
    </row>
    <row r="1113" spans="2:11" x14ac:dyDescent="0.25">
      <c r="B1113" s="7"/>
      <c r="C1113" s="14"/>
      <c r="D1113" s="7"/>
      <c r="E1113" s="6"/>
      <c r="F1113" s="6"/>
      <c r="G1113" s="7"/>
      <c r="H1113" s="6"/>
      <c r="I1113" s="14"/>
      <c r="K1113" s="6"/>
    </row>
    <row r="1114" spans="2:11" x14ac:dyDescent="0.25">
      <c r="B1114" s="7"/>
      <c r="C1114" s="14"/>
      <c r="D1114" s="7"/>
      <c r="E1114" s="6"/>
      <c r="F1114" s="6"/>
      <c r="G1114" s="7"/>
      <c r="H1114" s="6"/>
      <c r="I1114" s="14"/>
      <c r="K1114" s="6"/>
    </row>
    <row r="1115" spans="2:11" x14ac:dyDescent="0.25">
      <c r="B1115" s="7"/>
      <c r="C1115" s="14"/>
      <c r="D1115" s="7"/>
      <c r="E1115" s="6"/>
      <c r="F1115" s="6"/>
      <c r="G1115" s="7"/>
      <c r="H1115" s="6"/>
      <c r="I1115" s="14"/>
      <c r="K1115" s="6"/>
    </row>
    <row r="1116" spans="2:11" x14ac:dyDescent="0.25">
      <c r="B1116" s="7"/>
      <c r="C1116" s="14"/>
      <c r="D1116" s="7"/>
      <c r="E1116" s="6"/>
      <c r="F1116" s="6"/>
      <c r="G1116" s="7"/>
      <c r="H1116" s="6"/>
      <c r="I1116" s="14"/>
      <c r="K1116" s="6"/>
    </row>
    <row r="1117" spans="2:11" x14ac:dyDescent="0.25">
      <c r="B1117" s="7"/>
      <c r="C1117" s="14"/>
      <c r="D1117" s="7"/>
      <c r="E1117" s="6"/>
      <c r="F1117" s="6"/>
      <c r="G1117" s="7"/>
      <c r="H1117" s="6"/>
      <c r="I1117" s="14"/>
      <c r="K1117" s="6"/>
    </row>
    <row r="1118" spans="2:11" x14ac:dyDescent="0.25">
      <c r="B1118" s="7"/>
      <c r="C1118" s="14"/>
      <c r="D1118" s="7"/>
      <c r="E1118" s="6"/>
      <c r="F1118" s="6"/>
      <c r="G1118" s="7"/>
      <c r="H1118" s="6"/>
      <c r="I1118" s="14"/>
      <c r="K1118" s="6"/>
    </row>
    <row r="1119" spans="2:11" x14ac:dyDescent="0.25">
      <c r="B1119" s="7"/>
      <c r="C1119" s="14"/>
      <c r="D1119" s="7"/>
      <c r="E1119" s="6"/>
      <c r="F1119" s="6"/>
      <c r="G1119" s="7"/>
      <c r="H1119" s="6"/>
      <c r="I1119" s="14"/>
      <c r="K1119" s="6"/>
    </row>
    <row r="1120" spans="2:11" x14ac:dyDescent="0.25">
      <c r="B1120" s="7"/>
      <c r="C1120" s="14"/>
      <c r="D1120" s="7"/>
      <c r="E1120" s="6"/>
      <c r="F1120" s="6"/>
      <c r="G1120" s="7"/>
      <c r="H1120" s="6"/>
      <c r="I1120" s="14"/>
      <c r="K1120" s="6"/>
    </row>
    <row r="1121" spans="2:11" x14ac:dyDescent="0.25">
      <c r="B1121" s="7"/>
      <c r="C1121" s="14"/>
      <c r="D1121" s="7"/>
      <c r="E1121" s="6"/>
      <c r="F1121" s="6"/>
      <c r="G1121" s="7"/>
      <c r="H1121" s="6"/>
      <c r="I1121" s="14"/>
      <c r="K1121" s="6"/>
    </row>
    <row r="1122" spans="2:11" x14ac:dyDescent="0.25">
      <c r="B1122" s="7"/>
      <c r="C1122" s="14"/>
      <c r="D1122" s="7"/>
      <c r="E1122" s="6"/>
      <c r="F1122" s="6"/>
      <c r="G1122" s="7"/>
      <c r="H1122" s="6"/>
      <c r="I1122" s="14"/>
      <c r="K1122" s="6"/>
    </row>
    <row r="1123" spans="2:11" x14ac:dyDescent="0.25">
      <c r="B1123" s="7"/>
      <c r="C1123" s="14"/>
      <c r="D1123" s="7"/>
      <c r="E1123" s="6"/>
      <c r="F1123" s="6"/>
      <c r="G1123" s="7"/>
      <c r="H1123" s="6"/>
      <c r="I1123" s="14"/>
      <c r="K1123" s="6"/>
    </row>
    <row r="1124" spans="2:11" x14ac:dyDescent="0.25">
      <c r="B1124" s="7"/>
      <c r="C1124" s="14"/>
      <c r="D1124" s="7"/>
      <c r="E1124" s="6"/>
      <c r="F1124" s="6"/>
      <c r="G1124" s="7"/>
      <c r="H1124" s="6"/>
      <c r="I1124" s="14"/>
      <c r="K1124" s="6"/>
    </row>
    <row r="1125" spans="2:11" x14ac:dyDescent="0.25">
      <c r="B1125" s="7"/>
      <c r="C1125" s="14"/>
      <c r="D1125" s="7"/>
      <c r="E1125" s="6"/>
      <c r="F1125" s="6"/>
      <c r="G1125" s="7"/>
      <c r="H1125" s="6"/>
      <c r="I1125" s="14"/>
      <c r="K1125" s="6"/>
    </row>
    <row r="1126" spans="2:11" x14ac:dyDescent="0.25">
      <c r="B1126" s="7"/>
      <c r="C1126" s="14"/>
      <c r="D1126" s="7"/>
      <c r="E1126" s="6"/>
      <c r="F1126" s="6"/>
      <c r="G1126" s="7"/>
      <c r="H1126" s="6"/>
      <c r="I1126" s="14"/>
      <c r="K1126" s="6"/>
    </row>
    <row r="1127" spans="2:11" x14ac:dyDescent="0.25">
      <c r="B1127" s="7"/>
      <c r="C1127" s="14"/>
      <c r="D1127" s="7"/>
      <c r="E1127" s="6"/>
      <c r="F1127" s="6"/>
      <c r="G1127" s="7"/>
      <c r="H1127" s="6"/>
      <c r="I1127" s="14"/>
      <c r="K1127" s="6"/>
    </row>
    <row r="1128" spans="2:11" x14ac:dyDescent="0.25">
      <c r="B1128" s="7"/>
      <c r="C1128" s="14"/>
      <c r="D1128" s="7"/>
      <c r="E1128" s="6"/>
      <c r="F1128" s="6"/>
      <c r="G1128" s="7"/>
      <c r="H1128" s="6"/>
      <c r="I1128" s="14"/>
      <c r="K1128" s="6"/>
    </row>
    <row r="1129" spans="2:11" x14ac:dyDescent="0.25">
      <c r="B1129" s="7"/>
      <c r="C1129" s="14"/>
      <c r="D1129" s="7"/>
      <c r="E1129" s="6"/>
      <c r="F1129" s="6"/>
      <c r="G1129" s="7"/>
      <c r="H1129" s="6"/>
      <c r="I1129" s="14"/>
      <c r="K1129" s="6"/>
    </row>
    <row r="1130" spans="2:11" x14ac:dyDescent="0.25">
      <c r="B1130" s="7"/>
      <c r="C1130" s="14"/>
      <c r="D1130" s="7"/>
      <c r="E1130" s="6"/>
      <c r="F1130" s="6"/>
      <c r="G1130" s="7"/>
      <c r="H1130" s="6"/>
      <c r="I1130" s="14"/>
      <c r="K1130" s="6"/>
    </row>
    <row r="1131" spans="2:11" x14ac:dyDescent="0.25">
      <c r="B1131" s="7"/>
      <c r="C1131" s="14"/>
      <c r="D1131" s="7"/>
      <c r="E1131" s="6"/>
      <c r="F1131" s="6"/>
      <c r="G1131" s="7"/>
      <c r="H1131" s="6"/>
      <c r="I1131" s="14"/>
      <c r="K1131" s="6"/>
    </row>
    <row r="1132" spans="2:11" x14ac:dyDescent="0.25">
      <c r="B1132" s="7"/>
      <c r="C1132" s="14"/>
      <c r="D1132" s="7"/>
      <c r="E1132" s="6"/>
      <c r="F1132" s="6"/>
      <c r="G1132" s="7"/>
      <c r="H1132" s="6"/>
      <c r="I1132" s="14"/>
      <c r="K1132" s="6"/>
    </row>
    <row r="1133" spans="2:11" x14ac:dyDescent="0.25">
      <c r="B1133" s="7"/>
      <c r="C1133" s="14"/>
      <c r="D1133" s="7"/>
      <c r="E1133" s="6"/>
      <c r="F1133" s="6"/>
      <c r="G1133" s="7"/>
      <c r="H1133" s="6"/>
      <c r="I1133" s="14"/>
      <c r="K1133" s="6"/>
    </row>
    <row r="1134" spans="2:11" x14ac:dyDescent="0.25">
      <c r="B1134" s="7"/>
      <c r="C1134" s="14"/>
      <c r="D1134" s="7"/>
      <c r="E1134" s="6"/>
      <c r="F1134" s="6"/>
      <c r="G1134" s="7"/>
      <c r="H1134" s="6"/>
      <c r="I1134" s="14"/>
      <c r="K1134" s="6"/>
    </row>
    <row r="1135" spans="2:11" x14ac:dyDescent="0.25">
      <c r="B1135" s="7"/>
      <c r="C1135" s="14"/>
      <c r="D1135" s="7"/>
      <c r="E1135" s="6"/>
      <c r="F1135" s="6"/>
      <c r="G1135" s="7"/>
      <c r="H1135" s="6"/>
      <c r="I1135" s="14"/>
      <c r="K1135" s="6"/>
    </row>
    <row r="1136" spans="2:11" x14ac:dyDescent="0.25">
      <c r="B1136" s="7"/>
      <c r="C1136" s="14"/>
      <c r="D1136" s="7"/>
      <c r="E1136" s="6"/>
      <c r="F1136" s="6"/>
      <c r="G1136" s="7"/>
      <c r="H1136" s="6"/>
      <c r="I1136" s="14"/>
      <c r="K1136" s="6"/>
    </row>
    <row r="1137" spans="2:11" x14ac:dyDescent="0.25">
      <c r="B1137" s="7"/>
      <c r="C1137" s="14"/>
      <c r="D1137" s="7"/>
      <c r="E1137" s="6"/>
      <c r="F1137" s="6"/>
      <c r="G1137" s="7"/>
      <c r="H1137" s="6"/>
      <c r="I1137" s="14"/>
      <c r="K1137" s="6"/>
    </row>
    <row r="1138" spans="2:11" x14ac:dyDescent="0.25">
      <c r="B1138" s="7"/>
      <c r="C1138" s="14"/>
      <c r="D1138" s="7"/>
      <c r="E1138" s="6"/>
      <c r="F1138" s="6"/>
      <c r="G1138" s="7"/>
      <c r="H1138" s="6"/>
      <c r="I1138" s="14"/>
      <c r="K1138" s="6"/>
    </row>
    <row r="1139" spans="2:11" x14ac:dyDescent="0.25">
      <c r="B1139" s="7"/>
      <c r="C1139" s="14"/>
      <c r="D1139" s="7"/>
      <c r="E1139" s="6"/>
      <c r="F1139" s="6"/>
      <c r="G1139" s="7"/>
      <c r="H1139" s="6"/>
      <c r="I1139" s="14"/>
      <c r="K1139" s="6"/>
    </row>
    <row r="1140" spans="2:11" x14ac:dyDescent="0.25">
      <c r="B1140" s="7"/>
      <c r="C1140" s="14"/>
      <c r="D1140" s="7"/>
      <c r="E1140" s="6"/>
      <c r="F1140" s="6"/>
      <c r="G1140" s="7"/>
      <c r="H1140" s="6"/>
      <c r="I1140" s="14"/>
      <c r="K1140" s="6"/>
    </row>
    <row r="1141" spans="2:11" x14ac:dyDescent="0.25">
      <c r="B1141" s="7"/>
      <c r="C1141" s="14"/>
      <c r="D1141" s="7"/>
      <c r="E1141" s="6"/>
      <c r="F1141" s="6"/>
      <c r="G1141" s="7"/>
      <c r="H1141" s="6"/>
      <c r="I1141" s="14"/>
      <c r="K1141" s="6"/>
    </row>
    <row r="1142" spans="2:11" x14ac:dyDescent="0.25">
      <c r="B1142" s="7"/>
      <c r="C1142" s="14"/>
      <c r="D1142" s="7"/>
      <c r="E1142" s="6"/>
      <c r="F1142" s="6"/>
      <c r="G1142" s="7"/>
      <c r="H1142" s="6"/>
      <c r="I1142" s="14"/>
      <c r="K1142" s="6"/>
    </row>
    <row r="1143" spans="2:11" x14ac:dyDescent="0.25">
      <c r="B1143" s="7"/>
      <c r="C1143" s="14"/>
      <c r="D1143" s="7"/>
      <c r="E1143" s="6"/>
      <c r="F1143" s="6"/>
      <c r="G1143" s="7"/>
      <c r="H1143" s="6"/>
      <c r="I1143" s="14"/>
      <c r="K1143" s="6"/>
    </row>
    <row r="1144" spans="2:11" x14ac:dyDescent="0.25">
      <c r="B1144" s="7"/>
      <c r="C1144" s="14"/>
      <c r="D1144" s="7"/>
      <c r="E1144" s="6"/>
      <c r="F1144" s="6"/>
      <c r="G1144" s="7"/>
      <c r="H1144" s="6"/>
      <c r="I1144" s="14"/>
      <c r="K1144" s="6"/>
    </row>
    <row r="1145" spans="2:11" x14ac:dyDescent="0.25">
      <c r="B1145" s="7"/>
      <c r="C1145" s="14"/>
      <c r="D1145" s="7"/>
      <c r="E1145" s="6"/>
      <c r="F1145" s="6"/>
      <c r="G1145" s="7"/>
      <c r="H1145" s="6"/>
      <c r="I1145" s="14"/>
      <c r="K1145" s="6"/>
    </row>
    <row r="1146" spans="2:11" x14ac:dyDescent="0.25">
      <c r="B1146" s="7"/>
      <c r="C1146" s="14"/>
      <c r="D1146" s="7"/>
      <c r="E1146" s="6"/>
      <c r="F1146" s="6"/>
      <c r="G1146" s="7"/>
      <c r="H1146" s="6"/>
      <c r="I1146" s="14"/>
      <c r="K1146" s="6"/>
    </row>
    <row r="1147" spans="2:11" x14ac:dyDescent="0.25">
      <c r="B1147" s="7"/>
      <c r="C1147" s="14"/>
      <c r="D1147" s="7"/>
      <c r="E1147" s="6"/>
      <c r="F1147" s="6"/>
      <c r="G1147" s="7"/>
      <c r="H1147" s="6"/>
      <c r="I1147" s="14"/>
      <c r="K1147" s="6"/>
    </row>
    <row r="1148" spans="2:11" x14ac:dyDescent="0.25">
      <c r="B1148" s="7"/>
      <c r="C1148" s="14"/>
      <c r="D1148" s="7"/>
      <c r="E1148" s="6"/>
      <c r="F1148" s="6"/>
      <c r="G1148" s="7"/>
      <c r="H1148" s="6"/>
      <c r="I1148" s="14"/>
      <c r="K1148" s="6"/>
    </row>
    <row r="1149" spans="2:11" x14ac:dyDescent="0.25">
      <c r="B1149" s="7"/>
      <c r="C1149" s="14"/>
      <c r="D1149" s="7"/>
      <c r="E1149" s="6"/>
      <c r="F1149" s="6"/>
      <c r="G1149" s="7"/>
      <c r="H1149" s="6"/>
      <c r="I1149" s="14"/>
      <c r="K1149" s="6"/>
    </row>
    <row r="1150" spans="2:11" x14ac:dyDescent="0.25">
      <c r="B1150" s="7"/>
      <c r="C1150" s="14"/>
      <c r="D1150" s="7"/>
      <c r="E1150" s="6"/>
      <c r="F1150" s="6"/>
      <c r="G1150" s="7"/>
      <c r="H1150" s="6"/>
      <c r="I1150" s="14"/>
      <c r="K1150" s="6"/>
    </row>
    <row r="1151" spans="2:11" x14ac:dyDescent="0.25">
      <c r="B1151" s="7"/>
      <c r="C1151" s="14"/>
      <c r="D1151" s="7"/>
      <c r="E1151" s="6"/>
      <c r="F1151" s="6"/>
      <c r="G1151" s="7"/>
      <c r="H1151" s="6"/>
      <c r="I1151" s="14"/>
      <c r="K1151" s="6"/>
    </row>
    <row r="1152" spans="2:11" x14ac:dyDescent="0.25">
      <c r="B1152" s="7"/>
      <c r="C1152" s="14"/>
      <c r="D1152" s="7"/>
      <c r="E1152" s="6"/>
      <c r="F1152" s="6"/>
      <c r="G1152" s="7"/>
      <c r="H1152" s="6"/>
      <c r="I1152" s="14"/>
      <c r="K1152" s="6"/>
    </row>
    <row r="1153" spans="2:11" x14ac:dyDescent="0.25">
      <c r="B1153" s="7"/>
      <c r="C1153" s="14"/>
      <c r="D1153" s="7"/>
      <c r="E1153" s="6"/>
      <c r="F1153" s="6"/>
      <c r="G1153" s="7"/>
      <c r="H1153" s="6"/>
      <c r="I1153" s="14"/>
      <c r="K1153" s="6"/>
    </row>
    <row r="1154" spans="2:11" x14ac:dyDescent="0.25">
      <c r="B1154" s="7"/>
      <c r="C1154" s="14"/>
      <c r="D1154" s="7"/>
      <c r="E1154" s="6"/>
      <c r="F1154" s="6"/>
      <c r="G1154" s="7"/>
      <c r="H1154" s="6"/>
      <c r="I1154" s="14"/>
      <c r="K1154" s="6"/>
    </row>
    <row r="1155" spans="2:11" x14ac:dyDescent="0.25">
      <c r="B1155" s="7"/>
      <c r="C1155" s="14"/>
      <c r="D1155" s="7"/>
      <c r="E1155" s="6"/>
      <c r="F1155" s="6"/>
      <c r="G1155" s="7"/>
      <c r="H1155" s="6"/>
      <c r="I1155" s="14"/>
      <c r="K1155" s="6"/>
    </row>
    <row r="1156" spans="2:11" x14ac:dyDescent="0.25">
      <c r="B1156" s="7"/>
      <c r="C1156" s="14"/>
      <c r="D1156" s="7"/>
      <c r="E1156" s="6"/>
      <c r="F1156" s="6"/>
      <c r="G1156" s="7"/>
      <c r="H1156" s="6"/>
      <c r="I1156" s="14"/>
      <c r="K1156" s="6"/>
    </row>
    <row r="1157" spans="2:11" x14ac:dyDescent="0.25">
      <c r="B1157" s="7"/>
      <c r="C1157" s="14"/>
      <c r="D1157" s="7"/>
      <c r="E1157" s="6"/>
      <c r="F1157" s="6"/>
      <c r="G1157" s="7"/>
      <c r="H1157" s="6"/>
      <c r="I1157" s="14"/>
      <c r="K1157" s="6"/>
    </row>
    <row r="1158" spans="2:11" x14ac:dyDescent="0.25">
      <c r="B1158" s="7"/>
      <c r="C1158" s="14"/>
      <c r="D1158" s="7"/>
      <c r="E1158" s="6"/>
      <c r="F1158" s="6"/>
      <c r="G1158" s="7"/>
      <c r="H1158" s="6"/>
      <c r="I1158" s="14"/>
      <c r="K1158" s="6"/>
    </row>
    <row r="1159" spans="2:11" x14ac:dyDescent="0.25">
      <c r="B1159" s="7"/>
      <c r="C1159" s="14"/>
      <c r="D1159" s="7"/>
      <c r="E1159" s="6"/>
      <c r="F1159" s="6"/>
      <c r="G1159" s="7"/>
      <c r="H1159" s="6"/>
      <c r="I1159" s="14"/>
      <c r="K1159" s="6"/>
    </row>
    <row r="1160" spans="2:11" x14ac:dyDescent="0.25">
      <c r="B1160" s="7"/>
      <c r="C1160" s="14"/>
      <c r="D1160" s="7"/>
      <c r="E1160" s="6"/>
      <c r="F1160" s="6"/>
      <c r="G1160" s="7"/>
      <c r="H1160" s="6"/>
      <c r="I1160" s="14"/>
      <c r="K1160" s="6"/>
    </row>
    <row r="1161" spans="2:11" x14ac:dyDescent="0.25">
      <c r="B1161" s="7"/>
      <c r="C1161" s="14"/>
      <c r="D1161" s="7"/>
      <c r="E1161" s="6"/>
      <c r="F1161" s="6"/>
      <c r="G1161" s="7"/>
      <c r="H1161" s="6"/>
      <c r="I1161" s="14"/>
      <c r="K1161" s="6"/>
    </row>
    <row r="1162" spans="2:11" x14ac:dyDescent="0.25">
      <c r="B1162" s="7"/>
      <c r="C1162" s="14"/>
      <c r="D1162" s="7"/>
      <c r="E1162" s="6"/>
      <c r="F1162" s="6"/>
      <c r="G1162" s="7"/>
      <c r="H1162" s="6"/>
      <c r="I1162" s="14"/>
      <c r="K1162" s="6"/>
    </row>
    <row r="1163" spans="2:11" x14ac:dyDescent="0.25">
      <c r="B1163" s="7"/>
      <c r="C1163" s="14"/>
      <c r="D1163" s="7"/>
      <c r="E1163" s="6"/>
      <c r="F1163" s="6"/>
      <c r="G1163" s="7"/>
      <c r="H1163" s="6"/>
      <c r="I1163" s="14"/>
      <c r="K1163" s="6"/>
    </row>
    <row r="1164" spans="2:11" x14ac:dyDescent="0.25">
      <c r="B1164" s="7"/>
      <c r="C1164" s="14"/>
      <c r="D1164" s="7"/>
      <c r="E1164" s="6"/>
      <c r="F1164" s="6"/>
      <c r="G1164" s="7"/>
      <c r="H1164" s="6"/>
      <c r="I1164" s="14"/>
      <c r="K1164" s="6"/>
    </row>
    <row r="1165" spans="2:11" x14ac:dyDescent="0.25">
      <c r="B1165" s="7"/>
      <c r="C1165" s="14"/>
      <c r="D1165" s="7"/>
      <c r="E1165" s="6"/>
      <c r="F1165" s="6"/>
      <c r="G1165" s="7"/>
      <c r="H1165" s="6"/>
      <c r="I1165" s="14"/>
      <c r="K1165" s="6"/>
    </row>
    <row r="1166" spans="2:11" x14ac:dyDescent="0.25">
      <c r="B1166" s="7"/>
      <c r="C1166" s="14"/>
      <c r="D1166" s="7"/>
      <c r="E1166" s="6"/>
      <c r="F1166" s="6"/>
      <c r="G1166" s="7"/>
      <c r="H1166" s="6"/>
      <c r="I1166" s="14"/>
      <c r="K1166" s="6"/>
    </row>
    <row r="1167" spans="2:11" x14ac:dyDescent="0.25">
      <c r="B1167" s="7"/>
      <c r="C1167" s="14"/>
      <c r="D1167" s="7"/>
      <c r="E1167" s="6"/>
      <c r="F1167" s="6"/>
      <c r="G1167" s="7"/>
      <c r="H1167" s="6"/>
      <c r="I1167" s="14"/>
      <c r="K1167" s="6"/>
    </row>
    <row r="1168" spans="2:11" x14ac:dyDescent="0.25">
      <c r="B1168" s="7"/>
      <c r="C1168" s="14"/>
      <c r="D1168" s="7"/>
      <c r="E1168" s="6"/>
      <c r="F1168" s="6"/>
      <c r="G1168" s="7"/>
      <c r="H1168" s="6"/>
      <c r="I1168" s="14"/>
      <c r="K1168" s="6"/>
    </row>
    <row r="1169" spans="2:11" x14ac:dyDescent="0.25">
      <c r="B1169" s="7"/>
      <c r="C1169" s="14"/>
      <c r="D1169" s="7"/>
      <c r="E1169" s="6"/>
      <c r="F1169" s="6"/>
      <c r="G1169" s="7"/>
      <c r="H1169" s="6"/>
      <c r="I1169" s="14"/>
      <c r="K1169" s="6"/>
    </row>
    <row r="1170" spans="2:11" x14ac:dyDescent="0.25">
      <c r="B1170" s="7"/>
      <c r="C1170" s="14"/>
      <c r="D1170" s="7"/>
      <c r="E1170" s="6"/>
      <c r="F1170" s="6"/>
      <c r="G1170" s="7"/>
      <c r="H1170" s="6"/>
      <c r="I1170" s="14"/>
      <c r="K1170" s="6"/>
    </row>
    <row r="1171" spans="2:11" x14ac:dyDescent="0.25">
      <c r="B1171" s="7"/>
      <c r="C1171" s="14"/>
      <c r="D1171" s="7"/>
      <c r="E1171" s="6"/>
      <c r="F1171" s="6"/>
      <c r="G1171" s="7"/>
      <c r="H1171" s="6"/>
      <c r="I1171" s="14"/>
      <c r="K1171" s="6"/>
    </row>
    <row r="1172" spans="2:11" x14ac:dyDescent="0.25">
      <c r="B1172" s="7"/>
      <c r="C1172" s="14"/>
      <c r="D1172" s="7"/>
      <c r="E1172" s="6"/>
      <c r="F1172" s="6"/>
      <c r="G1172" s="7"/>
      <c r="H1172" s="6"/>
      <c r="I1172" s="14"/>
      <c r="K1172" s="6"/>
    </row>
    <row r="1173" spans="2:11" x14ac:dyDescent="0.25">
      <c r="B1173" s="7"/>
      <c r="C1173" s="14"/>
      <c r="D1173" s="7"/>
      <c r="E1173" s="6"/>
      <c r="F1173" s="6"/>
      <c r="G1173" s="7"/>
      <c r="H1173" s="6"/>
      <c r="I1173" s="14"/>
      <c r="K1173" s="6"/>
    </row>
    <row r="1174" spans="2:11" x14ac:dyDescent="0.25">
      <c r="B1174" s="7"/>
      <c r="C1174" s="14"/>
      <c r="D1174" s="7"/>
      <c r="E1174" s="6"/>
      <c r="F1174" s="6"/>
      <c r="G1174" s="7"/>
      <c r="H1174" s="6"/>
      <c r="I1174" s="14"/>
      <c r="K1174" s="6"/>
    </row>
    <row r="1175" spans="2:11" x14ac:dyDescent="0.25">
      <c r="B1175" s="7"/>
      <c r="C1175" s="14"/>
      <c r="D1175" s="7"/>
      <c r="E1175" s="6"/>
      <c r="F1175" s="6"/>
      <c r="G1175" s="7"/>
      <c r="H1175" s="6"/>
      <c r="I1175" s="14"/>
      <c r="K1175" s="6"/>
    </row>
    <row r="1176" spans="2:11" x14ac:dyDescent="0.25">
      <c r="B1176" s="7"/>
      <c r="C1176" s="14"/>
      <c r="D1176" s="7"/>
      <c r="E1176" s="6"/>
      <c r="F1176" s="6"/>
      <c r="G1176" s="7"/>
      <c r="H1176" s="6"/>
      <c r="I1176" s="14"/>
      <c r="K1176" s="6"/>
    </row>
    <row r="1177" spans="2:11" x14ac:dyDescent="0.25">
      <c r="B1177" s="7"/>
      <c r="C1177" s="14"/>
      <c r="D1177" s="7"/>
      <c r="E1177" s="6"/>
      <c r="F1177" s="6"/>
      <c r="G1177" s="7"/>
      <c r="H1177" s="6"/>
      <c r="I1177" s="14"/>
      <c r="K1177" s="6"/>
    </row>
    <row r="1178" spans="2:11" x14ac:dyDescent="0.25">
      <c r="B1178" s="7"/>
      <c r="C1178" s="14"/>
      <c r="D1178" s="7"/>
      <c r="E1178" s="6"/>
      <c r="F1178" s="6"/>
      <c r="G1178" s="7"/>
      <c r="H1178" s="6"/>
      <c r="I1178" s="14"/>
      <c r="K1178" s="6"/>
    </row>
    <row r="1179" spans="2:11" x14ac:dyDescent="0.25">
      <c r="B1179" s="7"/>
      <c r="C1179" s="14"/>
      <c r="D1179" s="7"/>
      <c r="E1179" s="6"/>
      <c r="F1179" s="6"/>
      <c r="G1179" s="7"/>
      <c r="H1179" s="6"/>
      <c r="I1179" s="14"/>
      <c r="K1179" s="6"/>
    </row>
    <row r="1180" spans="2:11" x14ac:dyDescent="0.25">
      <c r="B1180" s="7"/>
      <c r="C1180" s="14"/>
      <c r="D1180" s="7"/>
      <c r="E1180" s="6"/>
      <c r="F1180" s="6"/>
      <c r="G1180" s="7"/>
      <c r="H1180" s="6"/>
      <c r="I1180" s="14"/>
      <c r="K1180" s="6"/>
    </row>
    <row r="1181" spans="2:11" x14ac:dyDescent="0.25">
      <c r="B1181" s="7"/>
      <c r="C1181" s="14"/>
      <c r="D1181" s="7"/>
      <c r="E1181" s="6"/>
      <c r="F1181" s="6"/>
      <c r="G1181" s="7"/>
      <c r="H1181" s="6"/>
      <c r="I1181" s="14"/>
      <c r="K1181" s="6"/>
    </row>
    <row r="1182" spans="2:11" x14ac:dyDescent="0.25">
      <c r="B1182" s="7"/>
      <c r="C1182" s="14"/>
      <c r="D1182" s="7"/>
      <c r="E1182" s="6"/>
      <c r="F1182" s="6"/>
      <c r="G1182" s="7"/>
      <c r="H1182" s="6"/>
      <c r="I1182" s="14"/>
      <c r="K1182" s="6"/>
    </row>
    <row r="1183" spans="2:11" x14ac:dyDescent="0.25">
      <c r="B1183" s="7"/>
      <c r="C1183" s="14"/>
      <c r="D1183" s="7"/>
      <c r="E1183" s="6"/>
      <c r="F1183" s="6"/>
      <c r="G1183" s="7"/>
      <c r="H1183" s="6"/>
      <c r="I1183" s="14"/>
      <c r="K1183" s="6"/>
    </row>
    <row r="1184" spans="2:11" x14ac:dyDescent="0.25">
      <c r="B1184" s="7"/>
      <c r="C1184" s="14"/>
      <c r="D1184" s="7"/>
      <c r="E1184" s="6"/>
      <c r="F1184" s="6"/>
      <c r="G1184" s="7"/>
      <c r="H1184" s="6"/>
      <c r="I1184" s="14"/>
      <c r="K1184" s="6"/>
    </row>
    <row r="1185" spans="2:11" x14ac:dyDescent="0.25">
      <c r="B1185" s="7"/>
      <c r="C1185" s="14"/>
      <c r="D1185" s="7"/>
      <c r="E1185" s="6"/>
      <c r="F1185" s="6"/>
      <c r="G1185" s="7"/>
      <c r="H1185" s="6"/>
      <c r="I1185" s="14"/>
      <c r="K1185" s="6"/>
    </row>
    <row r="1186" spans="2:11" x14ac:dyDescent="0.25">
      <c r="B1186" s="7"/>
      <c r="C1186" s="14"/>
      <c r="D1186" s="7"/>
      <c r="E1186" s="6"/>
      <c r="F1186" s="6"/>
      <c r="G1186" s="7"/>
      <c r="H1186" s="6"/>
      <c r="I1186" s="14"/>
      <c r="K1186" s="6"/>
    </row>
    <row r="1187" spans="2:11" x14ac:dyDescent="0.25">
      <c r="B1187" s="7"/>
      <c r="C1187" s="14"/>
      <c r="D1187" s="7"/>
      <c r="E1187" s="6"/>
      <c r="F1187" s="6"/>
      <c r="G1187" s="7"/>
      <c r="H1187" s="6"/>
      <c r="I1187" s="14"/>
      <c r="K1187" s="6"/>
    </row>
    <row r="1188" spans="2:11" x14ac:dyDescent="0.25">
      <c r="B1188" s="7"/>
      <c r="C1188" s="14"/>
      <c r="D1188" s="7"/>
      <c r="E1188" s="6"/>
      <c r="F1188" s="6"/>
      <c r="G1188" s="7"/>
      <c r="H1188" s="6"/>
      <c r="I1188" s="14"/>
      <c r="K1188" s="6"/>
    </row>
    <row r="1189" spans="2:11" x14ac:dyDescent="0.25">
      <c r="B1189" s="7"/>
      <c r="C1189" s="14"/>
      <c r="D1189" s="7"/>
      <c r="E1189" s="6"/>
      <c r="F1189" s="6"/>
      <c r="G1189" s="7"/>
      <c r="H1189" s="6"/>
      <c r="I1189" s="14"/>
      <c r="K1189" s="6"/>
    </row>
    <row r="1190" spans="2:11" x14ac:dyDescent="0.25">
      <c r="B1190" s="7"/>
      <c r="C1190" s="14"/>
      <c r="D1190" s="7"/>
      <c r="E1190" s="6"/>
      <c r="F1190" s="6"/>
      <c r="G1190" s="7"/>
      <c r="H1190" s="6"/>
      <c r="I1190" s="14"/>
      <c r="K1190" s="6"/>
    </row>
    <row r="1191" spans="2:11" x14ac:dyDescent="0.25">
      <c r="B1191" s="7"/>
      <c r="C1191" s="14"/>
      <c r="D1191" s="7"/>
      <c r="E1191" s="6"/>
      <c r="F1191" s="6"/>
      <c r="G1191" s="7"/>
      <c r="H1191" s="6"/>
      <c r="I1191" s="14"/>
      <c r="K1191" s="6"/>
    </row>
    <row r="1192" spans="2:11" x14ac:dyDescent="0.25">
      <c r="B1192" s="7"/>
      <c r="C1192" s="14"/>
      <c r="D1192" s="7"/>
      <c r="E1192" s="6"/>
      <c r="F1192" s="6"/>
      <c r="G1192" s="7"/>
      <c r="H1192" s="6"/>
      <c r="I1192" s="14"/>
      <c r="K1192" s="6"/>
    </row>
    <row r="1193" spans="2:11" x14ac:dyDescent="0.25">
      <c r="B1193" s="7"/>
      <c r="C1193" s="14"/>
      <c r="D1193" s="7"/>
      <c r="E1193" s="6"/>
      <c r="F1193" s="6"/>
      <c r="G1193" s="7"/>
      <c r="H1193" s="6"/>
      <c r="I1193" s="14"/>
      <c r="K1193" s="6"/>
    </row>
    <row r="1194" spans="2:11" x14ac:dyDescent="0.25">
      <c r="B1194" s="7"/>
      <c r="C1194" s="14"/>
      <c r="D1194" s="7"/>
      <c r="E1194" s="6"/>
      <c r="F1194" s="6"/>
      <c r="G1194" s="7"/>
      <c r="H1194" s="6"/>
      <c r="I1194" s="14"/>
      <c r="K1194" s="6"/>
    </row>
    <row r="1195" spans="2:11" x14ac:dyDescent="0.25">
      <c r="B1195" s="7"/>
      <c r="C1195" s="14"/>
      <c r="D1195" s="7"/>
      <c r="E1195" s="6"/>
      <c r="F1195" s="6"/>
      <c r="G1195" s="7"/>
      <c r="H1195" s="6"/>
      <c r="I1195" s="14"/>
      <c r="K1195" s="6"/>
    </row>
    <row r="1196" spans="2:11" x14ac:dyDescent="0.25">
      <c r="B1196" s="7"/>
      <c r="C1196" s="14"/>
      <c r="D1196" s="7"/>
      <c r="E1196" s="6"/>
      <c r="F1196" s="6"/>
      <c r="G1196" s="7"/>
      <c r="H1196" s="6"/>
      <c r="I1196" s="14"/>
      <c r="K1196" s="6"/>
    </row>
    <row r="1197" spans="2:11" x14ac:dyDescent="0.25">
      <c r="B1197" s="7"/>
      <c r="C1197" s="14"/>
      <c r="D1197" s="7"/>
      <c r="E1197" s="6"/>
      <c r="F1197" s="6"/>
      <c r="G1197" s="7"/>
      <c r="H1197" s="6"/>
      <c r="I1197" s="14"/>
      <c r="K1197" s="6"/>
    </row>
    <row r="1198" spans="2:11" x14ac:dyDescent="0.25">
      <c r="B1198" s="7"/>
      <c r="C1198" s="14"/>
      <c r="D1198" s="7"/>
      <c r="E1198" s="6"/>
      <c r="F1198" s="6"/>
      <c r="G1198" s="7"/>
      <c r="H1198" s="6"/>
      <c r="I1198" s="14"/>
      <c r="K1198" s="6"/>
    </row>
    <row r="1199" spans="2:11" x14ac:dyDescent="0.25">
      <c r="B1199" s="7"/>
      <c r="C1199" s="14"/>
      <c r="D1199" s="7"/>
      <c r="E1199" s="6"/>
      <c r="F1199" s="6"/>
      <c r="G1199" s="7"/>
      <c r="H1199" s="6"/>
      <c r="I1199" s="14"/>
      <c r="K1199" s="6"/>
    </row>
    <row r="1200" spans="2:11" x14ac:dyDescent="0.25">
      <c r="B1200" s="7"/>
      <c r="C1200" s="14"/>
      <c r="D1200" s="7"/>
      <c r="E1200" s="6"/>
      <c r="F1200" s="6"/>
      <c r="G1200" s="7"/>
      <c r="H1200" s="6"/>
      <c r="I1200" s="14"/>
      <c r="K1200" s="6"/>
    </row>
    <row r="1201" spans="2:11" x14ac:dyDescent="0.25">
      <c r="B1201" s="7"/>
      <c r="C1201" s="14"/>
      <c r="D1201" s="7"/>
      <c r="E1201" s="6"/>
      <c r="F1201" s="6"/>
      <c r="G1201" s="7"/>
      <c r="H1201" s="6"/>
      <c r="I1201" s="14"/>
      <c r="K1201" s="6"/>
    </row>
    <row r="1202" spans="2:11" x14ac:dyDescent="0.25">
      <c r="B1202" s="7"/>
      <c r="C1202" s="14"/>
      <c r="D1202" s="7"/>
      <c r="E1202" s="6"/>
      <c r="F1202" s="6"/>
      <c r="G1202" s="7"/>
      <c r="H1202" s="6"/>
      <c r="I1202" s="14"/>
      <c r="K1202" s="6"/>
    </row>
    <row r="1203" spans="2:11" x14ac:dyDescent="0.25">
      <c r="B1203" s="7"/>
      <c r="C1203" s="14"/>
      <c r="D1203" s="7"/>
      <c r="E1203" s="6"/>
      <c r="F1203" s="6"/>
      <c r="G1203" s="7"/>
      <c r="H1203" s="6"/>
      <c r="I1203" s="14"/>
      <c r="K1203" s="6"/>
    </row>
    <row r="1204" spans="2:11" x14ac:dyDescent="0.25">
      <c r="B1204" s="7"/>
      <c r="C1204" s="14"/>
      <c r="D1204" s="7"/>
      <c r="E1204" s="6"/>
      <c r="F1204" s="6"/>
      <c r="G1204" s="7"/>
      <c r="H1204" s="6"/>
      <c r="I1204" s="14"/>
      <c r="K1204" s="6"/>
    </row>
    <row r="1205" spans="2:11" x14ac:dyDescent="0.25">
      <c r="B1205" s="7"/>
      <c r="C1205" s="14"/>
      <c r="D1205" s="7"/>
      <c r="E1205" s="6"/>
      <c r="F1205" s="6"/>
      <c r="G1205" s="7"/>
      <c r="H1205" s="6"/>
      <c r="I1205" s="14"/>
      <c r="K1205" s="6"/>
    </row>
    <row r="1206" spans="2:11" x14ac:dyDescent="0.25">
      <c r="B1206" s="7"/>
      <c r="C1206" s="14"/>
      <c r="D1206" s="7"/>
      <c r="E1206" s="6"/>
      <c r="F1206" s="6"/>
      <c r="G1206" s="7"/>
      <c r="H1206" s="6"/>
      <c r="I1206" s="14"/>
      <c r="K1206" s="6"/>
    </row>
    <row r="1207" spans="2:11" x14ac:dyDescent="0.25">
      <c r="B1207" s="7"/>
      <c r="C1207" s="14"/>
      <c r="D1207" s="7"/>
      <c r="E1207" s="6"/>
      <c r="F1207" s="6"/>
      <c r="G1207" s="7"/>
      <c r="H1207" s="6"/>
      <c r="I1207" s="14"/>
      <c r="K1207" s="6"/>
    </row>
    <row r="1208" spans="2:11" x14ac:dyDescent="0.25">
      <c r="B1208" s="7"/>
      <c r="C1208" s="14"/>
      <c r="D1208" s="7"/>
      <c r="E1208" s="6"/>
      <c r="F1208" s="6"/>
      <c r="G1208" s="7"/>
      <c r="H1208" s="6"/>
      <c r="I1208" s="14"/>
      <c r="K1208" s="6"/>
    </row>
    <row r="1209" spans="2:11" x14ac:dyDescent="0.25">
      <c r="B1209" s="7"/>
      <c r="C1209" s="14"/>
      <c r="D1209" s="7"/>
      <c r="E1209" s="6"/>
      <c r="F1209" s="6"/>
      <c r="G1209" s="7"/>
      <c r="H1209" s="6"/>
      <c r="I1209" s="14"/>
      <c r="K1209" s="6"/>
    </row>
    <row r="1210" spans="2:11" x14ac:dyDescent="0.25">
      <c r="B1210" s="7"/>
      <c r="C1210" s="14"/>
      <c r="D1210" s="7"/>
      <c r="E1210" s="6"/>
      <c r="F1210" s="6"/>
      <c r="G1210" s="7"/>
      <c r="H1210" s="6"/>
      <c r="I1210" s="14"/>
      <c r="K1210" s="6"/>
    </row>
    <row r="1211" spans="2:11" x14ac:dyDescent="0.25">
      <c r="B1211" s="7"/>
      <c r="C1211" s="14"/>
      <c r="D1211" s="7"/>
      <c r="E1211" s="6"/>
      <c r="F1211" s="6"/>
      <c r="G1211" s="7"/>
      <c r="H1211" s="6"/>
      <c r="I1211" s="14"/>
      <c r="K1211" s="6"/>
    </row>
    <row r="1212" spans="2:11" x14ac:dyDescent="0.25">
      <c r="B1212" s="7"/>
      <c r="C1212" s="14"/>
      <c r="D1212" s="7"/>
      <c r="E1212" s="6"/>
      <c r="F1212" s="6"/>
      <c r="G1212" s="7"/>
      <c r="H1212" s="6"/>
      <c r="I1212" s="14"/>
      <c r="K1212" s="6"/>
    </row>
    <row r="1213" spans="2:11" x14ac:dyDescent="0.25">
      <c r="B1213" s="7"/>
      <c r="C1213" s="14"/>
      <c r="D1213" s="7"/>
      <c r="E1213" s="6"/>
      <c r="F1213" s="6"/>
      <c r="G1213" s="7"/>
      <c r="H1213" s="6"/>
      <c r="I1213" s="14"/>
      <c r="K1213" s="6"/>
    </row>
    <row r="1214" spans="2:11" x14ac:dyDescent="0.25">
      <c r="B1214" s="7"/>
      <c r="C1214" s="14"/>
      <c r="D1214" s="7"/>
      <c r="E1214" s="6"/>
      <c r="F1214" s="6"/>
      <c r="G1214" s="7"/>
      <c r="H1214" s="6"/>
      <c r="I1214" s="14"/>
      <c r="K1214" s="6"/>
    </row>
    <row r="1215" spans="2:11" x14ac:dyDescent="0.25">
      <c r="B1215" s="7"/>
      <c r="C1215" s="14"/>
      <c r="D1215" s="7"/>
      <c r="E1215" s="6"/>
      <c r="F1215" s="6"/>
      <c r="G1215" s="7"/>
      <c r="H1215" s="6"/>
      <c r="I1215" s="14"/>
      <c r="K1215" s="6"/>
    </row>
    <row r="1216" spans="2:11" x14ac:dyDescent="0.25">
      <c r="B1216" s="7"/>
      <c r="C1216" s="14"/>
      <c r="D1216" s="7"/>
      <c r="E1216" s="6"/>
      <c r="F1216" s="6"/>
      <c r="G1216" s="7"/>
      <c r="H1216" s="6"/>
      <c r="I1216" s="14"/>
      <c r="K1216" s="6"/>
    </row>
    <row r="1217" spans="2:11" x14ac:dyDescent="0.25">
      <c r="B1217" s="7"/>
      <c r="C1217" s="14"/>
      <c r="D1217" s="7"/>
      <c r="E1217" s="6"/>
      <c r="F1217" s="6"/>
      <c r="G1217" s="7"/>
      <c r="H1217" s="6"/>
      <c r="I1217" s="14"/>
      <c r="K1217" s="6"/>
    </row>
    <row r="1218" spans="2:11" x14ac:dyDescent="0.25">
      <c r="B1218" s="7"/>
      <c r="C1218" s="14"/>
      <c r="D1218" s="7"/>
      <c r="E1218" s="6"/>
      <c r="F1218" s="6"/>
      <c r="G1218" s="7"/>
      <c r="H1218" s="6"/>
      <c r="I1218" s="14"/>
      <c r="K1218" s="6"/>
    </row>
    <row r="1219" spans="2:11" x14ac:dyDescent="0.25">
      <c r="B1219" s="7"/>
      <c r="C1219" s="14"/>
      <c r="D1219" s="7"/>
      <c r="E1219" s="6"/>
      <c r="F1219" s="6"/>
      <c r="G1219" s="7"/>
      <c r="H1219" s="6"/>
      <c r="I1219" s="14"/>
      <c r="K1219" s="6"/>
    </row>
    <row r="1220" spans="2:11" x14ac:dyDescent="0.25">
      <c r="B1220" s="7"/>
      <c r="C1220" s="14"/>
      <c r="D1220" s="7"/>
      <c r="E1220" s="6"/>
      <c r="F1220" s="6"/>
      <c r="G1220" s="7"/>
      <c r="H1220" s="6"/>
      <c r="I1220" s="14"/>
      <c r="K1220" s="6"/>
    </row>
    <row r="1221" spans="2:11" x14ac:dyDescent="0.25">
      <c r="B1221" s="7"/>
      <c r="C1221" s="14"/>
      <c r="D1221" s="7"/>
      <c r="E1221" s="6"/>
      <c r="F1221" s="6"/>
      <c r="G1221" s="7"/>
      <c r="H1221" s="6"/>
      <c r="I1221" s="14"/>
      <c r="K1221" s="6"/>
    </row>
    <row r="1222" spans="2:11" x14ac:dyDescent="0.25">
      <c r="B1222" s="7"/>
      <c r="C1222" s="14"/>
      <c r="D1222" s="7"/>
      <c r="E1222" s="6"/>
      <c r="F1222" s="6"/>
      <c r="G1222" s="7"/>
      <c r="H1222" s="6"/>
      <c r="I1222" s="14"/>
      <c r="K1222" s="6"/>
    </row>
    <row r="1223" spans="2:11" x14ac:dyDescent="0.25">
      <c r="B1223" s="7"/>
      <c r="C1223" s="14"/>
      <c r="D1223" s="7"/>
      <c r="E1223" s="6"/>
      <c r="F1223" s="6"/>
      <c r="G1223" s="7"/>
      <c r="H1223" s="6"/>
      <c r="I1223" s="14"/>
      <c r="K1223" s="6"/>
    </row>
    <row r="1224" spans="2:11" x14ac:dyDescent="0.25">
      <c r="B1224" s="7"/>
      <c r="C1224" s="14"/>
      <c r="D1224" s="7"/>
      <c r="E1224" s="6"/>
      <c r="F1224" s="6"/>
      <c r="G1224" s="7"/>
      <c r="H1224" s="6"/>
      <c r="I1224" s="14"/>
      <c r="K1224" s="6"/>
    </row>
    <row r="1225" spans="2:11" x14ac:dyDescent="0.25">
      <c r="B1225" s="7"/>
      <c r="C1225" s="14"/>
      <c r="D1225" s="7"/>
      <c r="E1225" s="6"/>
      <c r="F1225" s="6"/>
      <c r="G1225" s="7"/>
      <c r="H1225" s="6"/>
      <c r="I1225" s="14"/>
      <c r="K1225" s="6"/>
    </row>
    <row r="1226" spans="2:11" x14ac:dyDescent="0.25">
      <c r="B1226" s="7"/>
      <c r="C1226" s="14"/>
      <c r="D1226" s="7"/>
      <c r="E1226" s="6"/>
      <c r="F1226" s="6"/>
      <c r="G1226" s="7"/>
      <c r="H1226" s="6"/>
      <c r="I1226" s="14"/>
      <c r="K1226" s="6"/>
    </row>
    <row r="1227" spans="2:11" x14ac:dyDescent="0.25">
      <c r="B1227" s="7"/>
      <c r="C1227" s="14"/>
      <c r="D1227" s="7"/>
      <c r="E1227" s="6"/>
      <c r="F1227" s="6"/>
      <c r="G1227" s="7"/>
      <c r="H1227" s="6"/>
      <c r="I1227" s="14"/>
      <c r="K1227" s="6"/>
    </row>
    <row r="1228" spans="2:11" x14ac:dyDescent="0.25">
      <c r="B1228" s="7"/>
      <c r="C1228" s="14"/>
      <c r="D1228" s="7"/>
      <c r="E1228" s="6"/>
      <c r="F1228" s="6"/>
      <c r="G1228" s="7"/>
      <c r="H1228" s="6"/>
      <c r="I1228" s="14"/>
      <c r="K1228" s="6"/>
    </row>
    <row r="1229" spans="2:11" x14ac:dyDescent="0.25">
      <c r="B1229" s="7"/>
      <c r="C1229" s="14"/>
      <c r="D1229" s="7"/>
      <c r="E1229" s="6"/>
      <c r="F1229" s="6"/>
      <c r="G1229" s="7"/>
      <c r="H1229" s="6"/>
      <c r="I1229" s="14"/>
      <c r="K1229" s="6"/>
    </row>
    <row r="1230" spans="2:11" x14ac:dyDescent="0.25">
      <c r="B1230" s="7"/>
      <c r="C1230" s="14"/>
      <c r="D1230" s="7"/>
      <c r="E1230" s="6"/>
      <c r="F1230" s="6"/>
      <c r="G1230" s="7"/>
      <c r="H1230" s="6"/>
      <c r="I1230" s="14"/>
      <c r="K1230" s="6"/>
    </row>
    <row r="1231" spans="2:11" x14ac:dyDescent="0.25">
      <c r="B1231" s="7"/>
      <c r="C1231" s="14"/>
      <c r="D1231" s="7"/>
      <c r="E1231" s="6"/>
      <c r="F1231" s="6"/>
      <c r="G1231" s="7"/>
      <c r="H1231" s="6"/>
      <c r="I1231" s="14"/>
      <c r="K1231" s="6"/>
    </row>
    <row r="1232" spans="2:11" x14ac:dyDescent="0.25">
      <c r="B1232" s="7"/>
      <c r="C1232" s="14"/>
      <c r="D1232" s="7"/>
      <c r="E1232" s="6"/>
      <c r="F1232" s="6"/>
      <c r="G1232" s="7"/>
      <c r="H1232" s="6"/>
      <c r="I1232" s="14"/>
      <c r="K1232" s="6"/>
    </row>
    <row r="1233" spans="2:11" x14ac:dyDescent="0.25">
      <c r="B1233" s="7"/>
      <c r="C1233" s="14"/>
      <c r="D1233" s="7"/>
      <c r="E1233" s="6"/>
      <c r="F1233" s="6"/>
      <c r="G1233" s="7"/>
      <c r="H1233" s="6"/>
      <c r="I1233" s="14"/>
      <c r="K1233" s="6"/>
    </row>
    <row r="1234" spans="2:11" x14ac:dyDescent="0.25">
      <c r="B1234" s="7"/>
      <c r="C1234" s="14"/>
      <c r="D1234" s="7"/>
      <c r="E1234" s="6"/>
      <c r="F1234" s="6"/>
      <c r="G1234" s="7"/>
      <c r="H1234" s="6"/>
      <c r="I1234" s="14"/>
      <c r="K1234" s="6"/>
    </row>
    <row r="1235" spans="2:11" x14ac:dyDescent="0.25">
      <c r="B1235" s="7"/>
      <c r="C1235" s="14"/>
      <c r="D1235" s="7"/>
      <c r="E1235" s="6"/>
      <c r="F1235" s="6"/>
      <c r="G1235" s="7"/>
      <c r="H1235" s="6"/>
      <c r="I1235" s="14"/>
      <c r="K1235" s="6"/>
    </row>
    <row r="1236" spans="2:11" x14ac:dyDescent="0.25">
      <c r="B1236" s="7"/>
      <c r="C1236" s="14"/>
      <c r="D1236" s="7"/>
      <c r="E1236" s="6"/>
      <c r="F1236" s="6"/>
      <c r="G1236" s="7"/>
      <c r="H1236" s="6"/>
      <c r="I1236" s="14"/>
      <c r="K1236" s="6"/>
    </row>
    <row r="1237" spans="2:11" x14ac:dyDescent="0.25">
      <c r="B1237" s="7"/>
      <c r="C1237" s="14"/>
      <c r="D1237" s="7"/>
      <c r="E1237" s="6"/>
      <c r="F1237" s="6"/>
      <c r="G1237" s="7"/>
      <c r="H1237" s="6"/>
      <c r="I1237" s="14"/>
      <c r="K1237" s="6"/>
    </row>
    <row r="1238" spans="2:11" x14ac:dyDescent="0.25">
      <c r="B1238" s="7"/>
      <c r="C1238" s="14"/>
      <c r="D1238" s="7"/>
      <c r="E1238" s="6"/>
      <c r="F1238" s="6"/>
      <c r="G1238" s="7"/>
      <c r="H1238" s="6"/>
      <c r="I1238" s="14"/>
      <c r="K1238" s="6"/>
    </row>
    <row r="1239" spans="2:11" x14ac:dyDescent="0.25">
      <c r="B1239" s="7"/>
      <c r="C1239" s="14"/>
      <c r="D1239" s="7"/>
      <c r="E1239" s="6"/>
      <c r="F1239" s="6"/>
      <c r="G1239" s="7"/>
      <c r="H1239" s="6"/>
      <c r="I1239" s="14"/>
      <c r="K1239" s="6"/>
    </row>
    <row r="1240" spans="2:11" x14ac:dyDescent="0.25">
      <c r="B1240" s="7"/>
      <c r="C1240" s="14"/>
      <c r="D1240" s="7"/>
      <c r="E1240" s="6"/>
      <c r="F1240" s="6"/>
      <c r="G1240" s="7"/>
      <c r="H1240" s="6"/>
      <c r="I1240" s="14"/>
      <c r="K1240" s="6"/>
    </row>
    <row r="1241" spans="2:11" x14ac:dyDescent="0.25">
      <c r="B1241" s="7"/>
      <c r="C1241" s="14"/>
      <c r="D1241" s="7"/>
      <c r="E1241" s="6"/>
      <c r="F1241" s="6"/>
      <c r="G1241" s="7"/>
      <c r="H1241" s="6"/>
      <c r="I1241" s="14"/>
      <c r="K1241" s="6"/>
    </row>
    <row r="1242" spans="2:11" x14ac:dyDescent="0.25">
      <c r="B1242" s="7"/>
      <c r="C1242" s="14"/>
      <c r="D1242" s="7"/>
      <c r="E1242" s="6"/>
      <c r="F1242" s="6"/>
      <c r="G1242" s="7"/>
      <c r="H1242" s="6"/>
      <c r="I1242" s="14"/>
      <c r="K1242" s="6"/>
    </row>
    <row r="1243" spans="2:11" x14ac:dyDescent="0.25">
      <c r="B1243" s="7"/>
      <c r="C1243" s="14"/>
      <c r="D1243" s="7"/>
      <c r="E1243" s="6"/>
      <c r="F1243" s="6"/>
      <c r="G1243" s="7"/>
      <c r="H1243" s="6"/>
      <c r="I1243" s="14"/>
      <c r="K1243" s="6"/>
    </row>
    <row r="1244" spans="2:11" x14ac:dyDescent="0.25">
      <c r="B1244" s="7"/>
      <c r="C1244" s="14"/>
      <c r="D1244" s="7"/>
      <c r="E1244" s="6"/>
      <c r="F1244" s="6"/>
      <c r="G1244" s="7"/>
      <c r="H1244" s="6"/>
      <c r="I1244" s="14"/>
      <c r="K1244" s="6"/>
    </row>
    <row r="1245" spans="2:11" x14ac:dyDescent="0.25">
      <c r="B1245" s="7"/>
      <c r="C1245" s="14"/>
      <c r="D1245" s="7"/>
      <c r="E1245" s="6"/>
      <c r="F1245" s="6"/>
      <c r="G1245" s="7"/>
      <c r="H1245" s="6"/>
      <c r="I1245" s="14"/>
      <c r="K1245" s="6"/>
    </row>
    <row r="1246" spans="2:11" x14ac:dyDescent="0.25">
      <c r="B1246" s="7"/>
      <c r="C1246" s="14"/>
      <c r="D1246" s="7"/>
      <c r="E1246" s="6"/>
      <c r="F1246" s="6"/>
      <c r="G1246" s="7"/>
      <c r="H1246" s="6"/>
      <c r="I1246" s="14"/>
      <c r="K1246" s="6"/>
    </row>
    <row r="1247" spans="2:11" x14ac:dyDescent="0.25">
      <c r="B1247" s="7"/>
      <c r="C1247" s="14"/>
      <c r="D1247" s="7"/>
      <c r="E1247" s="6"/>
      <c r="F1247" s="6"/>
      <c r="G1247" s="7"/>
      <c r="H1247" s="6"/>
      <c r="I1247" s="14"/>
      <c r="K1247" s="6"/>
    </row>
    <row r="1248" spans="2:11" x14ac:dyDescent="0.25">
      <c r="B1248" s="7"/>
      <c r="C1248" s="14"/>
      <c r="D1248" s="7"/>
      <c r="E1248" s="6"/>
      <c r="F1248" s="6"/>
      <c r="G1248" s="7"/>
      <c r="H1248" s="6"/>
      <c r="I1248" s="14"/>
      <c r="K1248" s="6"/>
    </row>
    <row r="1249" spans="2:11" x14ac:dyDescent="0.25">
      <c r="B1249" s="7"/>
      <c r="C1249" s="14"/>
      <c r="D1249" s="7"/>
      <c r="E1249" s="6"/>
      <c r="F1249" s="6"/>
      <c r="G1249" s="7"/>
      <c r="H1249" s="6"/>
      <c r="I1249" s="14"/>
      <c r="K1249" s="6"/>
    </row>
    <row r="1250" spans="2:11" x14ac:dyDescent="0.25">
      <c r="B1250" s="7"/>
      <c r="C1250" s="14"/>
      <c r="D1250" s="7"/>
      <c r="E1250" s="6"/>
      <c r="F1250" s="6"/>
      <c r="G1250" s="7"/>
      <c r="H1250" s="6"/>
      <c r="I1250" s="14"/>
      <c r="K1250" s="6"/>
    </row>
    <row r="1251" spans="2:11" x14ac:dyDescent="0.25">
      <c r="B1251" s="7"/>
      <c r="C1251" s="14"/>
      <c r="D1251" s="7"/>
      <c r="E1251" s="6"/>
      <c r="F1251" s="6"/>
      <c r="G1251" s="7"/>
      <c r="H1251" s="6"/>
      <c r="I1251" s="14"/>
      <c r="K1251" s="6"/>
    </row>
    <row r="1252" spans="2:11" x14ac:dyDescent="0.25">
      <c r="B1252" s="7"/>
      <c r="C1252" s="14"/>
      <c r="D1252" s="7"/>
      <c r="E1252" s="6"/>
      <c r="F1252" s="6"/>
      <c r="G1252" s="7"/>
      <c r="H1252" s="6"/>
      <c r="I1252" s="14"/>
      <c r="K1252" s="6"/>
    </row>
    <row r="1253" spans="2:11" x14ac:dyDescent="0.25">
      <c r="B1253" s="7"/>
      <c r="C1253" s="14"/>
      <c r="D1253" s="7"/>
      <c r="E1253" s="6"/>
      <c r="F1253" s="6"/>
      <c r="G1253" s="7"/>
      <c r="H1253" s="6"/>
      <c r="I1253" s="14"/>
      <c r="K1253" s="6"/>
    </row>
    <row r="1254" spans="2:11" x14ac:dyDescent="0.25">
      <c r="B1254" s="7"/>
      <c r="C1254" s="14"/>
      <c r="D1254" s="7"/>
      <c r="E1254" s="6"/>
      <c r="F1254" s="6"/>
      <c r="G1254" s="7"/>
      <c r="H1254" s="6"/>
      <c r="I1254" s="14"/>
      <c r="K1254" s="6"/>
    </row>
    <row r="1255" spans="2:11" x14ac:dyDescent="0.25">
      <c r="B1255" s="7"/>
      <c r="C1255" s="14"/>
      <c r="D1255" s="7"/>
      <c r="E1255" s="6"/>
      <c r="F1255" s="6"/>
      <c r="G1255" s="7"/>
      <c r="H1255" s="6"/>
      <c r="I1255" s="14"/>
      <c r="K1255" s="6"/>
    </row>
    <row r="1256" spans="2:11" x14ac:dyDescent="0.25">
      <c r="B1256" s="7"/>
      <c r="C1256" s="14"/>
      <c r="D1256" s="7"/>
      <c r="E1256" s="6"/>
      <c r="F1256" s="6"/>
      <c r="G1256" s="7"/>
      <c r="H1256" s="6"/>
      <c r="I1256" s="14"/>
      <c r="K1256" s="6"/>
    </row>
    <row r="1257" spans="2:11" x14ac:dyDescent="0.25">
      <c r="B1257" s="7"/>
      <c r="C1257" s="14"/>
      <c r="D1257" s="7"/>
      <c r="E1257" s="6"/>
      <c r="F1257" s="6"/>
      <c r="G1257" s="7"/>
      <c r="H1257" s="6"/>
      <c r="I1257" s="14"/>
      <c r="K1257" s="6"/>
    </row>
    <row r="1258" spans="2:11" x14ac:dyDescent="0.25">
      <c r="B1258" s="7"/>
      <c r="C1258" s="14"/>
      <c r="D1258" s="7"/>
      <c r="E1258" s="6"/>
      <c r="F1258" s="6"/>
      <c r="G1258" s="7"/>
      <c r="H1258" s="6"/>
      <c r="I1258" s="14"/>
      <c r="K1258" s="6"/>
    </row>
    <row r="1259" spans="2:11" x14ac:dyDescent="0.25">
      <c r="B1259" s="7"/>
      <c r="C1259" s="14"/>
      <c r="D1259" s="7"/>
      <c r="E1259" s="6"/>
      <c r="F1259" s="6"/>
      <c r="G1259" s="7"/>
      <c r="H1259" s="6"/>
      <c r="I1259" s="14"/>
      <c r="K1259" s="6"/>
    </row>
    <row r="1260" spans="2:11" x14ac:dyDescent="0.25">
      <c r="B1260" s="7"/>
      <c r="C1260" s="14"/>
      <c r="D1260" s="7"/>
      <c r="E1260" s="6"/>
      <c r="F1260" s="6"/>
      <c r="G1260" s="7"/>
      <c r="H1260" s="6"/>
      <c r="I1260" s="14"/>
      <c r="K1260" s="6"/>
    </row>
    <row r="1261" spans="2:11" x14ac:dyDescent="0.25">
      <c r="B1261" s="7"/>
      <c r="C1261" s="14"/>
      <c r="D1261" s="7"/>
      <c r="E1261" s="6"/>
      <c r="F1261" s="6"/>
      <c r="G1261" s="7"/>
      <c r="H1261" s="6"/>
      <c r="I1261" s="14"/>
      <c r="K1261" s="6"/>
    </row>
    <row r="1262" spans="2:11" x14ac:dyDescent="0.25">
      <c r="B1262" s="7"/>
      <c r="C1262" s="14"/>
      <c r="D1262" s="7"/>
      <c r="E1262" s="6"/>
      <c r="F1262" s="6"/>
      <c r="G1262" s="7"/>
      <c r="H1262" s="6"/>
      <c r="I1262" s="14"/>
      <c r="K1262" s="6"/>
    </row>
    <row r="1263" spans="2:11" x14ac:dyDescent="0.25">
      <c r="B1263" s="7"/>
      <c r="C1263" s="14"/>
      <c r="D1263" s="7"/>
      <c r="E1263" s="6"/>
      <c r="F1263" s="6"/>
      <c r="G1263" s="7"/>
      <c r="H1263" s="6"/>
      <c r="I1263" s="14"/>
      <c r="K1263" s="6"/>
    </row>
    <row r="1264" spans="2:11" x14ac:dyDescent="0.25">
      <c r="B1264" s="7"/>
      <c r="C1264" s="14"/>
      <c r="D1264" s="7"/>
      <c r="E1264" s="6"/>
      <c r="F1264" s="6"/>
      <c r="G1264" s="7"/>
      <c r="H1264" s="6"/>
      <c r="I1264" s="14"/>
      <c r="K1264" s="6"/>
    </row>
    <row r="1265" spans="2:11" x14ac:dyDescent="0.25">
      <c r="B1265" s="7"/>
      <c r="C1265" s="14"/>
      <c r="D1265" s="7"/>
      <c r="E1265" s="6"/>
      <c r="F1265" s="6"/>
      <c r="G1265" s="7"/>
      <c r="H1265" s="6"/>
      <c r="I1265" s="14"/>
      <c r="K1265" s="6"/>
    </row>
    <row r="1266" spans="2:11" x14ac:dyDescent="0.25">
      <c r="B1266" s="7"/>
      <c r="C1266" s="14"/>
      <c r="D1266" s="7"/>
      <c r="E1266" s="6"/>
      <c r="F1266" s="6"/>
      <c r="G1266" s="7"/>
      <c r="H1266" s="6"/>
      <c r="I1266" s="14"/>
      <c r="K1266" s="6"/>
    </row>
    <row r="1267" spans="2:11" x14ac:dyDescent="0.25">
      <c r="B1267" s="7"/>
      <c r="C1267" s="14"/>
      <c r="D1267" s="7"/>
      <c r="E1267" s="6"/>
      <c r="F1267" s="6"/>
      <c r="G1267" s="7"/>
      <c r="H1267" s="6"/>
      <c r="I1267" s="14"/>
      <c r="K1267" s="6"/>
    </row>
    <row r="1268" spans="2:11" x14ac:dyDescent="0.25">
      <c r="B1268" s="7"/>
      <c r="C1268" s="14"/>
      <c r="D1268" s="7"/>
      <c r="E1268" s="6"/>
      <c r="F1268" s="6"/>
      <c r="G1268" s="7"/>
      <c r="H1268" s="6"/>
      <c r="I1268" s="14"/>
      <c r="K1268" s="6"/>
    </row>
    <row r="1269" spans="2:11" x14ac:dyDescent="0.25">
      <c r="B1269" s="7"/>
      <c r="C1269" s="14"/>
      <c r="D1269" s="7"/>
      <c r="E1269" s="6"/>
      <c r="F1269" s="6"/>
      <c r="G1269" s="7"/>
      <c r="H1269" s="6"/>
      <c r="I1269" s="14"/>
      <c r="K1269" s="6"/>
    </row>
    <row r="1270" spans="2:11" x14ac:dyDescent="0.25">
      <c r="B1270" s="7"/>
      <c r="C1270" s="14"/>
      <c r="D1270" s="7"/>
      <c r="E1270" s="6"/>
      <c r="F1270" s="6"/>
      <c r="G1270" s="7"/>
      <c r="H1270" s="6"/>
      <c r="I1270" s="14"/>
      <c r="K1270" s="6"/>
    </row>
    <row r="1271" spans="2:11" x14ac:dyDescent="0.25">
      <c r="B1271" s="7"/>
      <c r="C1271" s="14"/>
      <c r="D1271" s="7"/>
      <c r="E1271" s="6"/>
      <c r="F1271" s="6"/>
      <c r="G1271" s="7"/>
      <c r="H1271" s="6"/>
      <c r="I1271" s="14"/>
      <c r="K1271" s="6"/>
    </row>
    <row r="1272" spans="2:11" x14ac:dyDescent="0.25">
      <c r="B1272" s="7"/>
      <c r="C1272" s="14"/>
      <c r="D1272" s="7"/>
      <c r="E1272" s="6"/>
      <c r="F1272" s="6"/>
      <c r="G1272" s="7"/>
      <c r="H1272" s="6"/>
      <c r="I1272" s="14"/>
      <c r="K1272" s="6"/>
    </row>
    <row r="1273" spans="2:11" x14ac:dyDescent="0.25">
      <c r="B1273" s="7"/>
      <c r="C1273" s="14"/>
      <c r="D1273" s="7"/>
      <c r="E1273" s="6"/>
      <c r="F1273" s="6"/>
      <c r="G1273" s="7"/>
      <c r="H1273" s="6"/>
      <c r="I1273" s="14"/>
      <c r="K1273" s="6"/>
    </row>
    <row r="1274" spans="2:11" x14ac:dyDescent="0.25">
      <c r="B1274" s="7"/>
      <c r="C1274" s="14"/>
      <c r="D1274" s="7"/>
      <c r="E1274" s="6"/>
      <c r="F1274" s="6"/>
      <c r="G1274" s="7"/>
      <c r="H1274" s="6"/>
      <c r="I1274" s="14"/>
      <c r="K1274" s="6"/>
    </row>
    <row r="1275" spans="2:11" x14ac:dyDescent="0.25">
      <c r="B1275" s="7"/>
      <c r="C1275" s="14"/>
      <c r="D1275" s="7"/>
      <c r="E1275" s="6"/>
      <c r="F1275" s="6"/>
      <c r="G1275" s="7"/>
      <c r="H1275" s="6"/>
      <c r="I1275" s="14"/>
      <c r="K1275" s="6"/>
    </row>
    <row r="1276" spans="2:11" x14ac:dyDescent="0.25">
      <c r="B1276" s="7"/>
      <c r="C1276" s="14"/>
      <c r="D1276" s="7"/>
      <c r="E1276" s="6"/>
      <c r="F1276" s="6"/>
      <c r="G1276" s="7"/>
      <c r="H1276" s="6"/>
      <c r="I1276" s="14"/>
      <c r="K1276" s="6"/>
    </row>
    <row r="1277" spans="2:11" x14ac:dyDescent="0.25">
      <c r="B1277" s="7"/>
      <c r="C1277" s="14"/>
      <c r="D1277" s="7"/>
      <c r="E1277" s="6"/>
      <c r="F1277" s="6"/>
      <c r="G1277" s="7"/>
      <c r="H1277" s="6"/>
      <c r="I1277" s="14"/>
      <c r="K1277" s="6"/>
    </row>
    <row r="1278" spans="2:11" x14ac:dyDescent="0.25">
      <c r="B1278" s="7"/>
      <c r="C1278" s="14"/>
      <c r="D1278" s="7"/>
      <c r="E1278" s="6"/>
      <c r="F1278" s="6"/>
      <c r="G1278" s="7"/>
      <c r="H1278" s="6"/>
      <c r="I1278" s="14"/>
      <c r="K1278" s="6"/>
    </row>
    <row r="1279" spans="2:11" x14ac:dyDescent="0.25">
      <c r="B1279" s="7"/>
      <c r="C1279" s="14"/>
      <c r="D1279" s="7"/>
      <c r="E1279" s="6"/>
      <c r="F1279" s="6"/>
      <c r="G1279" s="7"/>
      <c r="H1279" s="6"/>
      <c r="I1279" s="14"/>
      <c r="K1279" s="6"/>
    </row>
    <row r="1280" spans="2:11" x14ac:dyDescent="0.25">
      <c r="B1280" s="7"/>
      <c r="C1280" s="14"/>
      <c r="D1280" s="7"/>
      <c r="E1280" s="6"/>
      <c r="F1280" s="6"/>
      <c r="G1280" s="7"/>
      <c r="H1280" s="6"/>
      <c r="I1280" s="14"/>
      <c r="K1280" s="6"/>
    </row>
    <row r="1281" spans="2:11" x14ac:dyDescent="0.25">
      <c r="B1281" s="7"/>
      <c r="C1281" s="14"/>
      <c r="D1281" s="7"/>
      <c r="E1281" s="6"/>
      <c r="F1281" s="6"/>
      <c r="G1281" s="7"/>
      <c r="H1281" s="6"/>
      <c r="I1281" s="14"/>
      <c r="K1281" s="6"/>
    </row>
    <row r="1282" spans="2:11" x14ac:dyDescent="0.25">
      <c r="B1282" s="7"/>
      <c r="C1282" s="14"/>
      <c r="D1282" s="7"/>
      <c r="E1282" s="6"/>
      <c r="F1282" s="6"/>
      <c r="G1282" s="7"/>
      <c r="H1282" s="6"/>
      <c r="I1282" s="14"/>
      <c r="K1282" s="6"/>
    </row>
    <row r="1283" spans="2:11" x14ac:dyDescent="0.25">
      <c r="B1283" s="7"/>
      <c r="C1283" s="14"/>
      <c r="D1283" s="7"/>
      <c r="E1283" s="6"/>
      <c r="F1283" s="6"/>
      <c r="G1283" s="7"/>
      <c r="H1283" s="6"/>
      <c r="I1283" s="14"/>
      <c r="K1283" s="6"/>
    </row>
    <row r="1284" spans="2:11" x14ac:dyDescent="0.25">
      <c r="B1284" s="7"/>
      <c r="C1284" s="14"/>
      <c r="D1284" s="7"/>
      <c r="E1284" s="6"/>
      <c r="F1284" s="6"/>
      <c r="G1284" s="7"/>
      <c r="H1284" s="6"/>
      <c r="I1284" s="14"/>
      <c r="K1284" s="6"/>
    </row>
    <row r="1285" spans="2:11" x14ac:dyDescent="0.25">
      <c r="B1285" s="7"/>
      <c r="C1285" s="14"/>
      <c r="D1285" s="7"/>
      <c r="E1285" s="6"/>
      <c r="F1285" s="6"/>
      <c r="G1285" s="7"/>
      <c r="H1285" s="6"/>
      <c r="I1285" s="14"/>
      <c r="K1285" s="6"/>
    </row>
    <row r="1286" spans="2:11" x14ac:dyDescent="0.25">
      <c r="B1286" s="7"/>
      <c r="C1286" s="14"/>
      <c r="D1286" s="7"/>
      <c r="E1286" s="6"/>
      <c r="F1286" s="6"/>
      <c r="G1286" s="7"/>
      <c r="H1286" s="6"/>
      <c r="I1286" s="14"/>
      <c r="K1286" s="6"/>
    </row>
    <row r="1287" spans="2:11" x14ac:dyDescent="0.25">
      <c r="B1287" s="7"/>
      <c r="C1287" s="14"/>
      <c r="D1287" s="7"/>
      <c r="E1287" s="6"/>
      <c r="F1287" s="6"/>
      <c r="G1287" s="7"/>
      <c r="H1287" s="6"/>
      <c r="I1287" s="14"/>
      <c r="K1287" s="6"/>
    </row>
    <row r="1288" spans="2:11" x14ac:dyDescent="0.25">
      <c r="B1288" s="7"/>
      <c r="C1288" s="14"/>
      <c r="D1288" s="7"/>
      <c r="E1288" s="6"/>
      <c r="F1288" s="6"/>
      <c r="G1288" s="7"/>
      <c r="H1288" s="6"/>
      <c r="I1288" s="14"/>
      <c r="K1288" s="6"/>
    </row>
    <row r="1289" spans="2:11" x14ac:dyDescent="0.25">
      <c r="B1289" s="7"/>
      <c r="C1289" s="14"/>
      <c r="D1289" s="7"/>
      <c r="E1289" s="6"/>
      <c r="F1289" s="6"/>
      <c r="G1289" s="7"/>
      <c r="H1289" s="6"/>
      <c r="I1289" s="14"/>
      <c r="K1289" s="6"/>
    </row>
    <row r="1290" spans="2:11" x14ac:dyDescent="0.25">
      <c r="B1290" s="7"/>
      <c r="C1290" s="14"/>
      <c r="D1290" s="7"/>
      <c r="E1290" s="6"/>
      <c r="F1290" s="6"/>
      <c r="G1290" s="7"/>
      <c r="H1290" s="6"/>
      <c r="I1290" s="14"/>
      <c r="K1290" s="6"/>
    </row>
    <row r="1291" spans="2:11" x14ac:dyDescent="0.25">
      <c r="B1291" s="7"/>
      <c r="C1291" s="14"/>
      <c r="D1291" s="7"/>
      <c r="E1291" s="6"/>
      <c r="F1291" s="6"/>
      <c r="G1291" s="7"/>
      <c r="H1291" s="6"/>
      <c r="I1291" s="14"/>
      <c r="K1291" s="6"/>
    </row>
    <row r="1292" spans="2:11" x14ac:dyDescent="0.25">
      <c r="B1292" s="7"/>
      <c r="C1292" s="14"/>
      <c r="D1292" s="7"/>
      <c r="E1292" s="6"/>
      <c r="F1292" s="6"/>
      <c r="G1292" s="7"/>
      <c r="H1292" s="6"/>
      <c r="I1292" s="14"/>
      <c r="K1292" s="6"/>
    </row>
    <row r="1293" spans="2:11" x14ac:dyDescent="0.25">
      <c r="B1293" s="7"/>
      <c r="C1293" s="14"/>
      <c r="D1293" s="7"/>
      <c r="E1293" s="6"/>
      <c r="F1293" s="6"/>
      <c r="G1293" s="7"/>
      <c r="H1293" s="6"/>
      <c r="I1293" s="14"/>
      <c r="K1293" s="6"/>
    </row>
    <row r="1294" spans="2:11" x14ac:dyDescent="0.25">
      <c r="B1294" s="7"/>
      <c r="C1294" s="14"/>
      <c r="D1294" s="7"/>
      <c r="E1294" s="6"/>
      <c r="F1294" s="6"/>
      <c r="G1294" s="7"/>
      <c r="H1294" s="6"/>
      <c r="I1294" s="14"/>
      <c r="K1294" s="6"/>
    </row>
    <row r="1295" spans="2:11" x14ac:dyDescent="0.25">
      <c r="B1295" s="7"/>
      <c r="C1295" s="14"/>
      <c r="D1295" s="7"/>
      <c r="E1295" s="6"/>
      <c r="F1295" s="6"/>
      <c r="G1295" s="7"/>
      <c r="H1295" s="6"/>
      <c r="I1295" s="14"/>
      <c r="K1295" s="6"/>
    </row>
    <row r="1296" spans="2:11" x14ac:dyDescent="0.25">
      <c r="B1296" s="7"/>
      <c r="C1296" s="14"/>
      <c r="D1296" s="7"/>
      <c r="E1296" s="6"/>
      <c r="F1296" s="6"/>
      <c r="G1296" s="7"/>
      <c r="H1296" s="6"/>
      <c r="I1296" s="14"/>
      <c r="K1296" s="6"/>
    </row>
    <row r="1297" spans="2:11" x14ac:dyDescent="0.25">
      <c r="B1297" s="7"/>
      <c r="C1297" s="14"/>
      <c r="D1297" s="7"/>
      <c r="E1297" s="6"/>
      <c r="F1297" s="6"/>
      <c r="G1297" s="7"/>
      <c r="H1297" s="6"/>
      <c r="I1297" s="14"/>
      <c r="K1297" s="6"/>
    </row>
    <row r="1298" spans="2:11" x14ac:dyDescent="0.25">
      <c r="B1298" s="7"/>
      <c r="C1298" s="14"/>
      <c r="D1298" s="7"/>
      <c r="E1298" s="6"/>
      <c r="F1298" s="6"/>
      <c r="G1298" s="7"/>
      <c r="H1298" s="6"/>
      <c r="I1298" s="14"/>
      <c r="K1298" s="6"/>
    </row>
    <row r="1299" spans="2:11" x14ac:dyDescent="0.25">
      <c r="B1299" s="7"/>
      <c r="C1299" s="14"/>
      <c r="D1299" s="7"/>
      <c r="E1299" s="6"/>
      <c r="F1299" s="6"/>
      <c r="G1299" s="7"/>
      <c r="H1299" s="6"/>
      <c r="I1299" s="14"/>
      <c r="K1299" s="6"/>
    </row>
    <row r="1300" spans="2:11" x14ac:dyDescent="0.25">
      <c r="B1300" s="7"/>
      <c r="C1300" s="14"/>
      <c r="D1300" s="7"/>
      <c r="E1300" s="6"/>
      <c r="F1300" s="6"/>
      <c r="G1300" s="7"/>
      <c r="H1300" s="6"/>
      <c r="I1300" s="14"/>
      <c r="K1300" s="6"/>
    </row>
    <row r="1301" spans="2:11" x14ac:dyDescent="0.25">
      <c r="B1301" s="7"/>
      <c r="C1301" s="14"/>
      <c r="D1301" s="7"/>
      <c r="E1301" s="6"/>
      <c r="F1301" s="6"/>
      <c r="G1301" s="7"/>
      <c r="H1301" s="6"/>
      <c r="I1301" s="14"/>
      <c r="K1301" s="6"/>
    </row>
    <row r="1302" spans="2:11" x14ac:dyDescent="0.25">
      <c r="B1302" s="7"/>
      <c r="C1302" s="14"/>
      <c r="D1302" s="7"/>
      <c r="E1302" s="6"/>
      <c r="F1302" s="6"/>
      <c r="G1302" s="7"/>
      <c r="H1302" s="6"/>
      <c r="I1302" s="14"/>
      <c r="K1302" s="6"/>
    </row>
    <row r="1303" spans="2:11" x14ac:dyDescent="0.25">
      <c r="B1303" s="7"/>
      <c r="C1303" s="14"/>
      <c r="D1303" s="7"/>
      <c r="E1303" s="6"/>
      <c r="F1303" s="6"/>
      <c r="G1303" s="7"/>
      <c r="H1303" s="6"/>
      <c r="I1303" s="14"/>
      <c r="K1303" s="6"/>
    </row>
    <row r="1304" spans="2:11" x14ac:dyDescent="0.25">
      <c r="B1304" s="7"/>
      <c r="C1304" s="14"/>
      <c r="D1304" s="7"/>
      <c r="E1304" s="6"/>
      <c r="F1304" s="6"/>
      <c r="G1304" s="7"/>
      <c r="H1304" s="6"/>
      <c r="I1304" s="14"/>
      <c r="K1304" s="6"/>
    </row>
    <row r="1305" spans="2:11" x14ac:dyDescent="0.25">
      <c r="B1305" s="7"/>
      <c r="C1305" s="14"/>
      <c r="D1305" s="7"/>
      <c r="E1305" s="6"/>
      <c r="F1305" s="6"/>
      <c r="G1305" s="7"/>
      <c r="H1305" s="6"/>
      <c r="I1305" s="14"/>
      <c r="K1305" s="6"/>
    </row>
    <row r="1306" spans="2:11" x14ac:dyDescent="0.25">
      <c r="B1306" s="7"/>
      <c r="C1306" s="14"/>
      <c r="D1306" s="7"/>
      <c r="E1306" s="6"/>
      <c r="F1306" s="6"/>
      <c r="G1306" s="7"/>
      <c r="H1306" s="6"/>
      <c r="I1306" s="14"/>
      <c r="K1306" s="6"/>
    </row>
    <row r="1307" spans="2:11" x14ac:dyDescent="0.25">
      <c r="B1307" s="7"/>
      <c r="C1307" s="14"/>
      <c r="D1307" s="7"/>
      <c r="E1307" s="6"/>
      <c r="F1307" s="6"/>
      <c r="G1307" s="7"/>
      <c r="H1307" s="6"/>
      <c r="I1307" s="14"/>
      <c r="K1307" s="6"/>
    </row>
    <row r="1308" spans="2:11" x14ac:dyDescent="0.25">
      <c r="B1308" s="7"/>
      <c r="C1308" s="14"/>
      <c r="D1308" s="7"/>
      <c r="E1308" s="6"/>
      <c r="F1308" s="6"/>
      <c r="G1308" s="7"/>
      <c r="H1308" s="6"/>
      <c r="I1308" s="14"/>
      <c r="K1308" s="6"/>
    </row>
    <row r="1309" spans="2:11" x14ac:dyDescent="0.25">
      <c r="B1309" s="7"/>
      <c r="C1309" s="14"/>
      <c r="D1309" s="7"/>
      <c r="E1309" s="6"/>
      <c r="F1309" s="6"/>
      <c r="G1309" s="7"/>
      <c r="H1309" s="6"/>
      <c r="I1309" s="14"/>
      <c r="K1309" s="6"/>
    </row>
    <row r="1310" spans="2:11" x14ac:dyDescent="0.25">
      <c r="B1310" s="7"/>
      <c r="C1310" s="14"/>
      <c r="D1310" s="7"/>
      <c r="E1310" s="6"/>
      <c r="F1310" s="6"/>
      <c r="G1310" s="7"/>
      <c r="H1310" s="6"/>
      <c r="I1310" s="14"/>
      <c r="K1310" s="6"/>
    </row>
    <row r="1311" spans="2:11" x14ac:dyDescent="0.25">
      <c r="B1311" s="7"/>
      <c r="C1311" s="14"/>
      <c r="D1311" s="7"/>
      <c r="E1311" s="6"/>
      <c r="F1311" s="6"/>
      <c r="G1311" s="7"/>
      <c r="H1311" s="6"/>
      <c r="I1311" s="14"/>
      <c r="K1311" s="6"/>
    </row>
    <row r="1312" spans="2:11" x14ac:dyDescent="0.25">
      <c r="B1312" s="7"/>
      <c r="C1312" s="14"/>
      <c r="D1312" s="7"/>
      <c r="E1312" s="6"/>
      <c r="F1312" s="6"/>
      <c r="G1312" s="7"/>
      <c r="H1312" s="6"/>
      <c r="I1312" s="14"/>
      <c r="K1312" s="6"/>
    </row>
    <row r="1313" spans="2:11" x14ac:dyDescent="0.25">
      <c r="B1313" s="7"/>
      <c r="C1313" s="14"/>
      <c r="D1313" s="7"/>
      <c r="E1313" s="6"/>
      <c r="F1313" s="6"/>
      <c r="G1313" s="7"/>
      <c r="H1313" s="6"/>
      <c r="I1313" s="14"/>
      <c r="K1313" s="6"/>
    </row>
    <row r="1314" spans="2:11" x14ac:dyDescent="0.25">
      <c r="B1314" s="7"/>
      <c r="C1314" s="14"/>
      <c r="D1314" s="7"/>
      <c r="E1314" s="6"/>
      <c r="F1314" s="6"/>
      <c r="G1314" s="7"/>
      <c r="H1314" s="6"/>
      <c r="I1314" s="14"/>
      <c r="K1314" s="6"/>
    </row>
    <row r="1315" spans="2:11" x14ac:dyDescent="0.25">
      <c r="B1315" s="7"/>
      <c r="C1315" s="14"/>
      <c r="D1315" s="7"/>
      <c r="E1315" s="6"/>
      <c r="F1315" s="6"/>
      <c r="G1315" s="7"/>
      <c r="H1315" s="6"/>
      <c r="I1315" s="14"/>
      <c r="K1315" s="6"/>
    </row>
    <row r="1316" spans="2:11" x14ac:dyDescent="0.25">
      <c r="B1316" s="7"/>
      <c r="C1316" s="14"/>
      <c r="D1316" s="7"/>
      <c r="E1316" s="6"/>
      <c r="F1316" s="6"/>
      <c r="G1316" s="7"/>
      <c r="H1316" s="6"/>
      <c r="I1316" s="14"/>
      <c r="K1316" s="6"/>
    </row>
    <row r="1317" spans="2:11" x14ac:dyDescent="0.25">
      <c r="B1317" s="7"/>
      <c r="C1317" s="14"/>
      <c r="D1317" s="7"/>
      <c r="E1317" s="6"/>
      <c r="F1317" s="6"/>
      <c r="G1317" s="7"/>
      <c r="H1317" s="6"/>
      <c r="I1317" s="14"/>
      <c r="K1317" s="6"/>
    </row>
    <row r="1318" spans="2:11" x14ac:dyDescent="0.25">
      <c r="B1318" s="7"/>
      <c r="C1318" s="14"/>
      <c r="D1318" s="7"/>
      <c r="E1318" s="6"/>
      <c r="F1318" s="6"/>
      <c r="G1318" s="7"/>
      <c r="H1318" s="6"/>
      <c r="I1318" s="14"/>
      <c r="K1318" s="6"/>
    </row>
    <row r="1319" spans="2:11" x14ac:dyDescent="0.25">
      <c r="B1319" s="7"/>
      <c r="C1319" s="14"/>
      <c r="D1319" s="7"/>
      <c r="E1319" s="6"/>
      <c r="F1319" s="6"/>
      <c r="G1319" s="7"/>
      <c r="H1319" s="6"/>
      <c r="I1319" s="14"/>
      <c r="K1319" s="6"/>
    </row>
    <row r="1320" spans="2:11" x14ac:dyDescent="0.25">
      <c r="B1320" s="7"/>
      <c r="C1320" s="14"/>
      <c r="D1320" s="7"/>
      <c r="E1320" s="6"/>
      <c r="F1320" s="6"/>
      <c r="G1320" s="7"/>
      <c r="H1320" s="6"/>
      <c r="I1320" s="14"/>
      <c r="K1320" s="6"/>
    </row>
    <row r="1321" spans="2:11" x14ac:dyDescent="0.25">
      <c r="B1321" s="7"/>
      <c r="C1321" s="14"/>
      <c r="D1321" s="7"/>
      <c r="E1321" s="6"/>
      <c r="F1321" s="6"/>
      <c r="G1321" s="7"/>
      <c r="H1321" s="6"/>
      <c r="I1321" s="14"/>
      <c r="K1321" s="6"/>
    </row>
    <row r="1322" spans="2:11" x14ac:dyDescent="0.25">
      <c r="B1322" s="7"/>
      <c r="C1322" s="14"/>
      <c r="D1322" s="7"/>
      <c r="E1322" s="6"/>
      <c r="F1322" s="6"/>
      <c r="G1322" s="7"/>
      <c r="H1322" s="6"/>
      <c r="I1322" s="14"/>
      <c r="K1322" s="6"/>
    </row>
    <row r="1323" spans="2:11" x14ac:dyDescent="0.25">
      <c r="B1323" s="7"/>
      <c r="C1323" s="14"/>
      <c r="D1323" s="7"/>
      <c r="E1323" s="6"/>
      <c r="F1323" s="6"/>
      <c r="G1323" s="7"/>
      <c r="H1323" s="6"/>
      <c r="I1323" s="14"/>
      <c r="K1323" s="6"/>
    </row>
    <row r="1324" spans="2:11" x14ac:dyDescent="0.25">
      <c r="B1324" s="7"/>
      <c r="C1324" s="14"/>
      <c r="D1324" s="7"/>
      <c r="E1324" s="6"/>
      <c r="F1324" s="6"/>
      <c r="G1324" s="7"/>
      <c r="H1324" s="6"/>
      <c r="I1324" s="14"/>
      <c r="K1324" s="6"/>
    </row>
    <row r="1325" spans="2:11" x14ac:dyDescent="0.25">
      <c r="B1325" s="7"/>
      <c r="C1325" s="14"/>
      <c r="D1325" s="7"/>
      <c r="E1325" s="6"/>
      <c r="F1325" s="6"/>
      <c r="G1325" s="7"/>
      <c r="H1325" s="6"/>
      <c r="I1325" s="14"/>
      <c r="K1325" s="6"/>
    </row>
    <row r="1326" spans="2:11" x14ac:dyDescent="0.25">
      <c r="B1326" s="7"/>
      <c r="C1326" s="14"/>
      <c r="D1326" s="7"/>
      <c r="E1326" s="6"/>
      <c r="F1326" s="6"/>
      <c r="G1326" s="7"/>
      <c r="H1326" s="6"/>
      <c r="I1326" s="14"/>
      <c r="K1326" s="6"/>
    </row>
    <row r="1327" spans="2:11" x14ac:dyDescent="0.25">
      <c r="B1327" s="7"/>
      <c r="C1327" s="14"/>
      <c r="D1327" s="7"/>
      <c r="E1327" s="6"/>
      <c r="F1327" s="6"/>
      <c r="G1327" s="7"/>
      <c r="H1327" s="6"/>
      <c r="I1327" s="14"/>
      <c r="K1327" s="6"/>
    </row>
    <row r="1328" spans="2:11" x14ac:dyDescent="0.25">
      <c r="B1328" s="7"/>
      <c r="C1328" s="14"/>
      <c r="D1328" s="7"/>
      <c r="E1328" s="6"/>
      <c r="F1328" s="6"/>
      <c r="G1328" s="7"/>
      <c r="H1328" s="6"/>
      <c r="I1328" s="14"/>
      <c r="K1328" s="6"/>
    </row>
    <row r="1329" spans="2:11" x14ac:dyDescent="0.25">
      <c r="B1329" s="7"/>
      <c r="C1329" s="14"/>
      <c r="D1329" s="7"/>
      <c r="E1329" s="6"/>
      <c r="F1329" s="6"/>
      <c r="G1329" s="7"/>
      <c r="H1329" s="6"/>
      <c r="I1329" s="14"/>
      <c r="K1329" s="6"/>
    </row>
    <row r="1330" spans="2:11" x14ac:dyDescent="0.25">
      <c r="B1330" s="7"/>
      <c r="C1330" s="14"/>
      <c r="D1330" s="7"/>
      <c r="E1330" s="6"/>
      <c r="F1330" s="6"/>
      <c r="G1330" s="7"/>
      <c r="H1330" s="6"/>
      <c r="I1330" s="14"/>
      <c r="K1330" s="6"/>
    </row>
    <row r="1331" spans="2:11" x14ac:dyDescent="0.25">
      <c r="B1331" s="7"/>
      <c r="C1331" s="14"/>
      <c r="D1331" s="7"/>
      <c r="E1331" s="6"/>
      <c r="F1331" s="6"/>
      <c r="G1331" s="7"/>
      <c r="H1331" s="6"/>
      <c r="I1331" s="14"/>
      <c r="K1331" s="6"/>
    </row>
    <row r="1332" spans="2:11" x14ac:dyDescent="0.25">
      <c r="B1332" s="7"/>
      <c r="C1332" s="14"/>
      <c r="D1332" s="7"/>
      <c r="E1332" s="6"/>
      <c r="F1332" s="6"/>
      <c r="G1332" s="7"/>
      <c r="H1332" s="6"/>
      <c r="I1332" s="14"/>
      <c r="K1332" s="6"/>
    </row>
    <row r="1333" spans="2:11" x14ac:dyDescent="0.25">
      <c r="B1333" s="7"/>
      <c r="C1333" s="14"/>
      <c r="D1333" s="7"/>
      <c r="E1333" s="6"/>
      <c r="F1333" s="6"/>
      <c r="G1333" s="7"/>
      <c r="H1333" s="6"/>
      <c r="I1333" s="14"/>
      <c r="K1333" s="6"/>
    </row>
    <row r="1334" spans="2:11" x14ac:dyDescent="0.25">
      <c r="B1334" s="7"/>
      <c r="C1334" s="14"/>
      <c r="D1334" s="7"/>
      <c r="E1334" s="6"/>
      <c r="F1334" s="6"/>
      <c r="G1334" s="7"/>
      <c r="H1334" s="6"/>
      <c r="I1334" s="14"/>
      <c r="K1334" s="6"/>
    </row>
    <row r="1335" spans="2:11" x14ac:dyDescent="0.25">
      <c r="B1335" s="7"/>
      <c r="C1335" s="14"/>
      <c r="D1335" s="7"/>
      <c r="E1335" s="6"/>
      <c r="F1335" s="6"/>
      <c r="G1335" s="7"/>
      <c r="H1335" s="6"/>
      <c r="I1335" s="14"/>
      <c r="K1335" s="6"/>
    </row>
    <row r="1336" spans="2:11" x14ac:dyDescent="0.25">
      <c r="B1336" s="7"/>
      <c r="C1336" s="14"/>
      <c r="D1336" s="7"/>
      <c r="E1336" s="6"/>
      <c r="F1336" s="6"/>
      <c r="G1336" s="7"/>
      <c r="H1336" s="6"/>
      <c r="I1336" s="14"/>
      <c r="K1336" s="6"/>
    </row>
    <row r="1337" spans="2:11" x14ac:dyDescent="0.25">
      <c r="B1337" s="7"/>
      <c r="C1337" s="14"/>
      <c r="D1337" s="7"/>
      <c r="E1337" s="6"/>
      <c r="F1337" s="6"/>
      <c r="G1337" s="7"/>
      <c r="H1337" s="6"/>
      <c r="I1337" s="14"/>
      <c r="K1337" s="6"/>
    </row>
    <row r="1338" spans="2:11" x14ac:dyDescent="0.25">
      <c r="B1338" s="7"/>
      <c r="C1338" s="14"/>
      <c r="D1338" s="7"/>
      <c r="E1338" s="6"/>
      <c r="F1338" s="6"/>
      <c r="G1338" s="7"/>
      <c r="H1338" s="6"/>
      <c r="I1338" s="14"/>
      <c r="K1338" s="6"/>
    </row>
    <row r="1339" spans="2:11" x14ac:dyDescent="0.25">
      <c r="B1339" s="7"/>
      <c r="C1339" s="14"/>
      <c r="D1339" s="7"/>
      <c r="E1339" s="6"/>
      <c r="F1339" s="6"/>
      <c r="G1339" s="7"/>
      <c r="H1339" s="6"/>
      <c r="I1339" s="14"/>
      <c r="K1339" s="6"/>
    </row>
    <row r="1340" spans="2:11" x14ac:dyDescent="0.25">
      <c r="B1340" s="7"/>
      <c r="C1340" s="14"/>
      <c r="D1340" s="7"/>
      <c r="E1340" s="6"/>
      <c r="F1340" s="6"/>
      <c r="G1340" s="7"/>
      <c r="H1340" s="6"/>
      <c r="I1340" s="14"/>
      <c r="K1340" s="6"/>
    </row>
    <row r="1341" spans="2:11" x14ac:dyDescent="0.25">
      <c r="B1341" s="7"/>
      <c r="C1341" s="14"/>
      <c r="D1341" s="7"/>
      <c r="E1341" s="6"/>
      <c r="F1341" s="6"/>
      <c r="G1341" s="7"/>
      <c r="H1341" s="6"/>
      <c r="I1341" s="14"/>
      <c r="K1341" s="6"/>
    </row>
    <row r="1342" spans="2:11" x14ac:dyDescent="0.25">
      <c r="B1342" s="7"/>
      <c r="C1342" s="14"/>
      <c r="D1342" s="7"/>
      <c r="E1342" s="6"/>
      <c r="F1342" s="6"/>
      <c r="G1342" s="7"/>
      <c r="H1342" s="6"/>
      <c r="I1342" s="14"/>
      <c r="K1342" s="6"/>
    </row>
    <row r="1343" spans="2:11" x14ac:dyDescent="0.25">
      <c r="B1343" s="7"/>
      <c r="C1343" s="14"/>
      <c r="D1343" s="7"/>
      <c r="E1343" s="6"/>
      <c r="F1343" s="6"/>
      <c r="G1343" s="7"/>
      <c r="H1343" s="6"/>
      <c r="I1343" s="14"/>
      <c r="K1343" s="6"/>
    </row>
    <row r="1344" spans="2:11" x14ac:dyDescent="0.25">
      <c r="B1344" s="7"/>
      <c r="C1344" s="14"/>
      <c r="D1344" s="7"/>
      <c r="E1344" s="6"/>
      <c r="F1344" s="6"/>
      <c r="G1344" s="7"/>
      <c r="H1344" s="6"/>
      <c r="I1344" s="14"/>
      <c r="K1344" s="6"/>
    </row>
    <row r="1345" spans="2:11" x14ac:dyDescent="0.25">
      <c r="B1345" s="7"/>
      <c r="C1345" s="14"/>
      <c r="D1345" s="7"/>
      <c r="E1345" s="6"/>
      <c r="F1345" s="6"/>
      <c r="G1345" s="7"/>
      <c r="H1345" s="6"/>
      <c r="I1345" s="14"/>
      <c r="K1345" s="6"/>
    </row>
    <row r="1346" spans="2:11" x14ac:dyDescent="0.25">
      <c r="B1346" s="7"/>
      <c r="C1346" s="14"/>
      <c r="D1346" s="7"/>
      <c r="E1346" s="6"/>
      <c r="F1346" s="6"/>
      <c r="G1346" s="7"/>
      <c r="H1346" s="6"/>
      <c r="I1346" s="14"/>
      <c r="K1346" s="6"/>
    </row>
    <row r="1347" spans="2:11" x14ac:dyDescent="0.25">
      <c r="B1347" s="7"/>
      <c r="C1347" s="14"/>
      <c r="D1347" s="7"/>
      <c r="E1347" s="6"/>
      <c r="F1347" s="6"/>
      <c r="G1347" s="7"/>
      <c r="H1347" s="6"/>
      <c r="I1347" s="14"/>
      <c r="K1347" s="6"/>
    </row>
    <row r="1348" spans="2:11" x14ac:dyDescent="0.25">
      <c r="B1348" s="7"/>
      <c r="C1348" s="14"/>
      <c r="D1348" s="7"/>
      <c r="E1348" s="6"/>
      <c r="F1348" s="6"/>
      <c r="G1348" s="7"/>
      <c r="H1348" s="6"/>
      <c r="I1348" s="14"/>
      <c r="K1348" s="6"/>
    </row>
    <row r="1349" spans="2:11" x14ac:dyDescent="0.25">
      <c r="B1349" s="7"/>
      <c r="C1349" s="14"/>
      <c r="D1349" s="7"/>
      <c r="E1349" s="6"/>
      <c r="F1349" s="6"/>
      <c r="G1349" s="7"/>
      <c r="H1349" s="6"/>
      <c r="I1349" s="14"/>
      <c r="K1349" s="6"/>
    </row>
    <row r="1350" spans="2:11" x14ac:dyDescent="0.25">
      <c r="B1350" s="7"/>
      <c r="C1350" s="14"/>
      <c r="D1350" s="7"/>
      <c r="E1350" s="6"/>
      <c r="F1350" s="6"/>
      <c r="G1350" s="7"/>
      <c r="H1350" s="6"/>
      <c r="I1350" s="14"/>
      <c r="K1350" s="6"/>
    </row>
    <row r="1351" spans="2:11" x14ac:dyDescent="0.25">
      <c r="B1351" s="7"/>
      <c r="C1351" s="14"/>
      <c r="D1351" s="7"/>
      <c r="E1351" s="6"/>
      <c r="F1351" s="6"/>
      <c r="G1351" s="7"/>
      <c r="H1351" s="6"/>
      <c r="I1351" s="14"/>
      <c r="K1351" s="6"/>
    </row>
    <row r="1352" spans="2:11" x14ac:dyDescent="0.25">
      <c r="B1352" s="7"/>
      <c r="C1352" s="14"/>
      <c r="D1352" s="7"/>
      <c r="E1352" s="6"/>
      <c r="F1352" s="6"/>
      <c r="G1352" s="7"/>
      <c r="H1352" s="6"/>
      <c r="I1352" s="14"/>
      <c r="K1352" s="6"/>
    </row>
    <row r="1353" spans="2:11" x14ac:dyDescent="0.25">
      <c r="B1353" s="7"/>
      <c r="C1353" s="14"/>
      <c r="D1353" s="7"/>
      <c r="E1353" s="6"/>
      <c r="F1353" s="6"/>
      <c r="G1353" s="7"/>
      <c r="H1353" s="6"/>
      <c r="I1353" s="14"/>
      <c r="K1353" s="6"/>
    </row>
    <row r="1354" spans="2:11" x14ac:dyDescent="0.25">
      <c r="B1354" s="7"/>
      <c r="C1354" s="14"/>
      <c r="D1354" s="7"/>
      <c r="E1354" s="6"/>
      <c r="F1354" s="6"/>
      <c r="G1354" s="7"/>
      <c r="H1354" s="6"/>
      <c r="I1354" s="14"/>
      <c r="K1354" s="6"/>
    </row>
    <row r="1355" spans="2:11" x14ac:dyDescent="0.25">
      <c r="B1355" s="7"/>
      <c r="C1355" s="14"/>
      <c r="D1355" s="7"/>
      <c r="E1355" s="6"/>
      <c r="F1355" s="6"/>
      <c r="G1355" s="7"/>
      <c r="H1355" s="6"/>
      <c r="I1355" s="14"/>
      <c r="K1355" s="6"/>
    </row>
    <row r="1356" spans="2:11" x14ac:dyDescent="0.25">
      <c r="B1356" s="7"/>
      <c r="C1356" s="14"/>
      <c r="D1356" s="7"/>
      <c r="E1356" s="6"/>
      <c r="F1356" s="6"/>
      <c r="G1356" s="7"/>
      <c r="H1356" s="6"/>
      <c r="I1356" s="14"/>
      <c r="K1356" s="6"/>
    </row>
    <row r="1357" spans="2:11" x14ac:dyDescent="0.25">
      <c r="B1357" s="7"/>
      <c r="C1357" s="14"/>
      <c r="D1357" s="7"/>
      <c r="E1357" s="6"/>
      <c r="F1357" s="6"/>
      <c r="G1357" s="7"/>
      <c r="H1357" s="6"/>
      <c r="I1357" s="14"/>
      <c r="K1357" s="6"/>
    </row>
    <row r="1358" spans="2:11" x14ac:dyDescent="0.25">
      <c r="B1358" s="7"/>
      <c r="C1358" s="14"/>
      <c r="D1358" s="7"/>
      <c r="E1358" s="6"/>
      <c r="F1358" s="6"/>
      <c r="G1358" s="7"/>
      <c r="H1358" s="6"/>
      <c r="I1358" s="14"/>
      <c r="K1358" s="6"/>
    </row>
    <row r="1359" spans="2:11" x14ac:dyDescent="0.25">
      <c r="B1359" s="7"/>
      <c r="C1359" s="14"/>
      <c r="D1359" s="7"/>
      <c r="E1359" s="6"/>
      <c r="F1359" s="6"/>
      <c r="G1359" s="7"/>
      <c r="H1359" s="6"/>
      <c r="I1359" s="14"/>
      <c r="K1359" s="6"/>
    </row>
    <row r="1360" spans="2:11" x14ac:dyDescent="0.25">
      <c r="B1360" s="7"/>
      <c r="C1360" s="14"/>
      <c r="D1360" s="7"/>
      <c r="E1360" s="6"/>
      <c r="F1360" s="6"/>
      <c r="G1360" s="7"/>
      <c r="H1360" s="6"/>
      <c r="I1360" s="14"/>
      <c r="K1360" s="6"/>
    </row>
    <row r="1361" spans="2:11" x14ac:dyDescent="0.25">
      <c r="B1361" s="7"/>
      <c r="C1361" s="14"/>
      <c r="D1361" s="7"/>
      <c r="E1361" s="6"/>
      <c r="F1361" s="6"/>
      <c r="G1361" s="7"/>
      <c r="H1361" s="6"/>
      <c r="I1361" s="14"/>
      <c r="K1361" s="6"/>
    </row>
    <row r="1362" spans="2:11" x14ac:dyDescent="0.25">
      <c r="B1362" s="7"/>
      <c r="C1362" s="14"/>
      <c r="D1362" s="7"/>
      <c r="E1362" s="6"/>
      <c r="F1362" s="6"/>
      <c r="G1362" s="7"/>
      <c r="H1362" s="6"/>
      <c r="I1362" s="14"/>
      <c r="K1362" s="6"/>
    </row>
    <row r="1363" spans="2:11" x14ac:dyDescent="0.25">
      <c r="B1363" s="7"/>
      <c r="C1363" s="14"/>
      <c r="D1363" s="7"/>
      <c r="E1363" s="6"/>
      <c r="F1363" s="6"/>
      <c r="G1363" s="7"/>
      <c r="H1363" s="6"/>
      <c r="I1363" s="14"/>
      <c r="K1363" s="6"/>
    </row>
    <row r="1364" spans="2:11" x14ac:dyDescent="0.25">
      <c r="B1364" s="7"/>
      <c r="C1364" s="14"/>
      <c r="D1364" s="7"/>
      <c r="E1364" s="6"/>
      <c r="F1364" s="6"/>
      <c r="G1364" s="7"/>
      <c r="H1364" s="6"/>
      <c r="I1364" s="14"/>
      <c r="K1364" s="6"/>
    </row>
    <row r="1365" spans="2:11" x14ac:dyDescent="0.25">
      <c r="B1365" s="7"/>
      <c r="C1365" s="14"/>
      <c r="D1365" s="7"/>
      <c r="E1365" s="6"/>
      <c r="F1365" s="6"/>
      <c r="G1365" s="7"/>
      <c r="H1365" s="6"/>
      <c r="I1365" s="14"/>
      <c r="K1365" s="6"/>
    </row>
    <row r="1366" spans="2:11" x14ac:dyDescent="0.25">
      <c r="B1366" s="7"/>
      <c r="C1366" s="14"/>
      <c r="D1366" s="7"/>
      <c r="E1366" s="6"/>
      <c r="F1366" s="6"/>
      <c r="G1366" s="7"/>
      <c r="H1366" s="6"/>
      <c r="I1366" s="14"/>
      <c r="K1366" s="6"/>
    </row>
    <row r="1367" spans="2:11" x14ac:dyDescent="0.25">
      <c r="B1367" s="7"/>
      <c r="C1367" s="14"/>
      <c r="D1367" s="7"/>
      <c r="E1367" s="6"/>
      <c r="F1367" s="6"/>
      <c r="G1367" s="7"/>
      <c r="H1367" s="6"/>
      <c r="I1367" s="14"/>
      <c r="K1367" s="6"/>
    </row>
    <row r="1368" spans="2:11" x14ac:dyDescent="0.25">
      <c r="B1368" s="7"/>
      <c r="C1368" s="14"/>
      <c r="D1368" s="7"/>
      <c r="E1368" s="6"/>
      <c r="F1368" s="6"/>
      <c r="G1368" s="7"/>
      <c r="H1368" s="6"/>
      <c r="I1368" s="14"/>
      <c r="K1368" s="6"/>
    </row>
    <row r="1369" spans="2:11" x14ac:dyDescent="0.25">
      <c r="B1369" s="7"/>
      <c r="C1369" s="14"/>
      <c r="D1369" s="7"/>
      <c r="E1369" s="6"/>
      <c r="F1369" s="6"/>
      <c r="G1369" s="7"/>
      <c r="H1369" s="6"/>
      <c r="I1369" s="14"/>
      <c r="K1369" s="6"/>
    </row>
    <row r="1370" spans="2:11" x14ac:dyDescent="0.25">
      <c r="B1370" s="7"/>
      <c r="C1370" s="14"/>
      <c r="D1370" s="7"/>
      <c r="E1370" s="6"/>
      <c r="F1370" s="6"/>
      <c r="G1370" s="7"/>
      <c r="H1370" s="6"/>
      <c r="I1370" s="14"/>
      <c r="K1370" s="6"/>
    </row>
    <row r="1371" spans="2:11" x14ac:dyDescent="0.25">
      <c r="B1371" s="7"/>
      <c r="C1371" s="14"/>
      <c r="D1371" s="7"/>
      <c r="E1371" s="6"/>
      <c r="F1371" s="6"/>
      <c r="G1371" s="7"/>
      <c r="H1371" s="6"/>
      <c r="I1371" s="14"/>
      <c r="K1371" s="6"/>
    </row>
    <row r="1372" spans="2:11" x14ac:dyDescent="0.25">
      <c r="B1372" s="7"/>
      <c r="C1372" s="14"/>
      <c r="D1372" s="7"/>
      <c r="E1372" s="6"/>
      <c r="F1372" s="6"/>
      <c r="G1372" s="7"/>
      <c r="H1372" s="6"/>
      <c r="I1372" s="14"/>
      <c r="K1372" s="6"/>
    </row>
    <row r="1373" spans="2:11" x14ac:dyDescent="0.25">
      <c r="B1373" s="7"/>
      <c r="C1373" s="14"/>
      <c r="D1373" s="7"/>
      <c r="E1373" s="6"/>
      <c r="F1373" s="6"/>
      <c r="G1373" s="7"/>
      <c r="H1373" s="6"/>
      <c r="I1373" s="14"/>
      <c r="K1373" s="6"/>
    </row>
    <row r="1374" spans="2:11" x14ac:dyDescent="0.25">
      <c r="B1374" s="7"/>
      <c r="C1374" s="14"/>
      <c r="D1374" s="7"/>
      <c r="E1374" s="6"/>
      <c r="F1374" s="6"/>
      <c r="G1374" s="7"/>
      <c r="H1374" s="6"/>
      <c r="I1374" s="14"/>
      <c r="K1374" s="6"/>
    </row>
    <row r="1375" spans="2:11" x14ac:dyDescent="0.25">
      <c r="B1375" s="7"/>
      <c r="C1375" s="14"/>
      <c r="D1375" s="7"/>
      <c r="E1375" s="6"/>
      <c r="F1375" s="6"/>
      <c r="G1375" s="7"/>
      <c r="H1375" s="6"/>
      <c r="I1375" s="14"/>
      <c r="K1375" s="6"/>
    </row>
    <row r="1376" spans="2:11" x14ac:dyDescent="0.25">
      <c r="B1376" s="7"/>
      <c r="C1376" s="14"/>
      <c r="D1376" s="7"/>
      <c r="E1376" s="6"/>
      <c r="F1376" s="6"/>
      <c r="G1376" s="7"/>
      <c r="H1376" s="6"/>
      <c r="I1376" s="14"/>
      <c r="K1376" s="6"/>
    </row>
    <row r="1377" spans="2:11" x14ac:dyDescent="0.25">
      <c r="B1377" s="7"/>
      <c r="C1377" s="14"/>
      <c r="D1377" s="7"/>
      <c r="E1377" s="6"/>
      <c r="F1377" s="6"/>
      <c r="G1377" s="7"/>
      <c r="H1377" s="6"/>
      <c r="I1377" s="14"/>
      <c r="K1377" s="6"/>
    </row>
    <row r="1378" spans="2:11" x14ac:dyDescent="0.25">
      <c r="B1378" s="7"/>
      <c r="C1378" s="14"/>
      <c r="D1378" s="7"/>
      <c r="E1378" s="6"/>
      <c r="F1378" s="6"/>
      <c r="G1378" s="7"/>
      <c r="H1378" s="6"/>
      <c r="I1378" s="14"/>
      <c r="K1378" s="6"/>
    </row>
    <row r="1379" spans="2:11" x14ac:dyDescent="0.25">
      <c r="B1379" s="7"/>
      <c r="C1379" s="14"/>
      <c r="D1379" s="7"/>
      <c r="E1379" s="6"/>
      <c r="F1379" s="6"/>
      <c r="G1379" s="7"/>
      <c r="H1379" s="6"/>
      <c r="I1379" s="14"/>
      <c r="K1379" s="6"/>
    </row>
    <row r="1380" spans="2:11" x14ac:dyDescent="0.25">
      <c r="B1380" s="7"/>
      <c r="C1380" s="14"/>
      <c r="D1380" s="7"/>
      <c r="E1380" s="6"/>
      <c r="F1380" s="6"/>
      <c r="G1380" s="7"/>
      <c r="H1380" s="6"/>
      <c r="I1380" s="14"/>
      <c r="K1380" s="6"/>
    </row>
    <row r="1381" spans="2:11" x14ac:dyDescent="0.25">
      <c r="B1381" s="7"/>
      <c r="C1381" s="14"/>
      <c r="D1381" s="7"/>
      <c r="E1381" s="6"/>
      <c r="F1381" s="6"/>
      <c r="G1381" s="7"/>
      <c r="H1381" s="6"/>
      <c r="I1381" s="14"/>
      <c r="K1381" s="6"/>
    </row>
    <row r="1382" spans="2:11" x14ac:dyDescent="0.25">
      <c r="B1382" s="7"/>
      <c r="C1382" s="14"/>
      <c r="D1382" s="7"/>
      <c r="E1382" s="6"/>
      <c r="F1382" s="6"/>
      <c r="G1382" s="7"/>
      <c r="H1382" s="6"/>
      <c r="I1382" s="14"/>
      <c r="K1382" s="6"/>
    </row>
    <row r="1383" spans="2:11" x14ac:dyDescent="0.25">
      <c r="B1383" s="7"/>
      <c r="C1383" s="14"/>
      <c r="D1383" s="7"/>
      <c r="E1383" s="6"/>
      <c r="F1383" s="6"/>
      <c r="G1383" s="7"/>
      <c r="H1383" s="6"/>
      <c r="I1383" s="14"/>
      <c r="K1383" s="6"/>
    </row>
    <row r="1384" spans="2:11" x14ac:dyDescent="0.25">
      <c r="B1384" s="7"/>
      <c r="C1384" s="14"/>
      <c r="D1384" s="7"/>
      <c r="E1384" s="6"/>
      <c r="F1384" s="6"/>
      <c r="G1384" s="7"/>
      <c r="H1384" s="6"/>
      <c r="I1384" s="14"/>
      <c r="K1384" s="6"/>
    </row>
    <row r="1385" spans="2:11" x14ac:dyDescent="0.25">
      <c r="B1385" s="7"/>
      <c r="C1385" s="14"/>
      <c r="D1385" s="7"/>
      <c r="E1385" s="6"/>
      <c r="F1385" s="6"/>
      <c r="G1385" s="7"/>
      <c r="H1385" s="6"/>
      <c r="I1385" s="14"/>
      <c r="K1385" s="6"/>
    </row>
    <row r="1386" spans="2:11" x14ac:dyDescent="0.25">
      <c r="B1386" s="7"/>
      <c r="C1386" s="14"/>
      <c r="D1386" s="7"/>
      <c r="E1386" s="6"/>
      <c r="F1386" s="6"/>
      <c r="G1386" s="7"/>
      <c r="H1386" s="6"/>
      <c r="I1386" s="14"/>
      <c r="K1386" s="6"/>
    </row>
    <row r="1387" spans="2:11" x14ac:dyDescent="0.25">
      <c r="B1387" s="7"/>
      <c r="C1387" s="14"/>
      <c r="D1387" s="7"/>
      <c r="E1387" s="6"/>
      <c r="F1387" s="6"/>
      <c r="G1387" s="7"/>
      <c r="H1387" s="6"/>
      <c r="I1387" s="14"/>
      <c r="K1387" s="6"/>
    </row>
    <row r="1388" spans="2:11" x14ac:dyDescent="0.25">
      <c r="B1388" s="7"/>
      <c r="C1388" s="14"/>
      <c r="D1388" s="7"/>
      <c r="E1388" s="6"/>
      <c r="F1388" s="6"/>
      <c r="G1388" s="7"/>
      <c r="H1388" s="6"/>
      <c r="I1388" s="14"/>
      <c r="K1388" s="6"/>
    </row>
    <row r="1389" spans="2:11" x14ac:dyDescent="0.25">
      <c r="B1389" s="7"/>
      <c r="C1389" s="14"/>
      <c r="D1389" s="7"/>
      <c r="E1389" s="6"/>
      <c r="F1389" s="6"/>
      <c r="G1389" s="7"/>
      <c r="H1389" s="6"/>
      <c r="I1389" s="14"/>
      <c r="K1389" s="6"/>
    </row>
    <row r="1390" spans="2:11" x14ac:dyDescent="0.25">
      <c r="B1390" s="7"/>
      <c r="C1390" s="14"/>
      <c r="D1390" s="7"/>
      <c r="E1390" s="6"/>
      <c r="F1390" s="6"/>
      <c r="G1390" s="7"/>
      <c r="H1390" s="6"/>
      <c r="I1390" s="14"/>
      <c r="K1390" s="6"/>
    </row>
    <row r="1391" spans="2:11" x14ac:dyDescent="0.25">
      <c r="B1391" s="7"/>
      <c r="C1391" s="14"/>
      <c r="D1391" s="7"/>
      <c r="E1391" s="6"/>
      <c r="F1391" s="6"/>
      <c r="G1391" s="7"/>
      <c r="H1391" s="6"/>
      <c r="I1391" s="14"/>
      <c r="K1391" s="6"/>
    </row>
    <row r="1392" spans="2:11" x14ac:dyDescent="0.25">
      <c r="B1392" s="7"/>
      <c r="C1392" s="14"/>
      <c r="D1392" s="7"/>
      <c r="E1392" s="6"/>
      <c r="F1392" s="6"/>
      <c r="G1392" s="7"/>
      <c r="H1392" s="6"/>
      <c r="I1392" s="14"/>
      <c r="K1392" s="6"/>
    </row>
    <row r="1393" spans="2:11" x14ac:dyDescent="0.25">
      <c r="B1393" s="7"/>
      <c r="C1393" s="14"/>
      <c r="D1393" s="7"/>
      <c r="E1393" s="6"/>
      <c r="F1393" s="6"/>
      <c r="G1393" s="7"/>
      <c r="H1393" s="6"/>
      <c r="I1393" s="14"/>
      <c r="K1393" s="6"/>
    </row>
    <row r="1394" spans="2:11" x14ac:dyDescent="0.25">
      <c r="B1394" s="7"/>
      <c r="C1394" s="14"/>
      <c r="D1394" s="7"/>
      <c r="E1394" s="6"/>
      <c r="F1394" s="6"/>
      <c r="G1394" s="7"/>
      <c r="H1394" s="6"/>
      <c r="I1394" s="14"/>
      <c r="K1394" s="6"/>
    </row>
    <row r="1395" spans="2:11" x14ac:dyDescent="0.25">
      <c r="B1395" s="7"/>
      <c r="C1395" s="14"/>
      <c r="D1395" s="7"/>
      <c r="E1395" s="6"/>
      <c r="F1395" s="6"/>
      <c r="G1395" s="7"/>
      <c r="H1395" s="6"/>
      <c r="I1395" s="14"/>
      <c r="K1395" s="6"/>
    </row>
    <row r="1396" spans="2:11" x14ac:dyDescent="0.25">
      <c r="B1396" s="7"/>
      <c r="C1396" s="14"/>
      <c r="D1396" s="7"/>
      <c r="E1396" s="6"/>
      <c r="F1396" s="6"/>
      <c r="G1396" s="7"/>
      <c r="H1396" s="6"/>
      <c r="I1396" s="14"/>
      <c r="K1396" s="6"/>
    </row>
    <row r="1397" spans="2:11" x14ac:dyDescent="0.25">
      <c r="B1397" s="7"/>
      <c r="C1397" s="14"/>
      <c r="D1397" s="7"/>
      <c r="E1397" s="6"/>
      <c r="F1397" s="6"/>
      <c r="G1397" s="7"/>
      <c r="H1397" s="6"/>
      <c r="I1397" s="14"/>
      <c r="K1397" s="6"/>
    </row>
    <row r="1398" spans="2:11" x14ac:dyDescent="0.25">
      <c r="B1398" s="7"/>
      <c r="C1398" s="14"/>
      <c r="D1398" s="7"/>
      <c r="E1398" s="6"/>
      <c r="F1398" s="6"/>
      <c r="G1398" s="7"/>
      <c r="H1398" s="6"/>
      <c r="I1398" s="14"/>
      <c r="K1398" s="6"/>
    </row>
    <row r="1399" spans="2:11" x14ac:dyDescent="0.25">
      <c r="B1399" s="7"/>
      <c r="C1399" s="14"/>
      <c r="D1399" s="7"/>
      <c r="E1399" s="6"/>
      <c r="F1399" s="6"/>
      <c r="G1399" s="7"/>
      <c r="H1399" s="6"/>
      <c r="I1399" s="14"/>
      <c r="K1399" s="6"/>
    </row>
    <row r="1400" spans="2:11" x14ac:dyDescent="0.25">
      <c r="B1400" s="7"/>
      <c r="C1400" s="14"/>
      <c r="D1400" s="7"/>
      <c r="E1400" s="6"/>
      <c r="F1400" s="6"/>
      <c r="G1400" s="7"/>
      <c r="H1400" s="6"/>
      <c r="I1400" s="14"/>
      <c r="K1400" s="6"/>
    </row>
    <row r="1401" spans="2:11" x14ac:dyDescent="0.25">
      <c r="B1401" s="7"/>
      <c r="C1401" s="14"/>
      <c r="D1401" s="7"/>
      <c r="E1401" s="6"/>
      <c r="F1401" s="6"/>
      <c r="G1401" s="7"/>
      <c r="H1401" s="6"/>
      <c r="I1401" s="14"/>
      <c r="K1401" s="6"/>
    </row>
    <row r="1402" spans="2:11" x14ac:dyDescent="0.25">
      <c r="B1402" s="7"/>
      <c r="C1402" s="14"/>
      <c r="D1402" s="7"/>
      <c r="E1402" s="6"/>
      <c r="F1402" s="6"/>
      <c r="G1402" s="7"/>
      <c r="H1402" s="6"/>
      <c r="I1402" s="14"/>
      <c r="K1402" s="6"/>
    </row>
    <row r="1403" spans="2:11" x14ac:dyDescent="0.25">
      <c r="B1403" s="7"/>
      <c r="C1403" s="14"/>
      <c r="D1403" s="7"/>
      <c r="E1403" s="6"/>
      <c r="F1403" s="6"/>
      <c r="G1403" s="7"/>
      <c r="H1403" s="6"/>
      <c r="I1403" s="14"/>
      <c r="K1403" s="6"/>
    </row>
    <row r="1404" spans="2:11" x14ac:dyDescent="0.25">
      <c r="B1404" s="7"/>
      <c r="C1404" s="14"/>
      <c r="D1404" s="7"/>
      <c r="E1404" s="6"/>
      <c r="F1404" s="6"/>
      <c r="G1404" s="7"/>
      <c r="H1404" s="6"/>
      <c r="I1404" s="14"/>
      <c r="K1404" s="6"/>
    </row>
    <row r="1405" spans="2:11" x14ac:dyDescent="0.25">
      <c r="B1405" s="7"/>
      <c r="C1405" s="14"/>
      <c r="D1405" s="7"/>
      <c r="E1405" s="6"/>
      <c r="F1405" s="6"/>
      <c r="G1405" s="7"/>
      <c r="H1405" s="6"/>
      <c r="I1405" s="14"/>
      <c r="K1405" s="6"/>
    </row>
    <row r="1406" spans="2:11" x14ac:dyDescent="0.25">
      <c r="B1406" s="7"/>
      <c r="C1406" s="14"/>
      <c r="D1406" s="7"/>
      <c r="E1406" s="6"/>
      <c r="F1406" s="6"/>
      <c r="G1406" s="7"/>
      <c r="H1406" s="6"/>
      <c r="I1406" s="14"/>
      <c r="K1406" s="6"/>
    </row>
    <row r="1407" spans="2:11" x14ac:dyDescent="0.25">
      <c r="B1407" s="7"/>
      <c r="C1407" s="14"/>
      <c r="D1407" s="7"/>
      <c r="E1407" s="6"/>
      <c r="F1407" s="6"/>
      <c r="G1407" s="7"/>
      <c r="H1407" s="6"/>
      <c r="I1407" s="14"/>
      <c r="K1407" s="6"/>
    </row>
    <row r="1408" spans="2:11" x14ac:dyDescent="0.25">
      <c r="B1408" s="7"/>
      <c r="C1408" s="14"/>
      <c r="D1408" s="7"/>
      <c r="E1408" s="6"/>
      <c r="F1408" s="6"/>
      <c r="G1408" s="7"/>
      <c r="H1408" s="6"/>
      <c r="I1408" s="14"/>
      <c r="K1408" s="6"/>
    </row>
    <row r="1409" spans="2:11" x14ac:dyDescent="0.25">
      <c r="B1409" s="7"/>
      <c r="C1409" s="14"/>
      <c r="D1409" s="7"/>
      <c r="E1409" s="6"/>
      <c r="F1409" s="6"/>
      <c r="G1409" s="7"/>
      <c r="H1409" s="6"/>
      <c r="I1409" s="14"/>
      <c r="K1409" s="6"/>
    </row>
    <row r="1410" spans="2:11" x14ac:dyDescent="0.25">
      <c r="B1410" s="7"/>
      <c r="C1410" s="14"/>
      <c r="D1410" s="7"/>
      <c r="E1410" s="6"/>
      <c r="F1410" s="6"/>
      <c r="G1410" s="7"/>
      <c r="H1410" s="6"/>
      <c r="I1410" s="14"/>
      <c r="K1410" s="6"/>
    </row>
    <row r="1411" spans="2:11" x14ac:dyDescent="0.25">
      <c r="B1411" s="7"/>
      <c r="C1411" s="14"/>
      <c r="D1411" s="7"/>
      <c r="E1411" s="6"/>
      <c r="F1411" s="6"/>
      <c r="G1411" s="7"/>
      <c r="H1411" s="6"/>
      <c r="I1411" s="14"/>
      <c r="K1411" s="6"/>
    </row>
    <row r="1412" spans="2:11" x14ac:dyDescent="0.25">
      <c r="B1412" s="7"/>
      <c r="C1412" s="14"/>
      <c r="D1412" s="7"/>
      <c r="E1412" s="6"/>
      <c r="F1412" s="6"/>
      <c r="G1412" s="7"/>
      <c r="H1412" s="6"/>
      <c r="I1412" s="14"/>
      <c r="K1412" s="6"/>
    </row>
    <row r="1413" spans="2:11" x14ac:dyDescent="0.25">
      <c r="B1413" s="7"/>
      <c r="C1413" s="14"/>
      <c r="D1413" s="7"/>
      <c r="E1413" s="6"/>
      <c r="F1413" s="6"/>
      <c r="G1413" s="7"/>
      <c r="H1413" s="6"/>
      <c r="I1413" s="14"/>
      <c r="K1413" s="6"/>
    </row>
    <row r="1414" spans="2:11" x14ac:dyDescent="0.25">
      <c r="B1414" s="7"/>
      <c r="C1414" s="14"/>
      <c r="D1414" s="7"/>
      <c r="E1414" s="6"/>
      <c r="F1414" s="6"/>
      <c r="G1414" s="7"/>
      <c r="H1414" s="6"/>
      <c r="I1414" s="14"/>
      <c r="K1414" s="6"/>
    </row>
    <row r="1415" spans="2:11" x14ac:dyDescent="0.25">
      <c r="B1415" s="7"/>
      <c r="C1415" s="14"/>
      <c r="D1415" s="7"/>
      <c r="E1415" s="6"/>
      <c r="F1415" s="6"/>
      <c r="G1415" s="7"/>
      <c r="H1415" s="6"/>
      <c r="I1415" s="14"/>
      <c r="K1415" s="6"/>
    </row>
    <row r="1416" spans="2:11" x14ac:dyDescent="0.25">
      <c r="B1416" s="7"/>
      <c r="C1416" s="14"/>
      <c r="D1416" s="7"/>
      <c r="E1416" s="6"/>
      <c r="F1416" s="6"/>
      <c r="G1416" s="7"/>
      <c r="H1416" s="6"/>
      <c r="I1416" s="14"/>
      <c r="K1416" s="6"/>
    </row>
    <row r="1417" spans="2:11" x14ac:dyDescent="0.25">
      <c r="B1417" s="7"/>
      <c r="C1417" s="14"/>
      <c r="D1417" s="7"/>
      <c r="E1417" s="6"/>
      <c r="F1417" s="6"/>
      <c r="G1417" s="7"/>
      <c r="H1417" s="6"/>
      <c r="I1417" s="14"/>
      <c r="K1417" s="6"/>
    </row>
    <row r="1418" spans="2:11" x14ac:dyDescent="0.25">
      <c r="B1418" s="7"/>
      <c r="C1418" s="14"/>
      <c r="D1418" s="7"/>
      <c r="E1418" s="6"/>
      <c r="F1418" s="6"/>
      <c r="G1418" s="7"/>
      <c r="H1418" s="6"/>
      <c r="I1418" s="14"/>
      <c r="K1418" s="6"/>
    </row>
    <row r="1419" spans="2:11" x14ac:dyDescent="0.25">
      <c r="B1419" s="7"/>
      <c r="C1419" s="14"/>
      <c r="D1419" s="7"/>
      <c r="E1419" s="6"/>
      <c r="F1419" s="6"/>
      <c r="G1419" s="7"/>
      <c r="H1419" s="6"/>
      <c r="I1419" s="14"/>
      <c r="K1419" s="6"/>
    </row>
    <row r="1420" spans="2:11" x14ac:dyDescent="0.25">
      <c r="B1420" s="7"/>
      <c r="C1420" s="14"/>
      <c r="D1420" s="7"/>
      <c r="E1420" s="6"/>
      <c r="F1420" s="6"/>
      <c r="G1420" s="7"/>
      <c r="H1420" s="6"/>
      <c r="I1420" s="14"/>
      <c r="K1420" s="6"/>
    </row>
    <row r="1421" spans="2:11" x14ac:dyDescent="0.25">
      <c r="B1421" s="7"/>
      <c r="C1421" s="14"/>
      <c r="D1421" s="7"/>
      <c r="E1421" s="6"/>
      <c r="F1421" s="6"/>
      <c r="G1421" s="7"/>
      <c r="H1421" s="6"/>
      <c r="I1421" s="14"/>
      <c r="K1421" s="6"/>
    </row>
    <row r="1422" spans="2:11" x14ac:dyDescent="0.25">
      <c r="B1422" s="7"/>
      <c r="C1422" s="14"/>
      <c r="D1422" s="7"/>
      <c r="E1422" s="6"/>
      <c r="F1422" s="6"/>
      <c r="G1422" s="7"/>
      <c r="H1422" s="6"/>
      <c r="I1422" s="14"/>
      <c r="K1422" s="6"/>
    </row>
    <row r="1423" spans="2:11" x14ac:dyDescent="0.25">
      <c r="B1423" s="7"/>
      <c r="C1423" s="14"/>
      <c r="D1423" s="7"/>
      <c r="E1423" s="6"/>
      <c r="F1423" s="6"/>
      <c r="G1423" s="7"/>
      <c r="H1423" s="6"/>
      <c r="I1423" s="14"/>
      <c r="K1423" s="6"/>
    </row>
    <row r="1424" spans="2:11" x14ac:dyDescent="0.25">
      <c r="B1424" s="7"/>
      <c r="C1424" s="14"/>
      <c r="D1424" s="7"/>
      <c r="E1424" s="6"/>
      <c r="F1424" s="6"/>
      <c r="G1424" s="7"/>
      <c r="H1424" s="6"/>
      <c r="I1424" s="14"/>
      <c r="K1424" s="6"/>
    </row>
    <row r="1425" spans="2:11" x14ac:dyDescent="0.25">
      <c r="B1425" s="7"/>
      <c r="C1425" s="14"/>
      <c r="D1425" s="7"/>
      <c r="E1425" s="6"/>
      <c r="F1425" s="6"/>
      <c r="G1425" s="7"/>
      <c r="H1425" s="6"/>
      <c r="I1425" s="14"/>
      <c r="K1425" s="6"/>
    </row>
    <row r="1426" spans="2:11" x14ac:dyDescent="0.25">
      <c r="B1426" s="7"/>
      <c r="C1426" s="14"/>
      <c r="D1426" s="7"/>
      <c r="E1426" s="6"/>
      <c r="F1426" s="6"/>
      <c r="G1426" s="7"/>
      <c r="H1426" s="6"/>
      <c r="I1426" s="14"/>
      <c r="K1426" s="6"/>
    </row>
    <row r="1427" spans="2:11" x14ac:dyDescent="0.25">
      <c r="B1427" s="7"/>
      <c r="C1427" s="14"/>
      <c r="D1427" s="7"/>
      <c r="E1427" s="6"/>
      <c r="F1427" s="6"/>
      <c r="G1427" s="7"/>
      <c r="H1427" s="6"/>
      <c r="I1427" s="14"/>
      <c r="K1427" s="6"/>
    </row>
    <row r="1428" spans="2:11" x14ac:dyDescent="0.25">
      <c r="B1428" s="7"/>
      <c r="C1428" s="14"/>
      <c r="D1428" s="7"/>
      <c r="E1428" s="6"/>
      <c r="F1428" s="6"/>
      <c r="G1428" s="7"/>
      <c r="H1428" s="6"/>
      <c r="I1428" s="14"/>
      <c r="K1428" s="6"/>
    </row>
    <row r="1429" spans="2:11" x14ac:dyDescent="0.25">
      <c r="B1429" s="7"/>
      <c r="C1429" s="14"/>
      <c r="D1429" s="7"/>
      <c r="E1429" s="6"/>
      <c r="F1429" s="6"/>
      <c r="G1429" s="7"/>
      <c r="H1429" s="6"/>
      <c r="I1429" s="14"/>
      <c r="K1429" s="6"/>
    </row>
    <row r="1430" spans="2:11" x14ac:dyDescent="0.25">
      <c r="B1430" s="7"/>
      <c r="C1430" s="14"/>
      <c r="D1430" s="7"/>
      <c r="E1430" s="6"/>
      <c r="F1430" s="6"/>
      <c r="G1430" s="7"/>
      <c r="H1430" s="6"/>
      <c r="I1430" s="14"/>
      <c r="K1430" s="6"/>
    </row>
    <row r="1431" spans="2:11" x14ac:dyDescent="0.25">
      <c r="B1431" s="7"/>
      <c r="C1431" s="14"/>
      <c r="D1431" s="7"/>
      <c r="E1431" s="6"/>
      <c r="F1431" s="6"/>
      <c r="G1431" s="7"/>
      <c r="H1431" s="6"/>
      <c r="I1431" s="14"/>
      <c r="K1431" s="6"/>
    </row>
    <row r="1432" spans="2:11" x14ac:dyDescent="0.25">
      <c r="B1432" s="7"/>
      <c r="C1432" s="14"/>
      <c r="D1432" s="7"/>
      <c r="E1432" s="6"/>
      <c r="F1432" s="6"/>
      <c r="G1432" s="7"/>
      <c r="H1432" s="6"/>
      <c r="I1432" s="14"/>
      <c r="K1432" s="6"/>
    </row>
    <row r="1433" spans="2:11" x14ac:dyDescent="0.25">
      <c r="B1433" s="7"/>
      <c r="C1433" s="14"/>
      <c r="D1433" s="7"/>
      <c r="E1433" s="6"/>
      <c r="F1433" s="6"/>
      <c r="G1433" s="7"/>
      <c r="H1433" s="6"/>
      <c r="I1433" s="14"/>
      <c r="K1433" s="6"/>
    </row>
    <row r="1434" spans="2:11" x14ac:dyDescent="0.25">
      <c r="B1434" s="7"/>
      <c r="C1434" s="14"/>
      <c r="D1434" s="7"/>
      <c r="E1434" s="6"/>
      <c r="F1434" s="6"/>
      <c r="G1434" s="7"/>
      <c r="H1434" s="6"/>
      <c r="I1434" s="14"/>
      <c r="K1434" s="6"/>
    </row>
    <row r="1435" spans="2:11" x14ac:dyDescent="0.25">
      <c r="B1435" s="7"/>
      <c r="C1435" s="14"/>
      <c r="D1435" s="7"/>
      <c r="E1435" s="6"/>
      <c r="F1435" s="6"/>
      <c r="G1435" s="7"/>
      <c r="H1435" s="6"/>
      <c r="I1435" s="14"/>
      <c r="K1435" s="6"/>
    </row>
    <row r="1436" spans="2:11" x14ac:dyDescent="0.25">
      <c r="B1436" s="7"/>
      <c r="C1436" s="14"/>
      <c r="D1436" s="7"/>
      <c r="E1436" s="6"/>
      <c r="F1436" s="6"/>
      <c r="G1436" s="7"/>
      <c r="H1436" s="6"/>
      <c r="I1436" s="14"/>
      <c r="K1436" s="6"/>
    </row>
    <row r="1437" spans="2:11" x14ac:dyDescent="0.25">
      <c r="B1437" s="7"/>
      <c r="C1437" s="14"/>
      <c r="D1437" s="7"/>
      <c r="E1437" s="6"/>
      <c r="F1437" s="6"/>
      <c r="G1437" s="7"/>
      <c r="H1437" s="6"/>
      <c r="I1437" s="14"/>
      <c r="K1437" s="6"/>
    </row>
    <row r="1438" spans="2:11" x14ac:dyDescent="0.25">
      <c r="B1438" s="7"/>
      <c r="C1438" s="14"/>
      <c r="D1438" s="7"/>
      <c r="E1438" s="6"/>
      <c r="F1438" s="6"/>
      <c r="G1438" s="7"/>
      <c r="H1438" s="6"/>
      <c r="I1438" s="14"/>
      <c r="K1438" s="6"/>
    </row>
    <row r="1439" spans="2:11" x14ac:dyDescent="0.25">
      <c r="B1439" s="7"/>
      <c r="C1439" s="14"/>
      <c r="D1439" s="7"/>
      <c r="E1439" s="6"/>
      <c r="F1439" s="6"/>
      <c r="G1439" s="7"/>
      <c r="H1439" s="6"/>
      <c r="I1439" s="14"/>
      <c r="K1439" s="6"/>
    </row>
    <row r="1440" spans="2:11" x14ac:dyDescent="0.25">
      <c r="B1440" s="7"/>
      <c r="C1440" s="14"/>
      <c r="D1440" s="7"/>
      <c r="E1440" s="6"/>
      <c r="F1440" s="6"/>
      <c r="G1440" s="7"/>
      <c r="H1440" s="6"/>
      <c r="I1440" s="14"/>
      <c r="K1440" s="6"/>
    </row>
    <row r="1441" spans="2:11" x14ac:dyDescent="0.25">
      <c r="B1441" s="7"/>
      <c r="C1441" s="14"/>
      <c r="D1441" s="7"/>
      <c r="E1441" s="6"/>
      <c r="F1441" s="6"/>
      <c r="G1441" s="7"/>
      <c r="H1441" s="6"/>
      <c r="I1441" s="14"/>
      <c r="K1441" s="6"/>
    </row>
    <row r="1442" spans="2:11" x14ac:dyDescent="0.25">
      <c r="B1442" s="7"/>
      <c r="C1442" s="14"/>
      <c r="D1442" s="7"/>
      <c r="E1442" s="6"/>
      <c r="F1442" s="6"/>
      <c r="G1442" s="7"/>
      <c r="H1442" s="6"/>
      <c r="I1442" s="14"/>
      <c r="K1442" s="6"/>
    </row>
    <row r="1443" spans="2:11" x14ac:dyDescent="0.25">
      <c r="B1443" s="7"/>
      <c r="C1443" s="14"/>
      <c r="D1443" s="7"/>
      <c r="E1443" s="6"/>
      <c r="F1443" s="6"/>
      <c r="G1443" s="7"/>
      <c r="H1443" s="6"/>
      <c r="I1443" s="14"/>
      <c r="K1443" s="6"/>
    </row>
    <row r="1444" spans="2:11" x14ac:dyDescent="0.25">
      <c r="B1444" s="7"/>
      <c r="C1444" s="14"/>
      <c r="D1444" s="7"/>
      <c r="E1444" s="6"/>
      <c r="F1444" s="6"/>
      <c r="G1444" s="7"/>
      <c r="H1444" s="6"/>
      <c r="I1444" s="14"/>
      <c r="K1444" s="6"/>
    </row>
    <row r="1445" spans="2:11" x14ac:dyDescent="0.25">
      <c r="B1445" s="7"/>
      <c r="C1445" s="14"/>
      <c r="D1445" s="7"/>
      <c r="E1445" s="6"/>
      <c r="F1445" s="6"/>
      <c r="G1445" s="7"/>
      <c r="H1445" s="6"/>
      <c r="I1445" s="14"/>
      <c r="K1445" s="6"/>
    </row>
    <row r="1446" spans="2:11" x14ac:dyDescent="0.25">
      <c r="B1446" s="7"/>
      <c r="C1446" s="14"/>
      <c r="D1446" s="7"/>
      <c r="E1446" s="6"/>
      <c r="F1446" s="6"/>
      <c r="G1446" s="7"/>
      <c r="H1446" s="6"/>
      <c r="I1446" s="14"/>
      <c r="K1446" s="6"/>
    </row>
    <row r="1447" spans="2:11" x14ac:dyDescent="0.25">
      <c r="B1447" s="7"/>
      <c r="C1447" s="14"/>
      <c r="D1447" s="7"/>
      <c r="E1447" s="6"/>
      <c r="F1447" s="6"/>
      <c r="G1447" s="7"/>
      <c r="H1447" s="6"/>
      <c r="I1447" s="14"/>
      <c r="K1447" s="6"/>
    </row>
    <row r="1448" spans="2:11" x14ac:dyDescent="0.25">
      <c r="B1448" s="7"/>
      <c r="C1448" s="14"/>
      <c r="D1448" s="7"/>
      <c r="E1448" s="6"/>
      <c r="F1448" s="6"/>
      <c r="G1448" s="7"/>
      <c r="H1448" s="6"/>
      <c r="I1448" s="14"/>
      <c r="K1448" s="6"/>
    </row>
    <row r="1449" spans="2:11" x14ac:dyDescent="0.25">
      <c r="B1449" s="7"/>
      <c r="C1449" s="14"/>
      <c r="D1449" s="7"/>
      <c r="E1449" s="6"/>
      <c r="F1449" s="6"/>
      <c r="G1449" s="7"/>
      <c r="H1449" s="6"/>
      <c r="I1449" s="14"/>
      <c r="K1449" s="6"/>
    </row>
    <row r="1450" spans="2:11" x14ac:dyDescent="0.25">
      <c r="B1450" s="7"/>
      <c r="C1450" s="14"/>
      <c r="D1450" s="7"/>
      <c r="E1450" s="6"/>
      <c r="F1450" s="6"/>
      <c r="G1450" s="7"/>
      <c r="H1450" s="6"/>
      <c r="I1450" s="14"/>
      <c r="K1450" s="6"/>
    </row>
    <row r="1451" spans="2:11" x14ac:dyDescent="0.25">
      <c r="B1451" s="7"/>
      <c r="C1451" s="14"/>
      <c r="D1451" s="7"/>
      <c r="E1451" s="6"/>
      <c r="F1451" s="6"/>
      <c r="G1451" s="7"/>
      <c r="H1451" s="6"/>
      <c r="I1451" s="14"/>
      <c r="K1451" s="6"/>
    </row>
    <row r="1452" spans="2:11" x14ac:dyDescent="0.25">
      <c r="B1452" s="7"/>
      <c r="C1452" s="14"/>
      <c r="D1452" s="7"/>
      <c r="E1452" s="6"/>
      <c r="F1452" s="6"/>
      <c r="G1452" s="7"/>
      <c r="H1452" s="6"/>
      <c r="I1452" s="14"/>
      <c r="K1452" s="6"/>
    </row>
    <row r="1453" spans="2:11" x14ac:dyDescent="0.25">
      <c r="B1453" s="7"/>
      <c r="C1453" s="14"/>
      <c r="D1453" s="7"/>
      <c r="E1453" s="6"/>
      <c r="F1453" s="6"/>
      <c r="G1453" s="7"/>
      <c r="H1453" s="6"/>
      <c r="I1453" s="14"/>
      <c r="K1453" s="6"/>
    </row>
    <row r="1454" spans="2:11" x14ac:dyDescent="0.25">
      <c r="B1454" s="7"/>
      <c r="C1454" s="14"/>
      <c r="D1454" s="7"/>
      <c r="E1454" s="6"/>
      <c r="F1454" s="6"/>
      <c r="G1454" s="7"/>
      <c r="H1454" s="6"/>
      <c r="I1454" s="14"/>
      <c r="K1454" s="6"/>
    </row>
    <row r="1455" spans="2:11" x14ac:dyDescent="0.25">
      <c r="B1455" s="7"/>
      <c r="C1455" s="14"/>
      <c r="D1455" s="7"/>
      <c r="E1455" s="6"/>
      <c r="F1455" s="6"/>
      <c r="G1455" s="7"/>
      <c r="H1455" s="6"/>
      <c r="I1455" s="14"/>
      <c r="K1455" s="6"/>
    </row>
    <row r="1456" spans="2:11" x14ac:dyDescent="0.25">
      <c r="B1456" s="7"/>
      <c r="C1456" s="14"/>
      <c r="D1456" s="7"/>
      <c r="E1456" s="6"/>
      <c r="F1456" s="6"/>
      <c r="G1456" s="7"/>
      <c r="H1456" s="6"/>
      <c r="I1456" s="14"/>
      <c r="K1456" s="6"/>
    </row>
    <row r="1457" spans="2:11" x14ac:dyDescent="0.25">
      <c r="B1457" s="7"/>
      <c r="C1457" s="14"/>
      <c r="D1457" s="7"/>
      <c r="E1457" s="6"/>
      <c r="F1457" s="6"/>
      <c r="G1457" s="7"/>
      <c r="H1457" s="6"/>
      <c r="I1457" s="14"/>
      <c r="K1457" s="6"/>
    </row>
    <row r="1458" spans="2:11" x14ac:dyDescent="0.25">
      <c r="B1458" s="7"/>
      <c r="C1458" s="14"/>
      <c r="D1458" s="7"/>
      <c r="E1458" s="6"/>
      <c r="F1458" s="6"/>
      <c r="G1458" s="7"/>
      <c r="H1458" s="6"/>
      <c r="I1458" s="14"/>
      <c r="K1458" s="6"/>
    </row>
    <row r="1459" spans="2:11" x14ac:dyDescent="0.25">
      <c r="B1459" s="7"/>
      <c r="C1459" s="14"/>
      <c r="D1459" s="7"/>
      <c r="E1459" s="6"/>
      <c r="F1459" s="6"/>
      <c r="G1459" s="7"/>
      <c r="H1459" s="6"/>
      <c r="I1459" s="14"/>
      <c r="K1459" s="6"/>
    </row>
    <row r="1460" spans="2:11" x14ac:dyDescent="0.25">
      <c r="B1460" s="7"/>
      <c r="C1460" s="14"/>
      <c r="D1460" s="7"/>
      <c r="E1460" s="6"/>
      <c r="F1460" s="6"/>
      <c r="G1460" s="7"/>
      <c r="H1460" s="6"/>
      <c r="I1460" s="14"/>
      <c r="K1460" s="6"/>
    </row>
    <row r="1461" spans="2:11" x14ac:dyDescent="0.25">
      <c r="B1461" s="7"/>
      <c r="C1461" s="14"/>
      <c r="D1461" s="7"/>
      <c r="E1461" s="6"/>
      <c r="F1461" s="6"/>
      <c r="G1461" s="7"/>
      <c r="H1461" s="6"/>
      <c r="I1461" s="14"/>
      <c r="K1461" s="6"/>
    </row>
    <row r="1462" spans="2:11" x14ac:dyDescent="0.25">
      <c r="B1462" s="7"/>
      <c r="C1462" s="14"/>
      <c r="D1462" s="7"/>
      <c r="E1462" s="6"/>
      <c r="F1462" s="6"/>
      <c r="G1462" s="7"/>
      <c r="H1462" s="6"/>
      <c r="I1462" s="14"/>
      <c r="K1462" s="6"/>
    </row>
    <row r="1463" spans="2:11" x14ac:dyDescent="0.25">
      <c r="B1463" s="7"/>
      <c r="C1463" s="14"/>
      <c r="D1463" s="7"/>
      <c r="E1463" s="6"/>
      <c r="F1463" s="6"/>
      <c r="G1463" s="7"/>
      <c r="H1463" s="6"/>
      <c r="I1463" s="14"/>
      <c r="K1463" s="6"/>
    </row>
    <row r="1464" spans="2:11" x14ac:dyDescent="0.25">
      <c r="B1464" s="7"/>
      <c r="C1464" s="14"/>
      <c r="D1464" s="7"/>
      <c r="E1464" s="6"/>
      <c r="F1464" s="6"/>
      <c r="G1464" s="7"/>
      <c r="H1464" s="6"/>
      <c r="I1464" s="14"/>
      <c r="K1464" s="6"/>
    </row>
    <row r="1465" spans="2:11" x14ac:dyDescent="0.25">
      <c r="B1465" s="7"/>
      <c r="C1465" s="14"/>
      <c r="D1465" s="7"/>
      <c r="E1465" s="6"/>
      <c r="F1465" s="6"/>
      <c r="G1465" s="7"/>
      <c r="H1465" s="6"/>
      <c r="I1465" s="14"/>
      <c r="K1465" s="6"/>
    </row>
    <row r="1466" spans="2:11" x14ac:dyDescent="0.25">
      <c r="B1466" s="7"/>
      <c r="C1466" s="14"/>
      <c r="D1466" s="7"/>
      <c r="E1466" s="6"/>
      <c r="F1466" s="6"/>
      <c r="G1466" s="7"/>
      <c r="H1466" s="6"/>
      <c r="I1466" s="14"/>
      <c r="K1466" s="6"/>
    </row>
    <row r="1467" spans="2:11" x14ac:dyDescent="0.25">
      <c r="B1467" s="7"/>
      <c r="C1467" s="14"/>
      <c r="D1467" s="7"/>
      <c r="E1467" s="6"/>
      <c r="F1467" s="6"/>
      <c r="G1467" s="7"/>
      <c r="H1467" s="6"/>
      <c r="I1467" s="14"/>
      <c r="K1467" s="6"/>
    </row>
    <row r="1468" spans="2:11" x14ac:dyDescent="0.25">
      <c r="B1468" s="7"/>
      <c r="C1468" s="14"/>
      <c r="D1468" s="7"/>
      <c r="E1468" s="6"/>
      <c r="F1468" s="6"/>
      <c r="G1468" s="7"/>
      <c r="H1468" s="6"/>
      <c r="I1468" s="14"/>
      <c r="K1468" s="6"/>
    </row>
    <row r="1469" spans="2:11" x14ac:dyDescent="0.25">
      <c r="B1469" s="7"/>
      <c r="C1469" s="14"/>
      <c r="D1469" s="7"/>
      <c r="E1469" s="6"/>
      <c r="F1469" s="6"/>
      <c r="G1469" s="7"/>
      <c r="H1469" s="6"/>
      <c r="I1469" s="14"/>
      <c r="K1469" s="6"/>
    </row>
    <row r="1470" spans="2:11" x14ac:dyDescent="0.25">
      <c r="B1470" s="7"/>
      <c r="C1470" s="14"/>
      <c r="D1470" s="7"/>
      <c r="E1470" s="6"/>
      <c r="F1470" s="6"/>
      <c r="G1470" s="7"/>
      <c r="H1470" s="6"/>
      <c r="I1470" s="14"/>
      <c r="K1470" s="6"/>
    </row>
    <row r="1471" spans="2:11" x14ac:dyDescent="0.25">
      <c r="B1471" s="7"/>
      <c r="C1471" s="14"/>
      <c r="D1471" s="7"/>
      <c r="E1471" s="6"/>
      <c r="F1471" s="6"/>
      <c r="G1471" s="7"/>
      <c r="H1471" s="6"/>
      <c r="I1471" s="14"/>
      <c r="K1471" s="6"/>
    </row>
    <row r="1472" spans="2:11" x14ac:dyDescent="0.25">
      <c r="B1472" s="7"/>
      <c r="C1472" s="14"/>
      <c r="D1472" s="7"/>
      <c r="E1472" s="6"/>
      <c r="F1472" s="6"/>
      <c r="G1472" s="7"/>
      <c r="H1472" s="6"/>
      <c r="I1472" s="14"/>
      <c r="K1472" s="6"/>
    </row>
    <row r="1473" spans="2:11" x14ac:dyDescent="0.25">
      <c r="B1473" s="7"/>
      <c r="C1473" s="14"/>
      <c r="D1473" s="7"/>
      <c r="E1473" s="6"/>
      <c r="F1473" s="6"/>
      <c r="G1473" s="7"/>
      <c r="H1473" s="6"/>
      <c r="I1473" s="14"/>
      <c r="K1473" s="6"/>
    </row>
    <row r="1474" spans="2:11" x14ac:dyDescent="0.25">
      <c r="B1474" s="7"/>
      <c r="C1474" s="14"/>
      <c r="D1474" s="7"/>
      <c r="E1474" s="6"/>
      <c r="F1474" s="6"/>
      <c r="G1474" s="7"/>
      <c r="H1474" s="6"/>
      <c r="I1474" s="14"/>
      <c r="K1474" s="6"/>
    </row>
    <row r="1475" spans="2:11" x14ac:dyDescent="0.25">
      <c r="B1475" s="7"/>
      <c r="C1475" s="14"/>
      <c r="D1475" s="7"/>
      <c r="E1475" s="6"/>
      <c r="F1475" s="6"/>
      <c r="G1475" s="7"/>
      <c r="H1475" s="6"/>
      <c r="I1475" s="14"/>
      <c r="K1475" s="6"/>
    </row>
    <row r="1476" spans="2:11" x14ac:dyDescent="0.25">
      <c r="B1476" s="7"/>
      <c r="C1476" s="14"/>
      <c r="D1476" s="7"/>
      <c r="E1476" s="6"/>
      <c r="F1476" s="6"/>
      <c r="G1476" s="7"/>
      <c r="H1476" s="6"/>
      <c r="I1476" s="14"/>
      <c r="K1476" s="6"/>
    </row>
    <row r="1477" spans="2:11" x14ac:dyDescent="0.25">
      <c r="B1477" s="7"/>
      <c r="C1477" s="14"/>
      <c r="D1477" s="7"/>
      <c r="E1477" s="6"/>
      <c r="F1477" s="6"/>
      <c r="G1477" s="7"/>
      <c r="H1477" s="6"/>
      <c r="I1477" s="14"/>
      <c r="K1477" s="6"/>
    </row>
    <row r="1478" spans="2:11" x14ac:dyDescent="0.25">
      <c r="B1478" s="7"/>
      <c r="C1478" s="14"/>
      <c r="D1478" s="7"/>
      <c r="E1478" s="6"/>
      <c r="F1478" s="6"/>
      <c r="G1478" s="7"/>
      <c r="H1478" s="6"/>
      <c r="I1478" s="14"/>
      <c r="K1478" s="6"/>
    </row>
    <row r="1479" spans="2:11" x14ac:dyDescent="0.25">
      <c r="B1479" s="7"/>
      <c r="C1479" s="14"/>
      <c r="D1479" s="7"/>
      <c r="E1479" s="6"/>
      <c r="F1479" s="6"/>
      <c r="G1479" s="7"/>
      <c r="H1479" s="6"/>
      <c r="I1479" s="14"/>
      <c r="K1479" s="6"/>
    </row>
    <row r="1480" spans="2:11" x14ac:dyDescent="0.25">
      <c r="B1480" s="7"/>
      <c r="C1480" s="14"/>
      <c r="D1480" s="7"/>
      <c r="E1480" s="6"/>
      <c r="F1480" s="6"/>
      <c r="G1480" s="7"/>
      <c r="H1480" s="6"/>
      <c r="I1480" s="14"/>
      <c r="K1480" s="6"/>
    </row>
    <row r="1481" spans="2:11" x14ac:dyDescent="0.25">
      <c r="B1481" s="7"/>
      <c r="C1481" s="14"/>
      <c r="D1481" s="7"/>
      <c r="E1481" s="6"/>
      <c r="F1481" s="6"/>
      <c r="G1481" s="7"/>
      <c r="H1481" s="6"/>
      <c r="I1481" s="14"/>
      <c r="K1481" s="6"/>
    </row>
    <row r="1482" spans="2:11" x14ac:dyDescent="0.25">
      <c r="B1482" s="7"/>
      <c r="C1482" s="14"/>
      <c r="D1482" s="7"/>
      <c r="E1482" s="6"/>
      <c r="F1482" s="6"/>
      <c r="G1482" s="7"/>
      <c r="H1482" s="6"/>
      <c r="I1482" s="14"/>
      <c r="K1482" s="6"/>
    </row>
    <row r="1483" spans="2:11" x14ac:dyDescent="0.25">
      <c r="B1483" s="7"/>
      <c r="C1483" s="14"/>
      <c r="D1483" s="7"/>
      <c r="E1483" s="6"/>
      <c r="F1483" s="6"/>
      <c r="G1483" s="7"/>
      <c r="H1483" s="6"/>
      <c r="I1483" s="14"/>
      <c r="K1483" s="6"/>
    </row>
    <row r="1484" spans="2:11" x14ac:dyDescent="0.25">
      <c r="B1484" s="7"/>
      <c r="C1484" s="14"/>
      <c r="D1484" s="7"/>
      <c r="E1484" s="6"/>
      <c r="F1484" s="6"/>
      <c r="G1484" s="7"/>
      <c r="H1484" s="6"/>
      <c r="I1484" s="14"/>
      <c r="K1484" s="6"/>
    </row>
    <row r="1485" spans="2:11" x14ac:dyDescent="0.25">
      <c r="B1485" s="7"/>
      <c r="C1485" s="14"/>
      <c r="D1485" s="7"/>
      <c r="E1485" s="6"/>
      <c r="F1485" s="6"/>
      <c r="G1485" s="7"/>
      <c r="H1485" s="6"/>
      <c r="I1485" s="14"/>
      <c r="K1485" s="6"/>
    </row>
    <row r="1486" spans="2:11" x14ac:dyDescent="0.25">
      <c r="B1486" s="7"/>
      <c r="C1486" s="14"/>
      <c r="D1486" s="7"/>
      <c r="E1486" s="6"/>
      <c r="F1486" s="6"/>
      <c r="G1486" s="7"/>
      <c r="H1486" s="6"/>
      <c r="I1486" s="14"/>
      <c r="K1486" s="6"/>
    </row>
    <row r="1487" spans="2:11" x14ac:dyDescent="0.25">
      <c r="B1487" s="7"/>
      <c r="C1487" s="14"/>
      <c r="D1487" s="7"/>
      <c r="E1487" s="6"/>
      <c r="F1487" s="6"/>
      <c r="G1487" s="7"/>
      <c r="H1487" s="6"/>
      <c r="I1487" s="14"/>
      <c r="K1487" s="6"/>
    </row>
    <row r="1488" spans="2:11" x14ac:dyDescent="0.25">
      <c r="B1488" s="7"/>
      <c r="C1488" s="14"/>
      <c r="D1488" s="7"/>
      <c r="E1488" s="6"/>
      <c r="F1488" s="6"/>
      <c r="G1488" s="7"/>
      <c r="H1488" s="6"/>
      <c r="I1488" s="14"/>
      <c r="K1488" s="6"/>
    </row>
    <row r="1489" spans="2:11" x14ac:dyDescent="0.25">
      <c r="B1489" s="7"/>
      <c r="C1489" s="14"/>
      <c r="D1489" s="7"/>
      <c r="E1489" s="6"/>
      <c r="F1489" s="6"/>
      <c r="G1489" s="7"/>
      <c r="H1489" s="6"/>
      <c r="I1489" s="14"/>
      <c r="K1489" s="6"/>
    </row>
    <row r="1490" spans="2:11" x14ac:dyDescent="0.25">
      <c r="B1490" s="7"/>
      <c r="C1490" s="14"/>
      <c r="D1490" s="7"/>
      <c r="E1490" s="6"/>
      <c r="F1490" s="6"/>
      <c r="G1490" s="7"/>
      <c r="H1490" s="6"/>
      <c r="I1490" s="14"/>
      <c r="K1490" s="6"/>
    </row>
    <row r="1491" spans="2:11" x14ac:dyDescent="0.25">
      <c r="B1491" s="7"/>
      <c r="C1491" s="14"/>
      <c r="D1491" s="7"/>
      <c r="E1491" s="6"/>
      <c r="F1491" s="6"/>
      <c r="G1491" s="7"/>
      <c r="H1491" s="6"/>
      <c r="I1491" s="14"/>
      <c r="K1491" s="6"/>
    </row>
    <row r="1492" spans="2:11" x14ac:dyDescent="0.25">
      <c r="B1492" s="7"/>
      <c r="C1492" s="14"/>
      <c r="D1492" s="7"/>
      <c r="E1492" s="6"/>
      <c r="F1492" s="6"/>
      <c r="G1492" s="7"/>
      <c r="H1492" s="6"/>
      <c r="I1492" s="14"/>
      <c r="K1492" s="6"/>
    </row>
    <row r="1493" spans="2:11" x14ac:dyDescent="0.25">
      <c r="B1493" s="7"/>
      <c r="C1493" s="14"/>
      <c r="D1493" s="7"/>
      <c r="E1493" s="6"/>
      <c r="F1493" s="6"/>
      <c r="G1493" s="7"/>
      <c r="H1493" s="6"/>
      <c r="I1493" s="14"/>
      <c r="K1493" s="6"/>
    </row>
    <row r="1494" spans="2:11" x14ac:dyDescent="0.25">
      <c r="B1494" s="7"/>
      <c r="C1494" s="14"/>
      <c r="D1494" s="7"/>
      <c r="E1494" s="6"/>
      <c r="F1494" s="6"/>
      <c r="G1494" s="7"/>
      <c r="H1494" s="6"/>
      <c r="I1494" s="14"/>
      <c r="K1494" s="6"/>
    </row>
    <row r="1495" spans="2:11" x14ac:dyDescent="0.25">
      <c r="B1495" s="7"/>
      <c r="C1495" s="14"/>
      <c r="D1495" s="7"/>
      <c r="E1495" s="6"/>
      <c r="F1495" s="6"/>
      <c r="G1495" s="7"/>
      <c r="H1495" s="6"/>
      <c r="I1495" s="14"/>
      <c r="K1495" s="6"/>
    </row>
    <row r="1496" spans="2:11" x14ac:dyDescent="0.25">
      <c r="B1496" s="7"/>
      <c r="C1496" s="14"/>
      <c r="D1496" s="7"/>
      <c r="E1496" s="6"/>
      <c r="F1496" s="6"/>
      <c r="G1496" s="7"/>
      <c r="H1496" s="6"/>
      <c r="I1496" s="14"/>
      <c r="K1496" s="6"/>
    </row>
    <row r="1497" spans="2:11" x14ac:dyDescent="0.25">
      <c r="B1497" s="7"/>
      <c r="C1497" s="14"/>
      <c r="D1497" s="7"/>
      <c r="E1497" s="6"/>
      <c r="F1497" s="6"/>
      <c r="G1497" s="7"/>
      <c r="H1497" s="6"/>
      <c r="I1497" s="14"/>
      <c r="K1497" s="6"/>
    </row>
    <row r="1498" spans="2:11" x14ac:dyDescent="0.25">
      <c r="B1498" s="7"/>
      <c r="C1498" s="14"/>
      <c r="D1498" s="7"/>
      <c r="E1498" s="6"/>
      <c r="F1498" s="6"/>
      <c r="G1498" s="7"/>
      <c r="H1498" s="6"/>
      <c r="I1498" s="14"/>
      <c r="K1498" s="6"/>
    </row>
    <row r="1499" spans="2:11" x14ac:dyDescent="0.25">
      <c r="B1499" s="7"/>
      <c r="C1499" s="14"/>
      <c r="D1499" s="7"/>
      <c r="E1499" s="6"/>
      <c r="F1499" s="6"/>
      <c r="G1499" s="7"/>
      <c r="H1499" s="6"/>
      <c r="I1499" s="14"/>
      <c r="K1499" s="6"/>
    </row>
    <row r="1500" spans="2:11" x14ac:dyDescent="0.25">
      <c r="B1500" s="7"/>
      <c r="C1500" s="14"/>
      <c r="D1500" s="7"/>
      <c r="E1500" s="6"/>
      <c r="F1500" s="6"/>
      <c r="G1500" s="7"/>
      <c r="H1500" s="6"/>
      <c r="I1500" s="14"/>
      <c r="K1500" s="6"/>
    </row>
    <row r="1501" spans="2:11" x14ac:dyDescent="0.25">
      <c r="B1501" s="7"/>
      <c r="C1501" s="14"/>
      <c r="D1501" s="7"/>
      <c r="E1501" s="6"/>
      <c r="F1501" s="6"/>
      <c r="G1501" s="7"/>
      <c r="H1501" s="6"/>
      <c r="I1501" s="14"/>
      <c r="K1501" s="6"/>
    </row>
    <row r="1502" spans="2:11" x14ac:dyDescent="0.25">
      <c r="B1502" s="7"/>
      <c r="C1502" s="14"/>
      <c r="D1502" s="7"/>
      <c r="E1502" s="6"/>
      <c r="F1502" s="6"/>
      <c r="G1502" s="7"/>
      <c r="H1502" s="6"/>
      <c r="I1502" s="14"/>
      <c r="K1502" s="6"/>
    </row>
    <row r="1503" spans="2:11" x14ac:dyDescent="0.25">
      <c r="B1503" s="7"/>
      <c r="C1503" s="14"/>
      <c r="D1503" s="7"/>
      <c r="E1503" s="6"/>
      <c r="F1503" s="6"/>
      <c r="G1503" s="7"/>
      <c r="H1503" s="6"/>
      <c r="I1503" s="14"/>
      <c r="K1503" s="6"/>
    </row>
    <row r="1504" spans="2:11" x14ac:dyDescent="0.25">
      <c r="B1504" s="7"/>
      <c r="C1504" s="14"/>
      <c r="D1504" s="7"/>
      <c r="E1504" s="6"/>
      <c r="F1504" s="6"/>
      <c r="G1504" s="7"/>
      <c r="H1504" s="6"/>
      <c r="I1504" s="14"/>
      <c r="K1504" s="6"/>
    </row>
    <row r="1505" spans="2:11" x14ac:dyDescent="0.25">
      <c r="B1505" s="7"/>
      <c r="C1505" s="14"/>
      <c r="D1505" s="7"/>
      <c r="E1505" s="6"/>
      <c r="F1505" s="6"/>
      <c r="G1505" s="7"/>
      <c r="H1505" s="6"/>
      <c r="I1505" s="14"/>
      <c r="K1505" s="6"/>
    </row>
    <row r="1506" spans="2:11" x14ac:dyDescent="0.25">
      <c r="B1506" s="7"/>
      <c r="C1506" s="14"/>
      <c r="D1506" s="7"/>
      <c r="E1506" s="6"/>
      <c r="F1506" s="6"/>
      <c r="G1506" s="7"/>
      <c r="H1506" s="6"/>
      <c r="I1506" s="14"/>
      <c r="K1506" s="6"/>
    </row>
    <row r="1507" spans="2:11" x14ac:dyDescent="0.25">
      <c r="B1507" s="7"/>
      <c r="C1507" s="14"/>
      <c r="D1507" s="7"/>
      <c r="E1507" s="6"/>
      <c r="F1507" s="6"/>
      <c r="G1507" s="7"/>
      <c r="H1507" s="6"/>
      <c r="I1507" s="14"/>
      <c r="K1507" s="6"/>
    </row>
    <row r="1508" spans="2:11" x14ac:dyDescent="0.25">
      <c r="B1508" s="7"/>
      <c r="C1508" s="14"/>
      <c r="D1508" s="7"/>
      <c r="E1508" s="6"/>
      <c r="F1508" s="6"/>
      <c r="G1508" s="7"/>
      <c r="H1508" s="6"/>
      <c r="I1508" s="14"/>
      <c r="K1508" s="6"/>
    </row>
    <row r="1509" spans="2:11" x14ac:dyDescent="0.25">
      <c r="B1509" s="7"/>
      <c r="C1509" s="14"/>
      <c r="D1509" s="7"/>
      <c r="E1509" s="6"/>
      <c r="F1509" s="6"/>
      <c r="G1509" s="7"/>
      <c r="H1509" s="6"/>
      <c r="I1509" s="14"/>
      <c r="K1509" s="6"/>
    </row>
    <row r="1510" spans="2:11" x14ac:dyDescent="0.25">
      <c r="B1510" s="7"/>
      <c r="C1510" s="14"/>
      <c r="D1510" s="7"/>
      <c r="E1510" s="6"/>
      <c r="F1510" s="6"/>
      <c r="G1510" s="7"/>
      <c r="H1510" s="6"/>
      <c r="I1510" s="14"/>
      <c r="K1510" s="6"/>
    </row>
    <row r="1511" spans="2:11" x14ac:dyDescent="0.25">
      <c r="B1511" s="7"/>
      <c r="C1511" s="14"/>
      <c r="D1511" s="7"/>
      <c r="E1511" s="6"/>
      <c r="F1511" s="6"/>
      <c r="G1511" s="7"/>
      <c r="H1511" s="6"/>
      <c r="I1511" s="14"/>
      <c r="K1511" s="6"/>
    </row>
    <row r="1512" spans="2:11" x14ac:dyDescent="0.25">
      <c r="B1512" s="7"/>
      <c r="C1512" s="14"/>
      <c r="D1512" s="7"/>
      <c r="E1512" s="6"/>
      <c r="F1512" s="6"/>
      <c r="G1512" s="7"/>
      <c r="H1512" s="6"/>
      <c r="I1512" s="14"/>
      <c r="K1512" s="6"/>
    </row>
    <row r="1513" spans="2:11" x14ac:dyDescent="0.25">
      <c r="B1513" s="7"/>
      <c r="C1513" s="14"/>
      <c r="D1513" s="7"/>
      <c r="E1513" s="6"/>
      <c r="F1513" s="6"/>
      <c r="G1513" s="7"/>
      <c r="H1513" s="6"/>
      <c r="I1513" s="14"/>
      <c r="K1513" s="6"/>
    </row>
    <row r="1514" spans="2:11" x14ac:dyDescent="0.25">
      <c r="B1514" s="7"/>
      <c r="C1514" s="14"/>
      <c r="D1514" s="7"/>
      <c r="E1514" s="6"/>
      <c r="F1514" s="6"/>
      <c r="G1514" s="7"/>
      <c r="H1514" s="6"/>
      <c r="I1514" s="14"/>
      <c r="K1514" s="6"/>
    </row>
    <row r="1515" spans="2:11" x14ac:dyDescent="0.25">
      <c r="B1515" s="7"/>
      <c r="C1515" s="14"/>
      <c r="D1515" s="7"/>
      <c r="E1515" s="6"/>
      <c r="F1515" s="6"/>
      <c r="G1515" s="7"/>
      <c r="H1515" s="6"/>
      <c r="I1515" s="14"/>
      <c r="K1515" s="6"/>
    </row>
    <row r="1516" spans="2:11" x14ac:dyDescent="0.25">
      <c r="B1516" s="7"/>
      <c r="C1516" s="14"/>
      <c r="D1516" s="7"/>
      <c r="E1516" s="6"/>
      <c r="F1516" s="6"/>
      <c r="G1516" s="7"/>
      <c r="H1516" s="6"/>
      <c r="I1516" s="14"/>
      <c r="K1516" s="6"/>
    </row>
    <row r="1517" spans="2:11" x14ac:dyDescent="0.25">
      <c r="B1517" s="7"/>
      <c r="C1517" s="14"/>
      <c r="D1517" s="7"/>
      <c r="E1517" s="6"/>
      <c r="F1517" s="6"/>
      <c r="G1517" s="7"/>
      <c r="H1517" s="6"/>
      <c r="I1517" s="14"/>
      <c r="K1517" s="6"/>
    </row>
    <row r="1518" spans="2:11" x14ac:dyDescent="0.25">
      <c r="B1518" s="7"/>
      <c r="C1518" s="14"/>
      <c r="D1518" s="7"/>
      <c r="E1518" s="6"/>
      <c r="F1518" s="6"/>
      <c r="G1518" s="7"/>
      <c r="H1518" s="6"/>
      <c r="I1518" s="14"/>
      <c r="K1518" s="6"/>
    </row>
    <row r="1519" spans="2:11" x14ac:dyDescent="0.25">
      <c r="B1519" s="7"/>
      <c r="C1519" s="14"/>
      <c r="D1519" s="7"/>
      <c r="E1519" s="6"/>
      <c r="F1519" s="6"/>
      <c r="G1519" s="7"/>
      <c r="H1519" s="6"/>
      <c r="I1519" s="14"/>
      <c r="K1519" s="6"/>
    </row>
    <row r="1520" spans="2:11" x14ac:dyDescent="0.25">
      <c r="B1520" s="7"/>
      <c r="C1520" s="14"/>
      <c r="D1520" s="7"/>
      <c r="E1520" s="6"/>
      <c r="F1520" s="6"/>
      <c r="G1520" s="7"/>
      <c r="H1520" s="6"/>
      <c r="I1520" s="14"/>
      <c r="K1520" s="6"/>
    </row>
    <row r="1521" spans="2:11" x14ac:dyDescent="0.25">
      <c r="B1521" s="7"/>
      <c r="C1521" s="14"/>
      <c r="D1521" s="7"/>
      <c r="E1521" s="6"/>
      <c r="F1521" s="6"/>
      <c r="G1521" s="7"/>
      <c r="H1521" s="6"/>
      <c r="I1521" s="14"/>
      <c r="K1521" s="6"/>
    </row>
    <row r="1522" spans="2:11" x14ac:dyDescent="0.25">
      <c r="B1522" s="7"/>
      <c r="C1522" s="14"/>
      <c r="D1522" s="7"/>
      <c r="E1522" s="6"/>
      <c r="F1522" s="6"/>
      <c r="G1522" s="7"/>
      <c r="H1522" s="6"/>
      <c r="I1522" s="14"/>
      <c r="K1522" s="6"/>
    </row>
    <row r="1523" spans="2:11" x14ac:dyDescent="0.25">
      <c r="B1523" s="7"/>
      <c r="C1523" s="14"/>
      <c r="D1523" s="7"/>
      <c r="E1523" s="6"/>
      <c r="F1523" s="6"/>
      <c r="G1523" s="7"/>
      <c r="H1523" s="6"/>
      <c r="I1523" s="14"/>
      <c r="K1523" s="6"/>
    </row>
    <row r="1524" spans="2:11" x14ac:dyDescent="0.25">
      <c r="B1524" s="7"/>
      <c r="C1524" s="14"/>
      <c r="D1524" s="7"/>
      <c r="E1524" s="6"/>
      <c r="F1524" s="6"/>
      <c r="G1524" s="7"/>
      <c r="H1524" s="6"/>
      <c r="I1524" s="14"/>
      <c r="K1524" s="6"/>
    </row>
    <row r="1525" spans="2:11" x14ac:dyDescent="0.25">
      <c r="B1525" s="7"/>
      <c r="C1525" s="14"/>
      <c r="D1525" s="7"/>
      <c r="E1525" s="6"/>
      <c r="F1525" s="6"/>
      <c r="G1525" s="7"/>
      <c r="H1525" s="6"/>
      <c r="I1525" s="14"/>
      <c r="K1525" s="6"/>
    </row>
    <row r="1526" spans="2:11" x14ac:dyDescent="0.25">
      <c r="B1526" s="7"/>
      <c r="C1526" s="14"/>
      <c r="D1526" s="7"/>
      <c r="E1526" s="6"/>
      <c r="F1526" s="6"/>
      <c r="G1526" s="7"/>
      <c r="H1526" s="6"/>
      <c r="I1526" s="14"/>
      <c r="K1526" s="6"/>
    </row>
    <row r="1527" spans="2:11" x14ac:dyDescent="0.25">
      <c r="B1527" s="7"/>
      <c r="C1527" s="14"/>
      <c r="D1527" s="7"/>
      <c r="E1527" s="6"/>
      <c r="F1527" s="6"/>
      <c r="G1527" s="7"/>
      <c r="H1527" s="6"/>
      <c r="I1527" s="14"/>
      <c r="K1527" s="6"/>
    </row>
    <row r="1528" spans="2:11" x14ac:dyDescent="0.25">
      <c r="B1528" s="7"/>
      <c r="C1528" s="14"/>
      <c r="D1528" s="7"/>
      <c r="E1528" s="6"/>
      <c r="F1528" s="6"/>
      <c r="G1528" s="7"/>
      <c r="H1528" s="6"/>
      <c r="I1528" s="14"/>
      <c r="K1528" s="6"/>
    </row>
    <row r="1529" spans="2:11" x14ac:dyDescent="0.25">
      <c r="B1529" s="7"/>
      <c r="C1529" s="14"/>
      <c r="D1529" s="7"/>
      <c r="E1529" s="6"/>
      <c r="F1529" s="6"/>
      <c r="G1529" s="7"/>
      <c r="H1529" s="6"/>
      <c r="I1529" s="14"/>
      <c r="K1529" s="6"/>
    </row>
    <row r="1530" spans="2:11" x14ac:dyDescent="0.25">
      <c r="B1530" s="7"/>
      <c r="C1530" s="14"/>
      <c r="D1530" s="7"/>
      <c r="E1530" s="6"/>
      <c r="F1530" s="6"/>
      <c r="G1530" s="7"/>
      <c r="H1530" s="6"/>
      <c r="I1530" s="14"/>
      <c r="K1530" s="6"/>
    </row>
    <row r="1531" spans="2:11" x14ac:dyDescent="0.25">
      <c r="B1531" s="7"/>
      <c r="C1531" s="14"/>
      <c r="D1531" s="7"/>
      <c r="E1531" s="6"/>
      <c r="F1531" s="6"/>
      <c r="G1531" s="7"/>
      <c r="H1531" s="6"/>
      <c r="I1531" s="14"/>
      <c r="K1531" s="6"/>
    </row>
    <row r="1532" spans="2:11" x14ac:dyDescent="0.25">
      <c r="B1532" s="7"/>
      <c r="C1532" s="14"/>
      <c r="D1532" s="7"/>
      <c r="E1532" s="6"/>
      <c r="F1532" s="6"/>
      <c r="G1532" s="7"/>
      <c r="H1532" s="6"/>
      <c r="I1532" s="14"/>
      <c r="K1532" s="6"/>
    </row>
    <row r="1533" spans="2:11" x14ac:dyDescent="0.25">
      <c r="B1533" s="7"/>
      <c r="C1533" s="14"/>
      <c r="D1533" s="7"/>
      <c r="E1533" s="6"/>
      <c r="F1533" s="6"/>
      <c r="G1533" s="7"/>
      <c r="H1533" s="6"/>
      <c r="I1533" s="14"/>
      <c r="K1533" s="6"/>
    </row>
    <row r="1534" spans="2:11" x14ac:dyDescent="0.25">
      <c r="B1534" s="7"/>
      <c r="C1534" s="14"/>
      <c r="D1534" s="7"/>
      <c r="E1534" s="6"/>
      <c r="F1534" s="6"/>
      <c r="G1534" s="7"/>
      <c r="H1534" s="6"/>
      <c r="I1534" s="14"/>
      <c r="K1534" s="6"/>
    </row>
    <row r="1535" spans="2:11" x14ac:dyDescent="0.25">
      <c r="B1535" s="7"/>
      <c r="C1535" s="14"/>
      <c r="D1535" s="7"/>
      <c r="E1535" s="6"/>
      <c r="F1535" s="6"/>
      <c r="G1535" s="7"/>
      <c r="H1535" s="6"/>
      <c r="I1535" s="14"/>
      <c r="K1535" s="6"/>
    </row>
    <row r="1536" spans="2:11" x14ac:dyDescent="0.25">
      <c r="B1536" s="7"/>
      <c r="C1536" s="14"/>
      <c r="D1536" s="7"/>
      <c r="E1536" s="6"/>
      <c r="F1536" s="6"/>
      <c r="G1536" s="7"/>
      <c r="H1536" s="6"/>
      <c r="I1536" s="14"/>
      <c r="K1536" s="6"/>
    </row>
    <row r="1537" spans="2:11" x14ac:dyDescent="0.25">
      <c r="B1537" s="7"/>
      <c r="C1537" s="14"/>
      <c r="D1537" s="7"/>
      <c r="E1537" s="6"/>
      <c r="F1537" s="6"/>
      <c r="G1537" s="7"/>
      <c r="H1537" s="6"/>
      <c r="I1537" s="14"/>
      <c r="K1537" s="6"/>
    </row>
    <row r="1538" spans="2:11" x14ac:dyDescent="0.25">
      <c r="B1538" s="7"/>
      <c r="C1538" s="14"/>
      <c r="D1538" s="7"/>
      <c r="E1538" s="6"/>
      <c r="F1538" s="6"/>
      <c r="G1538" s="7"/>
      <c r="H1538" s="6"/>
      <c r="I1538" s="14"/>
      <c r="K1538" s="6"/>
    </row>
    <row r="1539" spans="2:11" x14ac:dyDescent="0.25">
      <c r="B1539" s="7"/>
      <c r="C1539" s="14"/>
      <c r="D1539" s="7"/>
      <c r="E1539" s="6"/>
      <c r="F1539" s="6"/>
      <c r="G1539" s="7"/>
      <c r="H1539" s="6"/>
      <c r="I1539" s="14"/>
      <c r="K1539" s="6"/>
    </row>
    <row r="1540" spans="2:11" x14ac:dyDescent="0.25">
      <c r="B1540" s="7"/>
      <c r="C1540" s="14"/>
      <c r="D1540" s="7"/>
      <c r="E1540" s="6"/>
      <c r="F1540" s="6"/>
      <c r="G1540" s="7"/>
      <c r="H1540" s="6"/>
      <c r="I1540" s="14"/>
      <c r="K1540" s="6"/>
    </row>
    <row r="1541" spans="2:11" x14ac:dyDescent="0.25">
      <c r="B1541" s="7"/>
      <c r="C1541" s="14"/>
      <c r="D1541" s="7"/>
      <c r="E1541" s="6"/>
      <c r="F1541" s="6"/>
      <c r="G1541" s="7"/>
      <c r="H1541" s="6"/>
      <c r="I1541" s="14"/>
      <c r="K1541" s="6"/>
    </row>
    <row r="1542" spans="2:11" x14ac:dyDescent="0.25">
      <c r="B1542" s="7"/>
      <c r="C1542" s="14"/>
      <c r="D1542" s="7"/>
      <c r="E1542" s="6"/>
      <c r="F1542" s="6"/>
      <c r="G1542" s="7"/>
      <c r="H1542" s="6"/>
      <c r="I1542" s="14"/>
      <c r="K1542" s="6"/>
    </row>
    <row r="1543" spans="2:11" x14ac:dyDescent="0.25">
      <c r="B1543" s="7"/>
      <c r="C1543" s="14"/>
      <c r="D1543" s="7"/>
      <c r="E1543" s="6"/>
      <c r="F1543" s="6"/>
      <c r="G1543" s="7"/>
      <c r="H1543" s="6"/>
      <c r="I1543" s="14"/>
      <c r="K1543" s="6"/>
    </row>
    <row r="1544" spans="2:11" x14ac:dyDescent="0.25">
      <c r="B1544" s="7"/>
      <c r="C1544" s="14"/>
      <c r="D1544" s="7"/>
      <c r="E1544" s="6"/>
      <c r="F1544" s="6"/>
      <c r="G1544" s="7"/>
      <c r="H1544" s="6"/>
      <c r="I1544" s="14"/>
      <c r="K1544" s="6"/>
    </row>
    <row r="1545" spans="2:11" x14ac:dyDescent="0.25">
      <c r="B1545" s="7"/>
      <c r="C1545" s="14"/>
      <c r="D1545" s="7"/>
      <c r="E1545" s="6"/>
      <c r="F1545" s="6"/>
      <c r="G1545" s="7"/>
      <c r="H1545" s="6"/>
      <c r="I1545" s="14"/>
      <c r="K1545" s="6"/>
    </row>
    <row r="1546" spans="2:11" x14ac:dyDescent="0.25">
      <c r="B1546" s="7"/>
      <c r="C1546" s="14"/>
      <c r="D1546" s="7"/>
      <c r="E1546" s="6"/>
      <c r="F1546" s="6"/>
      <c r="G1546" s="7"/>
      <c r="H1546" s="6"/>
      <c r="I1546" s="14"/>
      <c r="K1546" s="6"/>
    </row>
    <row r="1547" spans="2:11" x14ac:dyDescent="0.25">
      <c r="B1547" s="7"/>
      <c r="C1547" s="14"/>
      <c r="D1547" s="7"/>
      <c r="E1547" s="6"/>
      <c r="F1547" s="6"/>
      <c r="G1547" s="7"/>
      <c r="H1547" s="6"/>
      <c r="I1547" s="14"/>
      <c r="K1547" s="6"/>
    </row>
    <row r="1548" spans="2:11" x14ac:dyDescent="0.25">
      <c r="B1548" s="7"/>
      <c r="C1548" s="14"/>
      <c r="D1548" s="7"/>
      <c r="E1548" s="6"/>
      <c r="F1548" s="6"/>
      <c r="G1548" s="7"/>
      <c r="H1548" s="6"/>
      <c r="I1548" s="14"/>
      <c r="K1548" s="6"/>
    </row>
    <row r="1549" spans="2:11" x14ac:dyDescent="0.25">
      <c r="B1549" s="7"/>
      <c r="C1549" s="14"/>
      <c r="D1549" s="7"/>
      <c r="E1549" s="6"/>
      <c r="F1549" s="6"/>
      <c r="G1549" s="7"/>
      <c r="H1549" s="6"/>
      <c r="I1549" s="14"/>
      <c r="K1549" s="6"/>
    </row>
    <row r="1550" spans="2:11" x14ac:dyDescent="0.25">
      <c r="B1550" s="7"/>
      <c r="C1550" s="14"/>
      <c r="D1550" s="7"/>
      <c r="E1550" s="6"/>
      <c r="F1550" s="6"/>
      <c r="G1550" s="7"/>
      <c r="H1550" s="6"/>
      <c r="I1550" s="14"/>
      <c r="K1550" s="6"/>
    </row>
    <row r="1551" spans="2:11" x14ac:dyDescent="0.25">
      <c r="B1551" s="7"/>
      <c r="C1551" s="14"/>
      <c r="D1551" s="7"/>
      <c r="E1551" s="6"/>
      <c r="F1551" s="6"/>
      <c r="G1551" s="7"/>
      <c r="H1551" s="6"/>
      <c r="I1551" s="14"/>
      <c r="K1551" s="6"/>
    </row>
    <row r="1552" spans="2:11" x14ac:dyDescent="0.25">
      <c r="B1552" s="7"/>
      <c r="C1552" s="14"/>
      <c r="D1552" s="7"/>
      <c r="E1552" s="6"/>
      <c r="F1552" s="6"/>
      <c r="G1552" s="7"/>
      <c r="H1552" s="6"/>
      <c r="I1552" s="14"/>
      <c r="K1552" s="6"/>
    </row>
    <row r="1553" spans="2:11" x14ac:dyDescent="0.25">
      <c r="B1553" s="7"/>
      <c r="C1553" s="14"/>
      <c r="D1553" s="7"/>
      <c r="E1553" s="6"/>
      <c r="F1553" s="6"/>
      <c r="G1553" s="7"/>
      <c r="H1553" s="6"/>
      <c r="I1553" s="14"/>
      <c r="K1553" s="6"/>
    </row>
    <row r="1554" spans="2:11" x14ac:dyDescent="0.25">
      <c r="B1554" s="7"/>
      <c r="C1554" s="14"/>
      <c r="D1554" s="7"/>
      <c r="E1554" s="6"/>
      <c r="F1554" s="6"/>
      <c r="G1554" s="7"/>
      <c r="H1554" s="6"/>
      <c r="I1554" s="14"/>
      <c r="K1554" s="6"/>
    </row>
    <row r="1555" spans="2:11" x14ac:dyDescent="0.25">
      <c r="B1555" s="7"/>
      <c r="C1555" s="14"/>
      <c r="D1555" s="7"/>
      <c r="E1555" s="6"/>
      <c r="F1555" s="6"/>
      <c r="G1555" s="7"/>
      <c r="H1555" s="6"/>
      <c r="I1555" s="14"/>
      <c r="K1555" s="6"/>
    </row>
    <row r="1556" spans="2:11" x14ac:dyDescent="0.25">
      <c r="B1556" s="7"/>
      <c r="C1556" s="14"/>
      <c r="D1556" s="7"/>
      <c r="E1556" s="6"/>
      <c r="F1556" s="6"/>
      <c r="G1556" s="7"/>
      <c r="H1556" s="6"/>
      <c r="I1556" s="14"/>
      <c r="K1556" s="6"/>
    </row>
    <row r="1557" spans="2:11" x14ac:dyDescent="0.25">
      <c r="B1557" s="7"/>
      <c r="C1557" s="14"/>
      <c r="D1557" s="7"/>
      <c r="E1557" s="6"/>
      <c r="F1557" s="6"/>
      <c r="G1557" s="7"/>
      <c r="H1557" s="6"/>
      <c r="I1557" s="14"/>
      <c r="K1557" s="6"/>
    </row>
    <row r="1558" spans="2:11" x14ac:dyDescent="0.25">
      <c r="B1558" s="7"/>
      <c r="C1558" s="14"/>
      <c r="D1558" s="7"/>
      <c r="E1558" s="6"/>
      <c r="F1558" s="6"/>
      <c r="G1558" s="7"/>
      <c r="H1558" s="6"/>
      <c r="I1558" s="14"/>
      <c r="K1558" s="6"/>
    </row>
    <row r="1559" spans="2:11" x14ac:dyDescent="0.25">
      <c r="B1559" s="7"/>
      <c r="C1559" s="14"/>
      <c r="D1559" s="7"/>
      <c r="E1559" s="6"/>
      <c r="F1559" s="6"/>
      <c r="G1559" s="7"/>
      <c r="H1559" s="6"/>
      <c r="I1559" s="14"/>
      <c r="K1559" s="6"/>
    </row>
    <row r="1560" spans="2:11" x14ac:dyDescent="0.25">
      <c r="B1560" s="7"/>
      <c r="C1560" s="14"/>
      <c r="D1560" s="7"/>
      <c r="E1560" s="6"/>
      <c r="F1560" s="6"/>
      <c r="G1560" s="7"/>
      <c r="H1560" s="6"/>
      <c r="I1560" s="14"/>
      <c r="K1560" s="6"/>
    </row>
    <row r="1561" spans="2:11" x14ac:dyDescent="0.25">
      <c r="B1561" s="7"/>
      <c r="C1561" s="14"/>
      <c r="D1561" s="7"/>
      <c r="E1561" s="6"/>
      <c r="F1561" s="6"/>
      <c r="G1561" s="7"/>
      <c r="H1561" s="6"/>
      <c r="I1561" s="14"/>
      <c r="K1561" s="6"/>
    </row>
    <row r="1562" spans="2:11" x14ac:dyDescent="0.25">
      <c r="B1562" s="7"/>
      <c r="C1562" s="14"/>
      <c r="D1562" s="7"/>
      <c r="E1562" s="6"/>
      <c r="F1562" s="6"/>
      <c r="G1562" s="7"/>
      <c r="H1562" s="6"/>
      <c r="I1562" s="14"/>
      <c r="K1562" s="6"/>
    </row>
    <row r="1563" spans="2:11" x14ac:dyDescent="0.25">
      <c r="B1563" s="7"/>
      <c r="C1563" s="14"/>
      <c r="D1563" s="7"/>
      <c r="E1563" s="6"/>
      <c r="F1563" s="6"/>
      <c r="G1563" s="7"/>
      <c r="H1563" s="6"/>
      <c r="I1563" s="14"/>
      <c r="K1563" s="6"/>
    </row>
    <row r="1564" spans="2:11" x14ac:dyDescent="0.25">
      <c r="B1564" s="7"/>
      <c r="C1564" s="14"/>
      <c r="D1564" s="7"/>
      <c r="E1564" s="6"/>
      <c r="F1564" s="6"/>
      <c r="G1564" s="7"/>
      <c r="H1564" s="6"/>
      <c r="I1564" s="14"/>
      <c r="K1564" s="6"/>
    </row>
    <row r="1565" spans="2:11" x14ac:dyDescent="0.25">
      <c r="B1565" s="7"/>
      <c r="C1565" s="14"/>
      <c r="D1565" s="7"/>
      <c r="E1565" s="6"/>
      <c r="F1565" s="6"/>
      <c r="G1565" s="7"/>
      <c r="H1565" s="6"/>
      <c r="I1565" s="14"/>
      <c r="K1565" s="6"/>
    </row>
    <row r="1566" spans="2:11" x14ac:dyDescent="0.25">
      <c r="B1566" s="7"/>
      <c r="C1566" s="14"/>
      <c r="D1566" s="7"/>
      <c r="E1566" s="6"/>
      <c r="F1566" s="6"/>
      <c r="G1566" s="7"/>
      <c r="H1566" s="6"/>
      <c r="I1566" s="14"/>
      <c r="K1566" s="6"/>
    </row>
    <row r="1567" spans="2:11" x14ac:dyDescent="0.25">
      <c r="B1567" s="7"/>
      <c r="C1567" s="14"/>
      <c r="D1567" s="7"/>
      <c r="E1567" s="6"/>
      <c r="F1567" s="6"/>
      <c r="G1567" s="7"/>
      <c r="H1567" s="6"/>
      <c r="I1567" s="14"/>
      <c r="K1567" s="6"/>
    </row>
    <row r="1568" spans="2:11" x14ac:dyDescent="0.25">
      <c r="B1568" s="7"/>
      <c r="C1568" s="14"/>
      <c r="D1568" s="7"/>
      <c r="E1568" s="6"/>
      <c r="F1568" s="6"/>
      <c r="G1568" s="7"/>
      <c r="H1568" s="6"/>
      <c r="I1568" s="14"/>
      <c r="K1568" s="6"/>
    </row>
    <row r="1569" spans="2:11" x14ac:dyDescent="0.25">
      <c r="B1569" s="7"/>
      <c r="C1569" s="14"/>
      <c r="D1569" s="7"/>
      <c r="E1569" s="6"/>
      <c r="F1569" s="6"/>
      <c r="G1569" s="7"/>
      <c r="H1569" s="6"/>
      <c r="I1569" s="14"/>
      <c r="K1569" s="6"/>
    </row>
    <row r="1570" spans="2:11" x14ac:dyDescent="0.25">
      <c r="B1570" s="7"/>
      <c r="C1570" s="14"/>
      <c r="D1570" s="7"/>
      <c r="E1570" s="6"/>
      <c r="F1570" s="6"/>
      <c r="G1570" s="7"/>
      <c r="H1570" s="6"/>
      <c r="I1570" s="14"/>
      <c r="K1570" s="6"/>
    </row>
    <row r="1571" spans="2:11" x14ac:dyDescent="0.25">
      <c r="B1571" s="7"/>
      <c r="C1571" s="14"/>
      <c r="D1571" s="7"/>
      <c r="E1571" s="6"/>
      <c r="F1571" s="6"/>
      <c r="G1571" s="7"/>
      <c r="H1571" s="6"/>
      <c r="I1571" s="14"/>
      <c r="K1571" s="6"/>
    </row>
    <row r="1572" spans="2:11" x14ac:dyDescent="0.25">
      <c r="B1572" s="7"/>
      <c r="C1572" s="14"/>
      <c r="D1572" s="7"/>
      <c r="E1572" s="6"/>
      <c r="F1572" s="6"/>
      <c r="G1572" s="7"/>
      <c r="H1572" s="6"/>
      <c r="I1572" s="14"/>
      <c r="K1572" s="6"/>
    </row>
    <row r="1573" spans="2:11" x14ac:dyDescent="0.25">
      <c r="B1573" s="7"/>
      <c r="C1573" s="14"/>
      <c r="D1573" s="7"/>
      <c r="E1573" s="6"/>
      <c r="F1573" s="6"/>
      <c r="G1573" s="7"/>
      <c r="H1573" s="6"/>
      <c r="I1573" s="14"/>
      <c r="K1573" s="6"/>
    </row>
    <row r="1574" spans="2:11" x14ac:dyDescent="0.25">
      <c r="B1574" s="7"/>
      <c r="C1574" s="14"/>
      <c r="D1574" s="7"/>
      <c r="E1574" s="6"/>
      <c r="F1574" s="6"/>
      <c r="G1574" s="7"/>
      <c r="H1574" s="6"/>
      <c r="I1574" s="14"/>
      <c r="K1574" s="6"/>
    </row>
    <row r="1575" spans="2:11" x14ac:dyDescent="0.25">
      <c r="B1575" s="7"/>
      <c r="C1575" s="14"/>
      <c r="D1575" s="7"/>
      <c r="E1575" s="6"/>
      <c r="F1575" s="6"/>
      <c r="G1575" s="7"/>
      <c r="H1575" s="6"/>
      <c r="I1575" s="14"/>
      <c r="K1575" s="6"/>
    </row>
    <row r="1576" spans="2:11" x14ac:dyDescent="0.25">
      <c r="B1576" s="7"/>
      <c r="C1576" s="14"/>
      <c r="D1576" s="7"/>
      <c r="E1576" s="6"/>
      <c r="F1576" s="6"/>
      <c r="G1576" s="7"/>
      <c r="H1576" s="6"/>
      <c r="I1576" s="14"/>
      <c r="K1576" s="6"/>
    </row>
    <row r="1577" spans="2:11" x14ac:dyDescent="0.25">
      <c r="B1577" s="7"/>
      <c r="C1577" s="14"/>
      <c r="D1577" s="7"/>
      <c r="E1577" s="6"/>
      <c r="F1577" s="6"/>
      <c r="G1577" s="7"/>
      <c r="H1577" s="6"/>
      <c r="I1577" s="14"/>
      <c r="K1577" s="6"/>
    </row>
    <row r="1578" spans="2:11" x14ac:dyDescent="0.25">
      <c r="B1578" s="7"/>
      <c r="C1578" s="14"/>
      <c r="D1578" s="7"/>
      <c r="E1578" s="6"/>
      <c r="F1578" s="6"/>
      <c r="G1578" s="7"/>
      <c r="H1578" s="6"/>
      <c r="I1578" s="14"/>
      <c r="K1578" s="6"/>
    </row>
    <row r="1579" spans="2:11" x14ac:dyDescent="0.25">
      <c r="B1579" s="7"/>
      <c r="C1579" s="14"/>
      <c r="D1579" s="7"/>
      <c r="E1579" s="6"/>
      <c r="F1579" s="6"/>
      <c r="G1579" s="7"/>
      <c r="H1579" s="6"/>
      <c r="I1579" s="14"/>
      <c r="K1579" s="6"/>
    </row>
    <row r="1580" spans="2:11" x14ac:dyDescent="0.25">
      <c r="B1580" s="7"/>
      <c r="C1580" s="14"/>
      <c r="D1580" s="7"/>
      <c r="E1580" s="6"/>
      <c r="F1580" s="6"/>
      <c r="G1580" s="7"/>
      <c r="H1580" s="6"/>
      <c r="I1580" s="14"/>
      <c r="K1580" s="6"/>
    </row>
    <row r="1581" spans="2:11" x14ac:dyDescent="0.25">
      <c r="B1581" s="7"/>
      <c r="C1581" s="14"/>
      <c r="D1581" s="7"/>
      <c r="E1581" s="6"/>
      <c r="F1581" s="6"/>
      <c r="G1581" s="7"/>
      <c r="H1581" s="6"/>
      <c r="I1581" s="14"/>
      <c r="K1581" s="6"/>
    </row>
    <row r="1582" spans="2:11" x14ac:dyDescent="0.25">
      <c r="B1582" s="7"/>
      <c r="C1582" s="14"/>
      <c r="D1582" s="7"/>
      <c r="E1582" s="6"/>
      <c r="F1582" s="6"/>
      <c r="G1582" s="7"/>
      <c r="H1582" s="6"/>
      <c r="I1582" s="14"/>
      <c r="K1582" s="6"/>
    </row>
    <row r="1583" spans="2:11" x14ac:dyDescent="0.25">
      <c r="B1583" s="7"/>
      <c r="C1583" s="14"/>
      <c r="D1583" s="7"/>
      <c r="E1583" s="6"/>
      <c r="F1583" s="6"/>
      <c r="G1583" s="7"/>
      <c r="H1583" s="6"/>
      <c r="I1583" s="14"/>
      <c r="K1583" s="6"/>
    </row>
    <row r="1584" spans="2:11" x14ac:dyDescent="0.25">
      <c r="B1584" s="7"/>
      <c r="C1584" s="14"/>
      <c r="D1584" s="7"/>
      <c r="E1584" s="6"/>
      <c r="F1584" s="6"/>
      <c r="G1584" s="7"/>
      <c r="H1584" s="6"/>
      <c r="I1584" s="14"/>
      <c r="K1584" s="6"/>
    </row>
    <row r="1585" spans="2:11" x14ac:dyDescent="0.25">
      <c r="B1585" s="7"/>
      <c r="C1585" s="14"/>
      <c r="D1585" s="7"/>
      <c r="E1585" s="6"/>
      <c r="F1585" s="6"/>
      <c r="G1585" s="7"/>
      <c r="H1585" s="6"/>
      <c r="I1585" s="14"/>
      <c r="K1585" s="6"/>
    </row>
    <row r="1586" spans="2:11" x14ac:dyDescent="0.25">
      <c r="B1586" s="7"/>
      <c r="C1586" s="14"/>
      <c r="D1586" s="7"/>
      <c r="E1586" s="6"/>
      <c r="F1586" s="6"/>
      <c r="G1586" s="7"/>
      <c r="H1586" s="6"/>
      <c r="I1586" s="14"/>
      <c r="K1586" s="6"/>
    </row>
    <row r="1587" spans="2:11" x14ac:dyDescent="0.25">
      <c r="B1587" s="7"/>
      <c r="C1587" s="14"/>
      <c r="D1587" s="7"/>
      <c r="E1587" s="6"/>
      <c r="F1587" s="6"/>
      <c r="G1587" s="7"/>
      <c r="H1587" s="6"/>
      <c r="I1587" s="14"/>
      <c r="K1587" s="6"/>
    </row>
    <row r="1588" spans="2:11" x14ac:dyDescent="0.25">
      <c r="B1588" s="7"/>
      <c r="C1588" s="14"/>
      <c r="D1588" s="7"/>
      <c r="E1588" s="6"/>
      <c r="F1588" s="6"/>
      <c r="G1588" s="7"/>
      <c r="H1588" s="6"/>
      <c r="I1588" s="14"/>
      <c r="K1588" s="6"/>
    </row>
    <row r="1589" spans="2:11" x14ac:dyDescent="0.25">
      <c r="B1589" s="7"/>
      <c r="C1589" s="14"/>
      <c r="D1589" s="7"/>
      <c r="E1589" s="6"/>
      <c r="F1589" s="6"/>
      <c r="G1589" s="7"/>
      <c r="H1589" s="6"/>
      <c r="I1589" s="14"/>
      <c r="K1589" s="6"/>
    </row>
    <row r="1590" spans="2:11" x14ac:dyDescent="0.25">
      <c r="B1590" s="7"/>
      <c r="C1590" s="14"/>
      <c r="D1590" s="7"/>
      <c r="E1590" s="6"/>
      <c r="F1590" s="6"/>
      <c r="G1590" s="7"/>
      <c r="H1590" s="6"/>
      <c r="I1590" s="14"/>
      <c r="K1590" s="6"/>
    </row>
    <row r="1591" spans="2:11" x14ac:dyDescent="0.25">
      <c r="B1591" s="7"/>
      <c r="C1591" s="14"/>
      <c r="D1591" s="7"/>
      <c r="E1591" s="6"/>
      <c r="F1591" s="6"/>
      <c r="G1591" s="7"/>
      <c r="H1591" s="6"/>
      <c r="I1591" s="14"/>
      <c r="K1591" s="6"/>
    </row>
    <row r="1592" spans="2:11" x14ac:dyDescent="0.25">
      <c r="B1592" s="7"/>
      <c r="C1592" s="14"/>
      <c r="D1592" s="7"/>
      <c r="E1592" s="6"/>
      <c r="F1592" s="6"/>
      <c r="G1592" s="7"/>
      <c r="H1592" s="6"/>
      <c r="I1592" s="14"/>
      <c r="K1592" s="6"/>
    </row>
    <row r="1593" spans="2:11" x14ac:dyDescent="0.25">
      <c r="B1593" s="7"/>
      <c r="C1593" s="14"/>
      <c r="D1593" s="7"/>
      <c r="E1593" s="6"/>
      <c r="F1593" s="6"/>
      <c r="G1593" s="7"/>
      <c r="H1593" s="6"/>
      <c r="I1593" s="14"/>
      <c r="K1593" s="6"/>
    </row>
    <row r="1594" spans="2:11" x14ac:dyDescent="0.25">
      <c r="B1594" s="7"/>
      <c r="C1594" s="14"/>
      <c r="D1594" s="7"/>
      <c r="E1594" s="6"/>
      <c r="F1594" s="6"/>
      <c r="G1594" s="7"/>
      <c r="H1594" s="6"/>
      <c r="I1594" s="14"/>
      <c r="K1594" s="6"/>
    </row>
    <row r="1595" spans="2:11" x14ac:dyDescent="0.25">
      <c r="B1595" s="7"/>
      <c r="C1595" s="14"/>
      <c r="D1595" s="7"/>
      <c r="E1595" s="6"/>
      <c r="F1595" s="6"/>
      <c r="G1595" s="7"/>
      <c r="H1595" s="6"/>
      <c r="I1595" s="14"/>
      <c r="K1595" s="6"/>
    </row>
    <row r="1596" spans="2:11" x14ac:dyDescent="0.25">
      <c r="B1596" s="7"/>
      <c r="C1596" s="14"/>
      <c r="D1596" s="7"/>
      <c r="E1596" s="6"/>
      <c r="F1596" s="6"/>
      <c r="G1596" s="7"/>
      <c r="H1596" s="6"/>
      <c r="I1596" s="14"/>
      <c r="K1596" s="6"/>
    </row>
    <row r="1597" spans="2:11" x14ac:dyDescent="0.25">
      <c r="B1597" s="7"/>
      <c r="C1597" s="14"/>
      <c r="D1597" s="7"/>
      <c r="E1597" s="6"/>
      <c r="F1597" s="6"/>
      <c r="G1597" s="7"/>
      <c r="H1597" s="6"/>
      <c r="I1597" s="14"/>
      <c r="K1597" s="6"/>
    </row>
    <row r="1598" spans="2:11" x14ac:dyDescent="0.25">
      <c r="B1598" s="7"/>
      <c r="C1598" s="14"/>
      <c r="D1598" s="7"/>
      <c r="E1598" s="6"/>
      <c r="F1598" s="6"/>
      <c r="G1598" s="7"/>
      <c r="H1598" s="6"/>
      <c r="I1598" s="14"/>
      <c r="K1598" s="6"/>
    </row>
    <row r="1599" spans="2:11" x14ac:dyDescent="0.25">
      <c r="B1599" s="7"/>
      <c r="C1599" s="14"/>
      <c r="D1599" s="7"/>
      <c r="E1599" s="6"/>
      <c r="F1599" s="6"/>
      <c r="G1599" s="7"/>
      <c r="H1599" s="6"/>
      <c r="I1599" s="14"/>
      <c r="K1599" s="6"/>
    </row>
    <row r="1600" spans="2:11" x14ac:dyDescent="0.25">
      <c r="B1600" s="7"/>
      <c r="C1600" s="14"/>
      <c r="D1600" s="7"/>
      <c r="E1600" s="6"/>
      <c r="F1600" s="6"/>
      <c r="G1600" s="7"/>
      <c r="H1600" s="6"/>
      <c r="I1600" s="14"/>
      <c r="K1600" s="6"/>
    </row>
    <row r="1601" spans="2:11" x14ac:dyDescent="0.25">
      <c r="B1601" s="7"/>
      <c r="C1601" s="14"/>
      <c r="D1601" s="7"/>
      <c r="E1601" s="6"/>
      <c r="F1601" s="6"/>
      <c r="G1601" s="7"/>
      <c r="H1601" s="6"/>
      <c r="I1601" s="14"/>
      <c r="K1601" s="6"/>
    </row>
    <row r="1602" spans="2:11" x14ac:dyDescent="0.25">
      <c r="B1602" s="7"/>
      <c r="C1602" s="14"/>
      <c r="D1602" s="7"/>
      <c r="E1602" s="6"/>
      <c r="F1602" s="6"/>
      <c r="G1602" s="7"/>
      <c r="H1602" s="6"/>
      <c r="I1602" s="14"/>
      <c r="K1602" s="6"/>
    </row>
    <row r="1603" spans="2:11" x14ac:dyDescent="0.25">
      <c r="B1603" s="7"/>
      <c r="C1603" s="14"/>
      <c r="D1603" s="7"/>
      <c r="E1603" s="6"/>
      <c r="F1603" s="6"/>
      <c r="G1603" s="7"/>
      <c r="H1603" s="6"/>
      <c r="I1603" s="14"/>
      <c r="K1603" s="6"/>
    </row>
    <row r="1604" spans="2:11" x14ac:dyDescent="0.25">
      <c r="B1604" s="7"/>
      <c r="C1604" s="14"/>
      <c r="D1604" s="7"/>
      <c r="E1604" s="6"/>
      <c r="F1604" s="6"/>
      <c r="G1604" s="7"/>
      <c r="H1604" s="6"/>
      <c r="I1604" s="14"/>
      <c r="K1604" s="6"/>
    </row>
    <row r="1605" spans="2:11" x14ac:dyDescent="0.25">
      <c r="B1605" s="7"/>
      <c r="C1605" s="14"/>
      <c r="D1605" s="7"/>
      <c r="E1605" s="6"/>
      <c r="F1605" s="6"/>
      <c r="G1605" s="7"/>
      <c r="H1605" s="6"/>
      <c r="I1605" s="14"/>
      <c r="K1605" s="6"/>
    </row>
    <row r="1606" spans="2:11" x14ac:dyDescent="0.25">
      <c r="B1606" s="7"/>
      <c r="C1606" s="14"/>
      <c r="D1606" s="7"/>
      <c r="E1606" s="6"/>
      <c r="F1606" s="6"/>
      <c r="G1606" s="7"/>
      <c r="H1606" s="6"/>
      <c r="I1606" s="14"/>
      <c r="K1606" s="6"/>
    </row>
    <row r="1607" spans="2:11" x14ac:dyDescent="0.25">
      <c r="B1607" s="7"/>
      <c r="C1607" s="14"/>
      <c r="D1607" s="7"/>
      <c r="E1607" s="6"/>
      <c r="F1607" s="6"/>
      <c r="G1607" s="7"/>
      <c r="H1607" s="6"/>
      <c r="I1607" s="14"/>
      <c r="K1607" s="6"/>
    </row>
    <row r="1608" spans="2:11" x14ac:dyDescent="0.25">
      <c r="B1608" s="7"/>
      <c r="C1608" s="14"/>
      <c r="D1608" s="7"/>
      <c r="E1608" s="6"/>
      <c r="F1608" s="6"/>
      <c r="G1608" s="7"/>
      <c r="H1608" s="6"/>
      <c r="I1608" s="14"/>
      <c r="K1608" s="6"/>
    </row>
    <row r="1609" spans="2:11" x14ac:dyDescent="0.25">
      <c r="B1609" s="7"/>
      <c r="C1609" s="14"/>
      <c r="D1609" s="7"/>
      <c r="E1609" s="6"/>
      <c r="F1609" s="6"/>
      <c r="G1609" s="7"/>
      <c r="H1609" s="6"/>
      <c r="I1609" s="14"/>
      <c r="K1609" s="6"/>
    </row>
    <row r="1610" spans="2:11" x14ac:dyDescent="0.25">
      <c r="B1610" s="7"/>
      <c r="C1610" s="14"/>
      <c r="D1610" s="7"/>
      <c r="E1610" s="6"/>
      <c r="F1610" s="6"/>
      <c r="G1610" s="7"/>
      <c r="H1610" s="6"/>
      <c r="I1610" s="14"/>
      <c r="K1610" s="6"/>
    </row>
    <row r="1611" spans="2:11" x14ac:dyDescent="0.25">
      <c r="B1611" s="7"/>
      <c r="C1611" s="14"/>
      <c r="D1611" s="7"/>
      <c r="E1611" s="6"/>
      <c r="F1611" s="6"/>
      <c r="G1611" s="7"/>
      <c r="H1611" s="6"/>
      <c r="I1611" s="14"/>
      <c r="K1611" s="6"/>
    </row>
    <row r="1612" spans="2:11" x14ac:dyDescent="0.25">
      <c r="B1612" s="7"/>
      <c r="C1612" s="14"/>
      <c r="D1612" s="7"/>
      <c r="E1612" s="6"/>
      <c r="F1612" s="6"/>
      <c r="G1612" s="7"/>
      <c r="H1612" s="6"/>
      <c r="I1612" s="14"/>
      <c r="K1612" s="6"/>
    </row>
    <row r="1613" spans="2:11" x14ac:dyDescent="0.25">
      <c r="B1613" s="7"/>
      <c r="C1613" s="14"/>
      <c r="D1613" s="7"/>
      <c r="E1613" s="6"/>
      <c r="F1613" s="6"/>
      <c r="G1613" s="7"/>
      <c r="H1613" s="6"/>
      <c r="I1613" s="14"/>
      <c r="K1613" s="6"/>
    </row>
    <row r="1614" spans="2:11" x14ac:dyDescent="0.25">
      <c r="B1614" s="7"/>
      <c r="C1614" s="14"/>
      <c r="D1614" s="7"/>
      <c r="E1614" s="6"/>
      <c r="F1614" s="6"/>
      <c r="G1614" s="7"/>
      <c r="H1614" s="6"/>
      <c r="I1614" s="14"/>
      <c r="K1614" s="6"/>
    </row>
    <row r="1615" spans="2:11" x14ac:dyDescent="0.25">
      <c r="B1615" s="7"/>
      <c r="C1615" s="14"/>
      <c r="D1615" s="7"/>
      <c r="E1615" s="6"/>
      <c r="F1615" s="6"/>
      <c r="G1615" s="7"/>
      <c r="H1615" s="6"/>
      <c r="I1615" s="14"/>
      <c r="K1615" s="6"/>
    </row>
    <row r="1616" spans="2:11" x14ac:dyDescent="0.25">
      <c r="B1616" s="7"/>
      <c r="C1616" s="14"/>
      <c r="D1616" s="7"/>
      <c r="E1616" s="6"/>
      <c r="F1616" s="6"/>
      <c r="G1616" s="7"/>
      <c r="H1616" s="6"/>
      <c r="I1616" s="14"/>
      <c r="K1616" s="6"/>
    </row>
    <row r="1617" spans="2:11" x14ac:dyDescent="0.25">
      <c r="B1617" s="7"/>
      <c r="C1617" s="14"/>
      <c r="D1617" s="7"/>
      <c r="E1617" s="6"/>
      <c r="F1617" s="6"/>
      <c r="G1617" s="7"/>
      <c r="H1617" s="6"/>
      <c r="I1617" s="14"/>
      <c r="K1617" s="6"/>
    </row>
    <row r="1618" spans="2:11" x14ac:dyDescent="0.25">
      <c r="B1618" s="7"/>
      <c r="C1618" s="14"/>
      <c r="D1618" s="7"/>
      <c r="E1618" s="6"/>
      <c r="F1618" s="6"/>
      <c r="G1618" s="7"/>
      <c r="H1618" s="6"/>
      <c r="I1618" s="14"/>
      <c r="K1618" s="6"/>
    </row>
    <row r="1619" spans="2:11" x14ac:dyDescent="0.25">
      <c r="B1619" s="7"/>
      <c r="C1619" s="14"/>
      <c r="D1619" s="7"/>
      <c r="E1619" s="6"/>
      <c r="F1619" s="6"/>
      <c r="G1619" s="7"/>
      <c r="H1619" s="6"/>
      <c r="I1619" s="14"/>
      <c r="K1619" s="6"/>
    </row>
    <row r="1620" spans="2:11" x14ac:dyDescent="0.25">
      <c r="B1620" s="7"/>
      <c r="C1620" s="14"/>
      <c r="D1620" s="7"/>
      <c r="E1620" s="6"/>
      <c r="F1620" s="6"/>
      <c r="G1620" s="7"/>
      <c r="H1620" s="6"/>
      <c r="I1620" s="14"/>
      <c r="K1620" s="6"/>
    </row>
    <row r="1621" spans="2:11" x14ac:dyDescent="0.25">
      <c r="B1621" s="7"/>
      <c r="C1621" s="14"/>
      <c r="D1621" s="7"/>
      <c r="E1621" s="6"/>
      <c r="F1621" s="6"/>
      <c r="G1621" s="7"/>
      <c r="H1621" s="6"/>
      <c r="I1621" s="14"/>
      <c r="K1621" s="6"/>
    </row>
    <row r="1622" spans="2:11" x14ac:dyDescent="0.25">
      <c r="B1622" s="7"/>
      <c r="C1622" s="14"/>
      <c r="D1622" s="7"/>
      <c r="E1622" s="6"/>
      <c r="F1622" s="6"/>
      <c r="G1622" s="7"/>
      <c r="H1622" s="6"/>
      <c r="I1622" s="14"/>
      <c r="K1622" s="6"/>
    </row>
    <row r="1623" spans="2:11" x14ac:dyDescent="0.25">
      <c r="B1623" s="7"/>
      <c r="C1623" s="14"/>
      <c r="D1623" s="7"/>
      <c r="E1623" s="6"/>
      <c r="F1623" s="6"/>
      <c r="G1623" s="7"/>
      <c r="H1623" s="6"/>
      <c r="I1623" s="14"/>
      <c r="K1623" s="6"/>
    </row>
    <row r="1624" spans="2:11" x14ac:dyDescent="0.25">
      <c r="B1624" s="7"/>
      <c r="C1624" s="14"/>
      <c r="D1624" s="7"/>
      <c r="E1624" s="6"/>
      <c r="F1624" s="6"/>
      <c r="G1624" s="7"/>
      <c r="H1624" s="6"/>
      <c r="I1624" s="14"/>
      <c r="K1624" s="6"/>
    </row>
    <row r="1625" spans="2:11" x14ac:dyDescent="0.25">
      <c r="B1625" s="7"/>
      <c r="C1625" s="14"/>
      <c r="D1625" s="7"/>
      <c r="E1625" s="6"/>
      <c r="F1625" s="6"/>
      <c r="G1625" s="7"/>
      <c r="H1625" s="6"/>
      <c r="I1625" s="14"/>
      <c r="K1625" s="6"/>
    </row>
    <row r="1626" spans="2:11" x14ac:dyDescent="0.25">
      <c r="B1626" s="7"/>
      <c r="C1626" s="14"/>
      <c r="D1626" s="7"/>
      <c r="E1626" s="6"/>
      <c r="F1626" s="6"/>
      <c r="G1626" s="7"/>
      <c r="H1626" s="6"/>
      <c r="I1626" s="14"/>
      <c r="K1626" s="6"/>
    </row>
    <row r="1627" spans="2:11" x14ac:dyDescent="0.25">
      <c r="B1627" s="7"/>
      <c r="C1627" s="14"/>
      <c r="D1627" s="7"/>
      <c r="E1627" s="6"/>
      <c r="F1627" s="6"/>
      <c r="G1627" s="7"/>
      <c r="H1627" s="6"/>
      <c r="I1627" s="14"/>
      <c r="K1627" s="6"/>
    </row>
    <row r="62163" spans="3:3" x14ac:dyDescent="0.25">
      <c r="C62163" s="10"/>
    </row>
    <row r="62164" spans="3:3" x14ac:dyDescent="0.25">
      <c r="C62164" s="10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2017-12-18T09:53:41Z</dcterms:created>
  <dcterms:modified xsi:type="dcterms:W3CDTF">2017-12-18T13:56:40Z</dcterms:modified>
</cp:coreProperties>
</file>