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esktop\日常\"/>
    </mc:Choice>
  </mc:AlternateContent>
  <xr:revisionPtr revIDLastSave="0" documentId="8_{CAE8CD43-FF15-44C5-8159-D89B9AF889B1}" xr6:coauthVersionLast="45" xr6:coauthVersionMax="45" xr10:uidLastSave="{00000000-0000-0000-0000-000000000000}"/>
  <bookViews>
    <workbookView xWindow="-96" yWindow="-96" windowWidth="23232" windowHeight="12552" tabRatio="784" xr2:uid="{00000000-000D-0000-FFFF-FFFF00000000}"/>
  </bookViews>
  <sheets>
    <sheet name="摘要" sheetId="2" r:id="rId1"/>
    <sheet name="通信录" sheetId="20" r:id="rId2"/>
    <sheet name="卫生标准" sheetId="19" r:id="rId3"/>
    <sheet name="值日安排" sheetId="18" r:id="rId4"/>
    <sheet name="寝室收入" sheetId="17" r:id="rId5"/>
    <sheet name="1 月" sheetId="3" r:id="rId6"/>
    <sheet name="2 月" sheetId="4" r:id="rId7"/>
    <sheet name="3 月" sheetId="5" r:id="rId8"/>
    <sheet name="4 月" sheetId="6" r:id="rId9"/>
    <sheet name="5 月" sheetId="7" r:id="rId10"/>
    <sheet name="6 月" sheetId="8" r:id="rId11"/>
    <sheet name="7 月" sheetId="9" r:id="rId12"/>
    <sheet name="8 月" sheetId="10" r:id="rId13"/>
    <sheet name="9 月" sheetId="11" r:id="rId14"/>
    <sheet name="10 月" sheetId="12" r:id="rId15"/>
    <sheet name="11 月" sheetId="13" r:id="rId16"/>
    <sheet name="12 月" sheetId="14" r:id="rId17"/>
  </sheets>
  <definedNames>
    <definedName name="_xlnm._FilterDatabase" localSheetId="3" hidden="1">值日安排!$A$1:$F$41</definedName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ExpDec[[#Headers],[日期]]</definedName>
    <definedName name="ColumnTitle2">支出摘要[[#Headers],[支出]]</definedName>
    <definedName name="ColumnTitle3">ExpJan[[#Headers],[日期]]</definedName>
    <definedName name="ColumnTitle4">ExpFeb[[#Headers],[日期]]</definedName>
    <definedName name="ColumnTitle5">ExpMar[[#Headers],[日期]]</definedName>
    <definedName name="ColumnTitle6">ExpApr[[#Headers],[日期]]</definedName>
    <definedName name="ColumnTitle7">ExpMay[[#Headers],[日期]]</definedName>
    <definedName name="ColumnTitle8">ExpJun[[#Headers],[日期]]</definedName>
    <definedName name="ColumnTitle9">ExpJul[[#Headers],[日期]]</definedName>
    <definedName name="ExpenseCategories">支出摘要[支出]</definedName>
    <definedName name="_xlnm.Print_Titles" localSheetId="5">'1 月'!$2:$2</definedName>
    <definedName name="_xlnm.Print_Titles" localSheetId="14">'10 月'!$2:$2</definedName>
    <definedName name="_xlnm.Print_Titles" localSheetId="15">'11 月'!$2:$2</definedName>
    <definedName name="_xlnm.Print_Titles" localSheetId="16">'12 月'!$2:$2</definedName>
    <definedName name="_xlnm.Print_Titles" localSheetId="6">'2 月'!$2:$2</definedName>
    <definedName name="_xlnm.Print_Titles" localSheetId="7">'3 月'!$2:$2</definedName>
    <definedName name="_xlnm.Print_Titles" localSheetId="8">'4 月'!$2:$2</definedName>
    <definedName name="_xlnm.Print_Titles" localSheetId="9">'5 月'!$2:$2</definedName>
    <definedName name="_xlnm.Print_Titles" localSheetId="10">'6 月'!$2:$2</definedName>
    <definedName name="_xlnm.Print_Titles" localSheetId="11">'7 月'!$2:$2</definedName>
    <definedName name="_xlnm.Print_Titles" localSheetId="12">'8 月'!$2:$2</definedName>
    <definedName name="_xlnm.Print_Titles" localSheetId="13">'9 月'!$2:$2</definedName>
    <definedName name="_xlnm.Print_Titles" localSheetId="0">摘要!$4:$4</definedName>
  </definedNames>
  <calcPr calcId="181029"/>
</workbook>
</file>

<file path=xl/calcChain.xml><?xml version="1.0" encoding="utf-8"?>
<calcChain xmlns="http://schemas.openxmlformats.org/spreadsheetml/2006/main">
  <c r="B9" i="7" l="1"/>
  <c r="A5" i="7"/>
  <c r="A4" i="7"/>
  <c r="A3" i="7"/>
  <c r="B9" i="6" l="1"/>
  <c r="B9" i="5"/>
  <c r="B9" i="4"/>
  <c r="B9" i="3"/>
  <c r="A3" i="6" l="1"/>
  <c r="A7" i="5"/>
  <c r="A6" i="5"/>
  <c r="A5" i="5" l="1"/>
  <c r="A4" i="5"/>
  <c r="I1" i="19" l="1"/>
  <c r="I12" i="19"/>
  <c r="A3" i="5" l="1"/>
  <c r="A3" i="4"/>
  <c r="A6" i="3"/>
  <c r="A5" i="3"/>
  <c r="J16" i="2" l="1"/>
  <c r="C22" i="18" l="1"/>
  <c r="C2" i="18"/>
  <c r="A23" i="18"/>
  <c r="A24" i="18" s="1"/>
  <c r="C24" i="18" s="1"/>
  <c r="B22" i="18"/>
  <c r="B2" i="18"/>
  <c r="A3" i="18"/>
  <c r="B3" i="18" s="1"/>
  <c r="C3" i="18" l="1"/>
  <c r="C23" i="18"/>
  <c r="B23" i="18"/>
  <c r="B24" i="18"/>
  <c r="A25" i="18"/>
  <c r="C25" i="18" s="1"/>
  <c r="A4" i="18"/>
  <c r="C4" i="18" s="1"/>
  <c r="A4" i="3"/>
  <c r="A3" i="3"/>
  <c r="B4" i="18" l="1"/>
  <c r="A5" i="18"/>
  <c r="C5" i="18" s="1"/>
  <c r="A26" i="18"/>
  <c r="C26" i="18" s="1"/>
  <c r="B25" i="18"/>
  <c r="I5" i="2"/>
  <c r="I6" i="2"/>
  <c r="I7" i="2"/>
  <c r="I8" i="2"/>
  <c r="I9" i="2"/>
  <c r="H5" i="2"/>
  <c r="H6" i="2"/>
  <c r="H7" i="2"/>
  <c r="H8" i="2"/>
  <c r="H9" i="2"/>
  <c r="G5" i="2"/>
  <c r="G6" i="2"/>
  <c r="G7" i="2"/>
  <c r="G8" i="2"/>
  <c r="G9" i="2"/>
  <c r="F5" i="2"/>
  <c r="F6" i="2"/>
  <c r="F7" i="2"/>
  <c r="F8" i="2"/>
  <c r="F9" i="2"/>
  <c r="E5" i="2"/>
  <c r="E6" i="2"/>
  <c r="E7" i="2"/>
  <c r="E8" i="2"/>
  <c r="E9" i="2"/>
  <c r="D5" i="2"/>
  <c r="D6" i="2"/>
  <c r="D7" i="2"/>
  <c r="D8" i="2"/>
  <c r="D9" i="2"/>
  <c r="C5" i="2"/>
  <c r="C6" i="2"/>
  <c r="C7" i="2"/>
  <c r="C8" i="2"/>
  <c r="C9" i="2"/>
  <c r="B5" i="2"/>
  <c r="B6" i="2"/>
  <c r="B7" i="2"/>
  <c r="B8" i="2"/>
  <c r="B9" i="2"/>
  <c r="F10" i="2" l="1"/>
  <c r="C10" i="2"/>
  <c r="G10" i="2"/>
  <c r="D10" i="2"/>
  <c r="H10" i="2"/>
  <c r="E10" i="2"/>
  <c r="I10" i="2"/>
  <c r="B10" i="2"/>
  <c r="A27" i="18"/>
  <c r="C27" i="18" s="1"/>
  <c r="B26" i="18"/>
  <c r="A6" i="18"/>
  <c r="C6" i="18" s="1"/>
  <c r="B5" i="18"/>
  <c r="M6" i="2"/>
  <c r="M7" i="2"/>
  <c r="M8" i="2"/>
  <c r="M9" i="2"/>
  <c r="M5" i="2"/>
  <c r="L6" i="2"/>
  <c r="L7" i="2"/>
  <c r="L8" i="2"/>
  <c r="L9" i="2"/>
  <c r="L5" i="2"/>
  <c r="K6" i="2"/>
  <c r="K7" i="2"/>
  <c r="K8" i="2"/>
  <c r="K9" i="2"/>
  <c r="K5" i="2"/>
  <c r="J6" i="2"/>
  <c r="J7" i="2"/>
  <c r="J8" i="2"/>
  <c r="J9" i="2"/>
  <c r="J5" i="2"/>
  <c r="A2" i="17"/>
  <c r="J13" i="2" s="1"/>
  <c r="A4" i="10"/>
  <c r="A3" i="10"/>
  <c r="A3" i="9"/>
  <c r="A4" i="8"/>
  <c r="A3" i="8"/>
  <c r="A6" i="14"/>
  <c r="A5" i="14"/>
  <c r="A4" i="14"/>
  <c r="A3" i="14"/>
  <c r="A7" i="13"/>
  <c r="A6" i="13"/>
  <c r="A5" i="13"/>
  <c r="A4" i="13"/>
  <c r="A3" i="13"/>
  <c r="A5" i="12"/>
  <c r="A4" i="12"/>
  <c r="A3" i="12"/>
  <c r="A8" i="11"/>
  <c r="A7" i="11"/>
  <c r="A4" i="11"/>
  <c r="A5" i="11"/>
  <c r="A6" i="11"/>
  <c r="A3" i="11"/>
  <c r="A4" i="9"/>
  <c r="A7" i="18" l="1"/>
  <c r="C7" i="18" s="1"/>
  <c r="B6" i="18"/>
  <c r="A28" i="18"/>
  <c r="C28" i="18" s="1"/>
  <c r="B27" i="18"/>
  <c r="G13" i="2"/>
  <c r="E13" i="2"/>
  <c r="F13" i="2"/>
  <c r="L13" i="2"/>
  <c r="B13" i="2"/>
  <c r="D13" i="2"/>
  <c r="H13" i="2"/>
  <c r="I13" i="2"/>
  <c r="C13" i="2"/>
  <c r="M13" i="2"/>
  <c r="K13" i="2"/>
  <c r="M10" i="2"/>
  <c r="B9" i="14"/>
  <c r="A29" i="18" l="1"/>
  <c r="C29" i="18" s="1"/>
  <c r="B28" i="18"/>
  <c r="A8" i="18"/>
  <c r="C8" i="18" s="1"/>
  <c r="B7" i="18"/>
  <c r="K10" i="2"/>
  <c r="L10" i="2"/>
  <c r="A9" i="18" l="1"/>
  <c r="C9" i="18" s="1"/>
  <c r="B8" i="18"/>
  <c r="A30" i="18"/>
  <c r="C30" i="18" s="1"/>
  <c r="B29" i="18"/>
  <c r="N13" i="2"/>
  <c r="N5" i="2"/>
  <c r="N6" i="2"/>
  <c r="N7" i="2"/>
  <c r="N8" i="2"/>
  <c r="N9" i="2"/>
  <c r="A31" i="18" l="1"/>
  <c r="C31" i="18" s="1"/>
  <c r="B30" i="18"/>
  <c r="A10" i="18"/>
  <c r="C10" i="18" s="1"/>
  <c r="B9" i="18"/>
  <c r="N10" i="2"/>
  <c r="N16" i="2" s="1"/>
  <c r="A11" i="18" l="1"/>
  <c r="C11" i="18" s="1"/>
  <c r="B10" i="18"/>
  <c r="A32" i="18"/>
  <c r="C32" i="18" s="1"/>
  <c r="B31" i="18"/>
  <c r="A33" i="18" l="1"/>
  <c r="C33" i="18" s="1"/>
  <c r="B32" i="18"/>
  <c r="A12" i="18"/>
  <c r="C12" i="18" s="1"/>
  <c r="B11" i="18"/>
  <c r="B9" i="13"/>
  <c r="B9" i="12"/>
  <c r="B9" i="11"/>
  <c r="B9" i="10"/>
  <c r="A13" i="18" l="1"/>
  <c r="C13" i="18" s="1"/>
  <c r="B12" i="18"/>
  <c r="A34" i="18"/>
  <c r="C34" i="18" s="1"/>
  <c r="B33" i="18"/>
  <c r="A35" i="18" l="1"/>
  <c r="C35" i="18" s="1"/>
  <c r="B34" i="18"/>
  <c r="A14" i="18"/>
  <c r="C14" i="18" s="1"/>
  <c r="B13" i="18"/>
  <c r="A15" i="18" l="1"/>
  <c r="C15" i="18" s="1"/>
  <c r="B14" i="18"/>
  <c r="A36" i="18"/>
  <c r="C36" i="18" s="1"/>
  <c r="B35" i="18"/>
  <c r="A37" i="18" l="1"/>
  <c r="C37" i="18" s="1"/>
  <c r="B36" i="18"/>
  <c r="A16" i="18"/>
  <c r="C16" i="18" s="1"/>
  <c r="B15" i="18"/>
  <c r="A17" i="18" l="1"/>
  <c r="C17" i="18" s="1"/>
  <c r="B16" i="18"/>
  <c r="A38" i="18"/>
  <c r="C38" i="18" s="1"/>
  <c r="B37" i="18"/>
  <c r="A39" i="18" l="1"/>
  <c r="C39" i="18" s="1"/>
  <c r="B38" i="18"/>
  <c r="A18" i="18"/>
  <c r="C18" i="18" s="1"/>
  <c r="B17" i="18"/>
  <c r="A19" i="18" l="1"/>
  <c r="B18" i="18"/>
  <c r="A40" i="18"/>
  <c r="C40" i="18" s="1"/>
  <c r="B39" i="18"/>
  <c r="A41" i="18" l="1"/>
  <c r="B40" i="18"/>
  <c r="A20" i="18"/>
  <c r="C20" i="18" s="1"/>
  <c r="B19" i="18"/>
  <c r="C19" i="18" s="1"/>
  <c r="B41" i="18" l="1"/>
  <c r="C41" i="18"/>
  <c r="A21" i="18"/>
  <c r="B20" i="18"/>
  <c r="B21" i="18" l="1"/>
  <c r="C21" i="18"/>
  <c r="B1" i="19" s="1"/>
  <c r="F12" i="19" l="1"/>
  <c r="F1" i="19"/>
  <c r="B12" i="19"/>
  <c r="D1" i="19"/>
  <c r="D12" i="19"/>
  <c r="E15" i="2"/>
  <c r="G15" i="2"/>
  <c r="I15" i="2"/>
</calcChain>
</file>

<file path=xl/sharedStrings.xml><?xml version="1.0" encoding="utf-8"?>
<sst xmlns="http://schemas.openxmlformats.org/spreadsheetml/2006/main" count="399" uniqueCount="157">
  <si>
    <t>支出</t>
  </si>
  <si>
    <t>支出 1</t>
  </si>
  <si>
    <t>支出 2</t>
  </si>
  <si>
    <t>支出 3</t>
  </si>
  <si>
    <t>支出 4</t>
  </si>
  <si>
    <t>支出 5</t>
  </si>
  <si>
    <t>总计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</si>
  <si>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</si>
  <si>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</si>
  <si>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</si>
  <si>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</si>
  <si>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</si>
  <si>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</si>
  <si>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</si>
  <si>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</si>
  <si>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</si>
  <si>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</si>
  <si>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</si>
  <si>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</si>
  <si>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提示</t>
  </si>
  <si>
    <t>趋势</t>
  </si>
  <si>
    <t>1 月支出</t>
  </si>
  <si>
    <t>日期</t>
  </si>
  <si>
    <t>金额</t>
  </si>
  <si>
    <t>摘要</t>
  </si>
  <si>
    <t>类别</t>
  </si>
  <si>
    <t>描述</t>
  </si>
  <si>
    <t>补给</t>
  </si>
  <si>
    <t>2 月支出</t>
  </si>
  <si>
    <t>3 月支出</t>
  </si>
  <si>
    <t>4 月支出</t>
  </si>
  <si>
    <t>5 月支出</t>
  </si>
  <si>
    <t>6 月支出</t>
  </si>
  <si>
    <t>7 月支出</t>
  </si>
  <si>
    <t>8 月支出</t>
  </si>
  <si>
    <t>10 月支出</t>
  </si>
  <si>
    <t>11 月支出</t>
  </si>
  <si>
    <t>12 月支出</t>
  </si>
  <si>
    <t>汇总</t>
  </si>
  <si>
    <t>支出 1</t>
    <phoneticPr fontId="9" type="noConversion"/>
  </si>
  <si>
    <t>摘要</t>
    <phoneticPr fontId="9" type="noConversion"/>
  </si>
  <si>
    <t>提示</t>
    <phoneticPr fontId="9" type="noConversion"/>
  </si>
  <si>
    <t>1 月</t>
    <phoneticPr fontId="9" type="noConversion"/>
  </si>
  <si>
    <t>2 月</t>
    <phoneticPr fontId="9" type="noConversion"/>
  </si>
  <si>
    <t>3 月</t>
    <phoneticPr fontId="9" type="noConversion"/>
  </si>
  <si>
    <t>4 月</t>
    <phoneticPr fontId="9" type="noConversion"/>
  </si>
  <si>
    <t>5 月</t>
    <phoneticPr fontId="9" type="noConversion"/>
  </si>
  <si>
    <t>6 月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</si>
  <si>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</si>
  <si>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</si>
  <si>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</si>
  <si>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</si>
  <si>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</si>
  <si>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</si>
  <si>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</si>
  <si>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洗衣机</t>
    <phoneticPr fontId="9" type="noConversion"/>
  </si>
  <si>
    <t>水长城水30瓶</t>
    <phoneticPr fontId="9" type="noConversion"/>
  </si>
  <si>
    <t>汇源水12瓶</t>
    <phoneticPr fontId="9" type="noConversion"/>
  </si>
  <si>
    <t>插座</t>
    <phoneticPr fontId="9" type="noConversion"/>
  </si>
  <si>
    <t>支出趋势</t>
    <phoneticPr fontId="9" type="noConversion"/>
  </si>
  <si>
    <t>9 月支出</t>
    <phoneticPr fontId="9" type="noConversion"/>
  </si>
  <si>
    <t>维达抽纸12包</t>
    <phoneticPr fontId="9" type="noConversion"/>
  </si>
  <si>
    <t>寝室电费</t>
    <phoneticPr fontId="9" type="noConversion"/>
  </si>
  <si>
    <t>电器</t>
  </si>
  <si>
    <t>电器</t>
    <phoneticPr fontId="9" type="noConversion"/>
  </si>
  <si>
    <t>水</t>
  </si>
  <si>
    <t>水</t>
    <phoneticPr fontId="9" type="noConversion"/>
  </si>
  <si>
    <t>水</t>
    <phoneticPr fontId="9" type="noConversion"/>
  </si>
  <si>
    <t>电费</t>
  </si>
  <si>
    <t>电费</t>
    <phoneticPr fontId="9" type="noConversion"/>
  </si>
  <si>
    <t>生活用品</t>
  </si>
  <si>
    <t>生活用品</t>
    <phoneticPr fontId="9" type="noConversion"/>
  </si>
  <si>
    <t>洗手液</t>
    <phoneticPr fontId="9" type="noConversion"/>
  </si>
  <si>
    <t>刷子</t>
    <phoneticPr fontId="9" type="noConversion"/>
  </si>
  <si>
    <t>493.65</t>
  </si>
  <si>
    <t>副室长胡平交了50元电费</t>
    <phoneticPr fontId="9" type="noConversion"/>
  </si>
  <si>
    <t>水长城30桶</t>
    <phoneticPr fontId="9" type="noConversion"/>
  </si>
  <si>
    <t>收入</t>
    <phoneticPr fontId="9" type="noConversion"/>
  </si>
  <si>
    <t>列1</t>
  </si>
  <si>
    <t>寝室费</t>
    <phoneticPr fontId="9" type="noConversion"/>
  </si>
  <si>
    <t>维达抽纸48包，150抽M号</t>
    <phoneticPr fontId="9" type="noConversion"/>
  </si>
  <si>
    <t>洁厕灵</t>
    <phoneticPr fontId="9" type="noConversion"/>
  </si>
  <si>
    <t>刘勇超市买了一桶水</t>
    <phoneticPr fontId="9" type="noConversion"/>
  </si>
  <si>
    <t>一小桶水（刘勇买）</t>
    <phoneticPr fontId="9" type="noConversion"/>
  </si>
  <si>
    <t>张三星充值</t>
    <phoneticPr fontId="9" type="noConversion"/>
  </si>
  <si>
    <t>小桶水（刘勇买）</t>
    <phoneticPr fontId="9" type="noConversion"/>
  </si>
  <si>
    <t>20桶水长城</t>
    <phoneticPr fontId="9" type="noConversion"/>
  </si>
  <si>
    <t>当前节余</t>
    <phoneticPr fontId="9" type="noConversion"/>
  </si>
  <si>
    <t>日期</t>
    <phoneticPr fontId="14" type="noConversion"/>
  </si>
  <si>
    <t>收入金额</t>
    <phoneticPr fontId="14" type="noConversion"/>
  </si>
  <si>
    <t>树叶刷</t>
    <phoneticPr fontId="9" type="noConversion"/>
  </si>
  <si>
    <t>防水手套</t>
    <phoneticPr fontId="9" type="noConversion"/>
  </si>
  <si>
    <t>厕洁帮洁</t>
    <phoneticPr fontId="9" type="noConversion"/>
  </si>
  <si>
    <t>第x教学周</t>
    <phoneticPr fontId="14" type="noConversion"/>
  </si>
  <si>
    <t>寝室号</t>
    <phoneticPr fontId="14" type="noConversion"/>
  </si>
  <si>
    <t>寝室成员</t>
    <phoneticPr fontId="14" type="noConversion"/>
  </si>
  <si>
    <t>周行 张三星</t>
    <phoneticPr fontId="14" type="noConversion"/>
  </si>
  <si>
    <t>开始日期</t>
    <phoneticPr fontId="14" type="noConversion"/>
  </si>
  <si>
    <t>结束日期</t>
    <phoneticPr fontId="14" type="noConversion"/>
  </si>
  <si>
    <t>胡平 邱柏瑜</t>
    <phoneticPr fontId="14" type="noConversion"/>
  </si>
  <si>
    <t>单亚东 杨嘉棋</t>
    <phoneticPr fontId="14" type="noConversion"/>
  </si>
  <si>
    <t>高伟 宫宇琦</t>
    <phoneticPr fontId="14" type="noConversion"/>
  </si>
  <si>
    <t>张腾 魏君轩</t>
    <phoneticPr fontId="14" type="noConversion"/>
  </si>
  <si>
    <t>张哲 朱广明</t>
    <phoneticPr fontId="14" type="noConversion"/>
  </si>
  <si>
    <t>张江永 刘勇</t>
    <phoneticPr fontId="14" type="noConversion"/>
  </si>
  <si>
    <t>一年中的第x周</t>
    <phoneticPr fontId="14" type="noConversion"/>
  </si>
  <si>
    <t>本周是第</t>
    <phoneticPr fontId="14" type="noConversion"/>
  </si>
  <si>
    <t>值日。</t>
    <phoneticPr fontId="14" type="noConversion"/>
  </si>
  <si>
    <t>今天</t>
    <phoneticPr fontId="14" type="noConversion"/>
  </si>
  <si>
    <t>教学周，该</t>
    <phoneticPr fontId="14" type="noConversion"/>
  </si>
  <si>
    <t>号寝室的</t>
    <phoneticPr fontId="14" type="noConversion"/>
  </si>
  <si>
    <t>洗衣机</t>
    <phoneticPr fontId="9" type="noConversion"/>
  </si>
  <si>
    <t>杨嘉棋付款，已补上</t>
    <phoneticPr fontId="9" type="noConversion"/>
  </si>
  <si>
    <t>25张水长城水票</t>
    <phoneticPr fontId="9" type="noConversion"/>
  </si>
  <si>
    <t>打扫区域</t>
    <phoneticPr fontId="14" type="noConversion"/>
  </si>
  <si>
    <t>厕所</t>
    <phoneticPr fontId="14" type="noConversion"/>
  </si>
  <si>
    <t>洗漱台</t>
    <phoneticPr fontId="14" type="noConversion"/>
  </si>
  <si>
    <t>地板（包括走廊）</t>
    <phoneticPr fontId="14" type="noConversion"/>
  </si>
  <si>
    <t>浴室</t>
    <phoneticPr fontId="14" type="noConversion"/>
  </si>
  <si>
    <t>桌面</t>
    <phoneticPr fontId="14" type="noConversion"/>
  </si>
  <si>
    <t>其他</t>
    <phoneticPr fontId="14" type="noConversion"/>
  </si>
  <si>
    <t>今天是</t>
    <phoneticPr fontId="14" type="noConversion"/>
  </si>
  <si>
    <t>卫生标准</t>
    <phoneticPr fontId="14" type="noConversion"/>
  </si>
  <si>
    <t>完成请✔</t>
    <phoneticPr fontId="14" type="noConversion"/>
  </si>
  <si>
    <t>空瓶子或其他垃圾扔掉，其他要用的物品摆放整齐。台面干净，洗漱池干净无污垢，镜面干净。</t>
    <phoneticPr fontId="14" type="noConversion"/>
  </si>
  <si>
    <t>没有黄色污垢或其他污垢，地面干净，纸篓未装满，纸兜里有纸无垃圾。</t>
    <phoneticPr fontId="14" type="noConversion"/>
  </si>
  <si>
    <t>地面和墙面无黄色或其他污垢，干净。有垃圾则扔掉，有毛发则清理。</t>
    <phoneticPr fontId="14" type="noConversion"/>
  </si>
  <si>
    <t>无垃圾，干净。</t>
    <phoneticPr fontId="14" type="noConversion"/>
  </si>
  <si>
    <t>整洁干净无垃圾。</t>
    <phoneticPr fontId="14" type="noConversion"/>
  </si>
  <si>
    <t>记得倒饮水机水槽中的水，摆放一个纸箱在门口，记得倒厕所内和纸箱的垃圾。</t>
    <phoneticPr fontId="14" type="noConversion"/>
  </si>
  <si>
    <t>备注：</t>
    <phoneticPr fontId="14" type="noConversion"/>
  </si>
  <si>
    <r>
      <t>进行</t>
    </r>
    <r>
      <rPr>
        <b/>
        <sz val="22"/>
        <color theme="1"/>
        <rFont val="Microsoft YaHei UI"/>
        <family val="2"/>
        <charset val="134"/>
      </rPr>
      <t>彻底打扫</t>
    </r>
    <r>
      <rPr>
        <sz val="22"/>
        <color theme="1"/>
        <rFont val="Microsoft YaHei UI"/>
        <family val="2"/>
        <charset val="134"/>
      </rPr>
      <t>的卫生标准对照表</t>
    </r>
    <phoneticPr fontId="14" type="noConversion"/>
  </si>
  <si>
    <t>社会主义好人家聚餐</t>
    <phoneticPr fontId="9" type="noConversion"/>
  </si>
  <si>
    <t>啤酒</t>
    <phoneticPr fontId="9" type="noConversion"/>
  </si>
  <si>
    <t>送给张腾的相框</t>
    <phoneticPr fontId="9" type="noConversion"/>
  </si>
  <si>
    <t>洁厕灵和记号笔</t>
    <phoneticPr fontId="9" type="noConversion"/>
  </si>
  <si>
    <t>25桶水</t>
    <phoneticPr fontId="9" type="noConversion"/>
  </si>
  <si>
    <t>姓名</t>
    <phoneticPr fontId="14" type="noConversion"/>
  </si>
  <si>
    <t>手机号</t>
    <phoneticPr fontId="14" type="noConversion"/>
  </si>
  <si>
    <t>周行</t>
    <phoneticPr fontId="14" type="noConversion"/>
  </si>
  <si>
    <t>张三星</t>
    <phoneticPr fontId="14" type="noConversion"/>
  </si>
  <si>
    <t>单亚东</t>
    <phoneticPr fontId="14" type="noConversion"/>
  </si>
  <si>
    <t>杨嘉棋</t>
    <phoneticPr fontId="14" type="noConversion"/>
  </si>
  <si>
    <t>高伟</t>
    <phoneticPr fontId="14" type="noConversion"/>
  </si>
  <si>
    <t>宫宇琦</t>
    <phoneticPr fontId="14" type="noConversion"/>
  </si>
  <si>
    <t>张腾</t>
  </si>
  <si>
    <t>魏君轩</t>
  </si>
  <si>
    <t>张哲</t>
    <phoneticPr fontId="14" type="noConversion"/>
  </si>
  <si>
    <t>朱广明</t>
  </si>
  <si>
    <t>胡平</t>
    <phoneticPr fontId="14" type="noConversion"/>
  </si>
  <si>
    <t>邱柏瑜</t>
  </si>
  <si>
    <t>张江永</t>
    <phoneticPr fontId="14" type="noConversion"/>
  </si>
  <si>
    <t>刘勇</t>
  </si>
  <si>
    <t>寝室292-</t>
    <phoneticPr fontId="14" type="noConversion"/>
  </si>
  <si>
    <t>刘勇充值，我转账给他</t>
    <phoneticPr fontId="9" type="noConversion"/>
  </si>
  <si>
    <t>买了25张水长城水票</t>
    <phoneticPr fontId="9" type="noConversion"/>
  </si>
  <si>
    <t>校园超市买了一瓶杀虫剂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</si>
</sst>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¥&quot;#,##0.00;[Red]&quot;¥&quot;\-#,##0.00"/>
    <numFmt numFmtId="176" formatCode="m/d/yy;@"/>
    <numFmt numFmtId="177" formatCode="#,##0.00_ "/>
    <numFmt numFmtId="178" formatCode="[$-F800]dddd\,\ mmmm\ dd\,\ yyyy"/>
    <numFmt numFmtId="179" formatCode="&quot;¥&quot;#,##0.00_);[Red]\(&quot;¥&quot;#,##0.00\)"/>
    <numFmt numFmtId="180" formatCode="yyyy&quot;年&quot;m&quot;月&quot;d&quot;日&quot;;@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 tint="0.249977111117893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0"/>
      <name val="宋体"/>
      <family val="3"/>
      <charset val="134"/>
      <scheme val="minor"/>
    </font>
    <font>
      <b/>
      <sz val="12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sz val="24"/>
      <color theme="0"/>
      <name val="Microsoft YaHei UI"/>
      <family val="2"/>
      <charset val="134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Microsoft YaHei UI"/>
      <family val="2"/>
      <charset val="134"/>
    </font>
    <font>
      <b/>
      <sz val="22"/>
      <color theme="1"/>
      <name val="Microsoft YaHei UI"/>
      <family val="2"/>
      <charset val="134"/>
    </font>
    <font>
      <sz val="22"/>
      <color theme="1"/>
      <name val="Calibri"/>
      <family val="2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1"/>
      <name val="Kozuka Gothic Pr6N M"/>
      <family val="2"/>
      <charset val="128"/>
    </font>
    <font>
      <sz val="11"/>
      <color theme="1"/>
      <name val="Adobe 楷体 Std R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70">
    <xf numFmtId="0" fontId="0" fillId="0" borderId="0" xfId="0"/>
    <xf numFmtId="0" fontId="11" fillId="0" borderId="0" xfId="0" applyFont="1"/>
    <xf numFmtId="0" fontId="10" fillId="0" borderId="0" xfId="1" applyFont="1"/>
    <xf numFmtId="0" fontId="12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Alignment="1">
      <alignment horizontal="left" indent="1"/>
    </xf>
    <xf numFmtId="0" fontId="13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177" fontId="11" fillId="0" borderId="0" xfId="0" applyNumberFormat="1" applyFont="1" applyAlignment="1">
      <alignment horizontal="right" indent="1"/>
    </xf>
    <xf numFmtId="177" fontId="11" fillId="0" borderId="0" xfId="9" applyNumberFormat="1" applyFont="1">
      <alignment horizontal="right" indent="1"/>
    </xf>
    <xf numFmtId="180" fontId="0" fillId="0" borderId="0" xfId="0" applyNumberFormat="1"/>
    <xf numFmtId="0" fontId="12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8" fontId="11" fillId="0" borderId="0" xfId="9" applyNumberFormat="1" applyFont="1" applyAlignment="1">
      <alignment horizontal="center"/>
    </xf>
    <xf numFmtId="8" fontId="11" fillId="0" borderId="0" xfId="0" applyNumberFormat="1" applyFont="1" applyAlignment="1">
      <alignment horizontal="center"/>
    </xf>
    <xf numFmtId="8" fontId="11" fillId="0" borderId="0" xfId="8" applyNumberFormat="1" applyFont="1" applyAlignment="1">
      <alignment horizontal="center" wrapText="1"/>
    </xf>
    <xf numFmtId="8" fontId="12" fillId="0" borderId="0" xfId="0" applyNumberFormat="1" applyFont="1" applyAlignment="1">
      <alignment horizontal="center"/>
    </xf>
    <xf numFmtId="179" fontId="12" fillId="0" borderId="4" xfId="3" applyNumberFormat="1" applyFont="1" applyBorder="1" applyAlignment="1">
      <alignment horizontal="center"/>
    </xf>
    <xf numFmtId="179" fontId="12" fillId="0" borderId="5" xfId="3" applyNumberFormat="1" applyFont="1" applyBorder="1" applyAlignment="1">
      <alignment horizontal="center"/>
    </xf>
    <xf numFmtId="179" fontId="11" fillId="0" borderId="6" xfId="0" applyNumberFormat="1" applyFont="1" applyBorder="1" applyAlignment="1">
      <alignment horizontal="center"/>
    </xf>
    <xf numFmtId="8" fontId="12" fillId="4" borderId="10" xfId="0" applyNumberFormat="1" applyFont="1" applyFill="1" applyBorder="1" applyAlignment="1">
      <alignment horizontal="center"/>
    </xf>
    <xf numFmtId="179" fontId="15" fillId="4" borderId="9" xfId="3" applyNumberFormat="1" applyFont="1" applyFill="1" applyBorder="1" applyAlignment="1">
      <alignment horizontal="center"/>
    </xf>
    <xf numFmtId="8" fontId="11" fillId="0" borderId="7" xfId="0" applyNumberFormat="1" applyFont="1" applyBorder="1" applyAlignment="1">
      <alignment horizontal="center"/>
    </xf>
    <xf numFmtId="8" fontId="11" fillId="0" borderId="3" xfId="0" applyNumberFormat="1" applyFont="1" applyBorder="1" applyAlignment="1">
      <alignment horizontal="center"/>
    </xf>
    <xf numFmtId="8" fontId="11" fillId="0" borderId="8" xfId="0" applyNumberFormat="1" applyFont="1" applyBorder="1" applyAlignment="1">
      <alignment horizontal="center"/>
    </xf>
    <xf numFmtId="178" fontId="11" fillId="2" borderId="11" xfId="10" applyNumberFormat="1" applyFont="1" applyFill="1" applyBorder="1">
      <alignment horizontal="left" indent="1"/>
    </xf>
    <xf numFmtId="8" fontId="0" fillId="0" borderId="0" xfId="0" applyNumberFormat="1"/>
    <xf numFmtId="8" fontId="11" fillId="2" borderId="12" xfId="10" applyNumberFormat="1" applyFont="1" applyFill="1" applyBorder="1">
      <alignment horizontal="left" indent="1"/>
    </xf>
    <xf numFmtId="178" fontId="11" fillId="2" borderId="13" xfId="10" applyNumberFormat="1" applyFont="1" applyFill="1" applyBorder="1">
      <alignment horizontal="left" indent="1"/>
    </xf>
    <xf numFmtId="8" fontId="11" fillId="2" borderId="14" xfId="10" applyNumberFormat="1" applyFont="1" applyFill="1" applyBorder="1">
      <alignment horizontal="left" indent="1"/>
    </xf>
    <xf numFmtId="178" fontId="11" fillId="2" borderId="15" xfId="10" applyNumberFormat="1" applyFont="1" applyFill="1" applyBorder="1">
      <alignment horizontal="left" indent="1"/>
    </xf>
    <xf numFmtId="8" fontId="11" fillId="2" borderId="16" xfId="10" applyNumberFormat="1" applyFont="1" applyFill="1" applyBorder="1">
      <alignment horizontal="left" indent="1"/>
    </xf>
    <xf numFmtId="0" fontId="16" fillId="0" borderId="0" xfId="0" applyFont="1"/>
    <xf numFmtId="180" fontId="16" fillId="0" borderId="0" xfId="0" applyNumberFormat="1" applyFont="1"/>
    <xf numFmtId="0" fontId="17" fillId="0" borderId="0" xfId="0" applyFont="1"/>
    <xf numFmtId="180" fontId="0" fillId="5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17" fillId="5" borderId="0" xfId="0" applyFont="1" applyFill="1"/>
    <xf numFmtId="180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/>
    <xf numFmtId="0" fontId="17" fillId="6" borderId="0" xfId="0" applyFont="1" applyFill="1"/>
    <xf numFmtId="0" fontId="18" fillId="7" borderId="0" xfId="0" applyFont="1" applyFill="1" applyAlignment="1">
      <alignment horizontal="right" vertical="center"/>
    </xf>
    <xf numFmtId="0" fontId="19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vertical="center" wrapText="1"/>
    </xf>
    <xf numFmtId="14" fontId="18" fillId="7" borderId="0" xfId="0" applyNumberFormat="1" applyFont="1" applyFill="1" applyAlignment="1">
      <alignment horizontal="right" vertical="center"/>
    </xf>
    <xf numFmtId="14" fontId="18" fillId="7" borderId="0" xfId="0" applyNumberFormat="1" applyFont="1" applyFill="1" applyAlignment="1">
      <alignment horizontal="left" vertical="center"/>
    </xf>
    <xf numFmtId="0" fontId="0" fillId="0" borderId="0" xfId="0" applyAlignment="1">
      <alignment vertical="top"/>
    </xf>
    <xf numFmtId="0" fontId="20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3" fillId="0" borderId="0" xfId="0" applyFont="1"/>
    <xf numFmtId="0" fontId="26" fillId="0" borderId="0" xfId="0" applyFont="1"/>
    <xf numFmtId="0" fontId="29" fillId="0" borderId="3" xfId="0" applyFont="1" applyBorder="1"/>
    <xf numFmtId="0" fontId="22" fillId="0" borderId="3" xfId="0" applyFont="1" applyBorder="1"/>
    <xf numFmtId="14" fontId="31" fillId="7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0" fillId="0" borderId="3" xfId="0" applyFont="1" applyBorder="1" applyAlignment="1">
      <alignment horizontal="left" vertical="top"/>
    </xf>
    <xf numFmtId="0" fontId="22" fillId="0" borderId="3" xfId="0" applyFont="1" applyBorder="1" applyAlignment="1">
      <alignment horizontal="left" vertical="top"/>
    </xf>
    <xf numFmtId="0" fontId="10" fillId="0" borderId="0" xfId="1" applyFont="1"/>
    <xf numFmtId="0" fontId="10" fillId="0" borderId="1" xfId="1" applyFont="1" applyBorder="1"/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8" formatCode="[$-F800]dddd\,\ mmmm\ dd\,\ 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 outline="0">
        <top style="thin">
          <color theme="0" tint="-0.14993743705557422"/>
        </top>
      </border>
    </dxf>
    <dxf>
      <border outline="0"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 outline="0"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Kozuka Gothic Pr6N M"/>
        <family val="2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楷体 Std R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zuka Gothic Pr6N M"/>
        <family val="2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楷体 Std R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zuka Gothic Pr6N M"/>
        <family val="2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楷体 Std R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zuka Gothic Pr6N M"/>
        <family val="2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楷体 Std R"/>
        <family val="1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&quot;¥&quot;#,##0.00_);[Red]\(&quot;¥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2" formatCode="&quot;¥&quot;#,##0.00;[Red]&quot;¥&quot;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2" formatCode="&quot;¥&quot;#,##0.00;[Red]&quot;¥&quot;\-#,##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bottom" textRotation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摘要表" defaultPivotStyle="PivotStyleLight16">
    <tableStyle name="styleCustomSlicer" pivot="0" table="0" count="10" xr9:uid="{00000000-0011-0000-FFFF-FFFF00000000}">
      <tableStyleElement type="wholeTable" dxfId="215"/>
      <tableStyleElement type="headerRow" dxfId="214"/>
    </tableStyle>
    <tableStyle name="摘要表" pivot="0" count="6" xr9:uid="{00000000-0011-0000-FFFF-FFFF01000000}">
      <tableStyleElement type="wholeTable" dxfId="213"/>
      <tableStyleElement type="headerRow" dxfId="212"/>
      <tableStyleElement type="totalRow" dxfId="211"/>
      <tableStyleElement type="firstColumn" dxfId="210"/>
      <tableStyleElement type="lastColumn" dxfId="209"/>
      <tableStyleElement type="firstColumnStripe" dxfId="20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40163471006915E-2"/>
          <c:y val="3.7210342265680076E-2"/>
          <c:w val="0.75320648043103033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电费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1 月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电器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1 月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"¥"#,##0.00_);[Red]\("¥"#,##0.00\)</c:formatCode>
                <c:ptCount val="12"/>
                <c:pt idx="0">
                  <c:v>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生活用品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1 月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"¥"#,##0.00_);[Red]\("¥"#,##0.00\)</c:formatCode>
                <c:ptCount val="12"/>
                <c:pt idx="0">
                  <c:v>29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19.8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26.75</c:v>
                </c:pt>
                <c:pt idx="9">
                  <c:v>19.3</c:v>
                </c:pt>
                <c:pt idx="10">
                  <c:v>183.25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水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1 月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320</c:v>
                </c:pt>
                <c:pt idx="9">
                  <c:v>0</c:v>
                </c:pt>
                <c:pt idx="10">
                  <c:v>209.8</c:v>
                </c:pt>
                <c:pt idx="11">
                  <c:v>219.6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支出 5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1 月</c:v>
                </c:pt>
                <c:pt idx="1">
                  <c:v>2 月</c:v>
                </c:pt>
                <c:pt idx="2">
                  <c:v>3 月</c:v>
                </c:pt>
                <c:pt idx="3">
                  <c:v>4 月</c:v>
                </c:pt>
                <c:pt idx="4">
                  <c:v>5 月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"¥"#,##0.00_);[Red]\("¥"#,##0.00\)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664.92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7.4983320099693426E-2"/>
          <c:h val="0.77242338260154308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69850</xdr:rowOff>
    </xdr:from>
    <xdr:to>
      <xdr:col>16</xdr:col>
      <xdr:colOff>133350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0" totalsRowCount="1" headerRowDxfId="207" dataDxfId="206" totalsRowDxfId="205">
  <autoFilter ref="A4:O9" xr:uid="{00000000-0009-0000-0100-00000E000000}"/>
  <tableColumns count="15">
    <tableColumn id="1" xr3:uid="{00000000-0010-0000-0000-000001000000}" name="支出" totalsRowLabel="汇总" dataDxfId="204" totalsRowDxfId="203"/>
    <tableColumn id="2" xr3:uid="{00000000-0010-0000-0000-000002000000}" name="1 月" totalsRowFunction="sum" dataDxfId="202" totalsRowDxfId="201">
      <calculatedColumnFormula>SUMIFS(ExpJan[金额],ExpJan[类别],支出摘要[[#This Row],[支出]])</calculatedColumnFormula>
    </tableColumn>
    <tableColumn id="3" xr3:uid="{00000000-0010-0000-0000-000003000000}" name="2 月" totalsRowFunction="sum" dataDxfId="200" totalsRowDxfId="199">
      <calculatedColumnFormula>SUMIFS(ExpFeb[金额],ExpFeb[类别],支出摘要[[#This Row],[支出]])</calculatedColumnFormula>
    </tableColumn>
    <tableColumn id="4" xr3:uid="{00000000-0010-0000-0000-000004000000}" name="3 月" totalsRowFunction="sum" dataDxfId="198" totalsRowDxfId="197">
      <calculatedColumnFormula>SUMIFS(ExpMar[金额],ExpMar[类别],支出摘要[[#This Row],[支出]])</calculatedColumnFormula>
    </tableColumn>
    <tableColumn id="5" xr3:uid="{00000000-0010-0000-0000-000005000000}" name="4 月" totalsRowFunction="sum" dataDxfId="196" totalsRowDxfId="195">
      <calculatedColumnFormula>SUMIFS(ExpApr[金额],ExpApr[类别],支出摘要[[#This Row],[支出]])</calculatedColumnFormula>
    </tableColumn>
    <tableColumn id="6" xr3:uid="{00000000-0010-0000-0000-000006000000}" name="5 月" totalsRowFunction="sum" dataDxfId="194" totalsRowDxfId="193">
      <calculatedColumnFormula>SUMIFS(ExpMay[金额],ExpMay[类别],支出摘要[[#This Row],[支出]])</calculatedColumnFormula>
    </tableColumn>
    <tableColumn id="7" xr3:uid="{00000000-0010-0000-0000-000007000000}" name="6 月" totalsRowFunction="sum" dataDxfId="192" totalsRowDxfId="191">
      <calculatedColumnFormula>SUMIFS(ExpJun[金额],ExpJun[类别],支出摘要[[#This Row],[支出]])</calculatedColumnFormula>
    </tableColumn>
    <tableColumn id="8" xr3:uid="{00000000-0010-0000-0000-000008000000}" name="7 月" totalsRowFunction="sum" dataDxfId="190" totalsRowDxfId="189">
      <calculatedColumnFormula>SUMIFS(ExpJul[金额],ExpJul[类别],支出摘要[[#This Row],[支出]])</calculatedColumnFormula>
    </tableColumn>
    <tableColumn id="9" xr3:uid="{00000000-0010-0000-0000-000009000000}" name="8 月" totalsRowFunction="sum" dataDxfId="188" totalsRowDxfId="187">
      <calculatedColumnFormula>SUMIFS(ExpAug[金额],ExpAug[类别],支出摘要[[#This Row],[支出]])</calculatedColumnFormula>
    </tableColumn>
    <tableColumn id="10" xr3:uid="{00000000-0010-0000-0000-00000A000000}" name="9 月" totalsRowLabel="493.65" dataDxfId="186" totalsRowDxfId="185" dataCellStyle="表格编号">
      <calculatedColumnFormula>SUMIFS(ExpSep[金额],ExpSep[类别],支出摘要[[#This Row],[支出]])</calculatedColumnFormula>
    </tableColumn>
    <tableColumn id="11" xr3:uid="{00000000-0010-0000-0000-00000B000000}" name="10 月" totalsRowFunction="sum" dataDxfId="184" totalsRowDxfId="183">
      <calculatedColumnFormula>SUMIFS(ExpOct[金额],ExpOct[类别],支出摘要[[#This Row],[支出]])</calculatedColumnFormula>
    </tableColumn>
    <tableColumn id="12" xr3:uid="{00000000-0010-0000-0000-00000C000000}" name="11 月" totalsRowFunction="sum" dataDxfId="182" totalsRowDxfId="181">
      <calculatedColumnFormula>SUMIFS(ExpNov[金额],ExpNov[类别],支出摘要[支出])</calculatedColumnFormula>
    </tableColumn>
    <tableColumn id="13" xr3:uid="{00000000-0010-0000-0000-00000D000000}" name="12 月" totalsRowFunction="sum" dataDxfId="180" totalsRowDxfId="179">
      <calculatedColumnFormula>SUMIFS(ExpDec[金额],ExpDec[类别],支出摘要[[#This Row],[支出]])</calculatedColumnFormula>
    </tableColumn>
    <tableColumn id="14" xr3:uid="{00000000-0010-0000-0000-00000E000000}" name="总计" totalsRowFunction="sum" dataDxfId="178" totalsRowDxfId="177">
      <calculatedColumnFormula>SUM(支出摘要[[#This Row],[1 月]:[12 月]])</calculatedColumnFormula>
    </tableColumn>
    <tableColumn id="15" xr3:uid="{00000000-0010-0000-0000-00000F000000}" name="趋势" dataDxfId="176" totalsRowDxfId="175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xpMar" displayName="ExpMar" ref="A2:D9" totalsRowCount="1" headerRowDxfId="109" dataDxfId="108" totalsRowDxfId="107">
  <autoFilter ref="A2:D8" xr:uid="{00000000-0009-0000-0100-000004000000}"/>
  <tableColumns count="4">
    <tableColumn id="1" xr3:uid="{00000000-0010-0000-0300-000001000000}" name="日期" totalsRowLabel="汇总" dataDxfId="106" totalsRowDxfId="105"/>
    <tableColumn id="3" xr3:uid="{00000000-0010-0000-0300-000003000000}" name="金额" totalsRowFunction="sum" dataDxfId="104" totalsRowDxfId="103"/>
    <tableColumn id="4" xr3:uid="{00000000-0010-0000-0300-000004000000}" name="类别" dataDxfId="102" totalsRowDxfId="101"/>
    <tableColumn id="5" xr3:uid="{00000000-0010-0000-0300-000005000000}" name="描述" dataDxfId="100" totalsRowDxfId="99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xpApr" displayName="ExpApr" ref="A2:D9" totalsRowCount="1" headerRowDxfId="98" dataDxfId="97" totalsRowDxfId="96">
  <autoFilter ref="A2:D8" xr:uid="{00000000-0009-0000-0100-000005000000}"/>
  <tableColumns count="4">
    <tableColumn id="1" xr3:uid="{00000000-0010-0000-0400-000001000000}" name="日期" totalsRowLabel="汇总" dataDxfId="95" totalsRowDxfId="94"/>
    <tableColumn id="3" xr3:uid="{00000000-0010-0000-0400-000003000000}" name="金额" totalsRowFunction="sum" dataDxfId="93" totalsRowDxfId="92"/>
    <tableColumn id="4" xr3:uid="{00000000-0010-0000-0400-000004000000}" name="类别" dataDxfId="91" totalsRowDxfId="90"/>
    <tableColumn id="5" xr3:uid="{00000000-0010-0000-0400-000005000000}" name="描述" dataDxfId="89" totalsRowDxfId="8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xpMay" displayName="ExpMay" ref="A2:D9" totalsRowCount="1" headerRowDxfId="87" dataDxfId="86" totalsRowDxfId="85">
  <autoFilter ref="A2:D8" xr:uid="{00000000-0009-0000-0100-000006000000}"/>
  <tableColumns count="4">
    <tableColumn id="1" xr3:uid="{00000000-0010-0000-0500-000001000000}" name="日期" totalsRowLabel="汇总" dataDxfId="84" totalsRowDxfId="83"/>
    <tableColumn id="3" xr3:uid="{00000000-0010-0000-0500-000003000000}" name="金额" totalsRowFunction="sum" dataDxfId="82" totalsRowDxfId="81"/>
    <tableColumn id="4" xr3:uid="{00000000-0010-0000-0500-000004000000}" name="类别" dataDxfId="80" totalsRowDxfId="79"/>
    <tableColumn id="5" xr3:uid="{00000000-0010-0000-0500-000005000000}" name="描述" dataDxfId="78" totalsRowDxfId="7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Jun" displayName="ExpJun" ref="A2:D9" totalsRowCount="1" headerRowDxfId="76" dataDxfId="75" totalsRowDxfId="74">
  <autoFilter ref="A2:D8" xr:uid="{00000000-0009-0000-0100-000007000000}"/>
  <tableColumns count="4">
    <tableColumn id="1" xr3:uid="{00000000-0010-0000-0600-000001000000}" name="日期" totalsRowLabel="汇总" dataDxfId="73" totalsRowDxfId="72"/>
    <tableColumn id="3" xr3:uid="{00000000-0010-0000-0600-000003000000}" name="金额" dataDxfId="71" totalsRowDxfId="70"/>
    <tableColumn id="4" xr3:uid="{00000000-0010-0000-0600-000004000000}" name="类别" dataDxfId="69" totalsRowDxfId="68"/>
    <tableColumn id="5" xr3:uid="{00000000-0010-0000-0600-000005000000}" name="描述" dataDxfId="67" totalsRowDxfId="6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xpJul" displayName="ExpJul" ref="A2:D9" totalsRowCount="1" headerRowDxfId="65" dataDxfId="64" totalsRowDxfId="63">
  <autoFilter ref="A2:D8" xr:uid="{00000000-0009-0000-0100-000008000000}"/>
  <tableColumns count="4">
    <tableColumn id="1" xr3:uid="{00000000-0010-0000-0700-000001000000}" name="日期" totalsRowLabel="汇总" dataDxfId="62" totalsRowDxfId="61"/>
    <tableColumn id="3" xr3:uid="{00000000-0010-0000-0700-000003000000}" name="金额" dataDxfId="60" totalsRowDxfId="59"/>
    <tableColumn id="4" xr3:uid="{00000000-0010-0000-0700-000004000000}" name="类别" dataDxfId="58" totalsRowDxfId="57"/>
    <tableColumn id="5" xr3:uid="{00000000-0010-0000-0700-000005000000}" name="描述" dataDxfId="56" totalsRowDxfId="5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D9" totalsRowCount="1" headerRowDxfId="54" dataDxfId="53" totalsRowDxfId="52">
  <autoFilter ref="A2:D8" xr:uid="{00000000-0009-0000-0100-000009000000}"/>
  <tableColumns count="4">
    <tableColumn id="1" xr3:uid="{00000000-0010-0000-0800-000001000000}" name="日期" totalsRowLabel="汇总" dataDxfId="51" totalsRowDxfId="50"/>
    <tableColumn id="3" xr3:uid="{00000000-0010-0000-0800-000003000000}" name="金额" totalsRowFunction="sum" dataDxfId="49" totalsRowDxfId="48"/>
    <tableColumn id="4" xr3:uid="{00000000-0010-0000-0800-000004000000}" name="类别" dataDxfId="47" totalsRowDxfId="46"/>
    <tableColumn id="5" xr3:uid="{00000000-0010-0000-0800-000005000000}" name="描述" dataDxfId="45" totalsRowDxfId="4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D9" totalsRowCount="1" headerRowDxfId="43" dataDxfId="42" totalsRowDxfId="41">
  <autoFilter ref="A2:D8" xr:uid="{00000000-0009-0000-0100-00000A000000}"/>
  <tableColumns count="4">
    <tableColumn id="1" xr3:uid="{00000000-0010-0000-0900-000001000000}" name="日期" totalsRowLabel="汇总" dataDxfId="40" totalsRowDxfId="39"/>
    <tableColumn id="3" xr3:uid="{00000000-0010-0000-0900-000003000000}" name="金额" totalsRowFunction="sum" dataDxfId="38" totalsRowDxfId="37"/>
    <tableColumn id="4" xr3:uid="{00000000-0010-0000-0900-000004000000}" name="类别" dataDxfId="36" totalsRowDxfId="35"/>
    <tableColumn id="5" xr3:uid="{00000000-0010-0000-0900-000005000000}" name="描述" dataDxfId="34" totalsRowDxfId="3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D9" totalsRowCount="1" headerRowDxfId="32" dataDxfId="31" totalsRowDxfId="30">
  <autoFilter ref="A2:D8" xr:uid="{4A7BC36E-D58F-402A-A375-88CCBD9CC745}"/>
  <tableColumns count="4">
    <tableColumn id="1" xr3:uid="{00000000-0010-0000-0A00-000001000000}" name="日期" totalsRowLabel="汇总" dataDxfId="29" totalsRowDxfId="28"/>
    <tableColumn id="3" xr3:uid="{00000000-0010-0000-0A00-000003000000}" name="金额" totalsRowFunction="sum" dataDxfId="27" totalsRowDxfId="26"/>
    <tableColumn id="4" xr3:uid="{00000000-0010-0000-0A00-000004000000}" name="类别" dataDxfId="25" totalsRowDxfId="24"/>
    <tableColumn id="5" xr3:uid="{00000000-0010-0000-0A00-000005000000}" name="描述" dataDxfId="23" totalsRowDxfId="2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D9" totalsRowCount="1" headerRowDxfId="21" dataDxfId="20" totalsRowDxfId="19">
  <autoFilter ref="A2:D8" xr:uid="{00000000-0009-0000-0100-00000C000000}"/>
  <tableColumns count="4">
    <tableColumn id="1" xr3:uid="{00000000-0010-0000-0B00-000001000000}" name="日期" totalsRowLabel="汇总" dataDxfId="18" totalsRowDxfId="17"/>
    <tableColumn id="3" xr3:uid="{00000000-0010-0000-0B00-000003000000}" name="金额" totalsRowFunction="sum" dataDxfId="16" totalsRowDxfId="15"/>
    <tableColumn id="4" xr3:uid="{00000000-0010-0000-0B00-000004000000}" name="类别" dataDxfId="14" totalsRowDxfId="13"/>
    <tableColumn id="5" xr3:uid="{00000000-0010-0000-0B00-000005000000}" name="描述" dataDxfId="12" totalsRowDxfId="1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xpDec" displayName="ExpDec" ref="A2:D9" totalsRowCount="1" headerRowDxfId="10" dataDxfId="9" totalsRowDxfId="8">
  <autoFilter ref="A2:D8" xr:uid="{00000000-0009-0000-0100-00000D000000}"/>
  <tableColumns count="4">
    <tableColumn id="1" xr3:uid="{00000000-0010-0000-0C00-000001000000}" name="日期" totalsRowLabel="汇总" dataDxfId="7" totalsRowDxfId="6"/>
    <tableColumn id="3" xr3:uid="{00000000-0010-0000-0C00-000003000000}" name="金额" totalsRowFunction="sum" dataDxfId="5" totalsRowDxfId="4"/>
    <tableColumn id="4" xr3:uid="{00000000-0010-0000-0C00-000004000000}" name="类别" dataDxfId="3" totalsRowDxfId="2"/>
    <tableColumn id="5" xr3:uid="{00000000-0010-0000-0C00-000005000000}" name="描述" dataDxfId="1" totalsRowDxfId="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57980-D7EA-4129-B0F9-EE3CDC9D9EA5}" name="表1" displayName="表1" ref="A12:O13" totalsRowShown="0" headerRowDxfId="174" dataDxfId="172" headerRowBorderDxfId="173" tableBorderDxfId="171" totalsRowBorderDxfId="170" headerRowCellStyle="标题 2">
  <autoFilter ref="A12:O13" xr:uid="{6EFB2B57-41BC-41DA-998D-205E336351EC}"/>
  <tableColumns count="15">
    <tableColumn id="1" xr3:uid="{4B0EB58B-C03F-4D71-B313-18BC9BD565DE}" name="收入" dataDxfId="169"/>
    <tableColumn id="2" xr3:uid="{6E2D6A80-A441-4DAD-9BCB-BB9F041132CF}" name="1 月" dataDxfId="168">
      <calculatedColumnFormula>SUMIFS(寝室收入!B2:B22,寝室收入!A2:A22,"&gt;=2019-01-01",寝室收入!A2:A22,"&lt;=2019-01-31")</calculatedColumnFormula>
    </tableColumn>
    <tableColumn id="3" xr3:uid="{A47A2238-755B-4EB3-9CC0-503806B8E34E}" name="2 月" dataDxfId="167">
      <calculatedColumnFormula>SUMIFS(寝室收入!B2:B22,寝室收入!A2:A22,"&gt;=2019-02-01",寝室收入!A2:A22,"&lt;=2019-02-28")</calculatedColumnFormula>
    </tableColumn>
    <tableColumn id="4" xr3:uid="{8076315D-E72A-4C31-B070-BAF092786CA8}" name="3 月" dataDxfId="166">
      <calculatedColumnFormula>SUMIFS(寝室收入!B2:B22,寝室收入!A2:A22,"&gt;=2019-03-01",寝室收入!A2:A22,"&lt;=2019-03-31")</calculatedColumnFormula>
    </tableColumn>
    <tableColumn id="5" xr3:uid="{D8AE5AD9-A6B0-429B-9595-5BF09D27497A}" name="4 月" dataDxfId="165">
      <calculatedColumnFormula>SUMIFS(寝室收入!B2:B22,寝室收入!A2:A22,"&gt;=2019-04-01",寝室收入!A2:A22,"&lt;=2019-04-30")</calculatedColumnFormula>
    </tableColumn>
    <tableColumn id="6" xr3:uid="{0AB1E43E-DE39-4603-BD12-DBE18C4B8F65}" name="5 月" dataDxfId="164">
      <calculatedColumnFormula>SUMIFS(寝室收入!B2:B22,寝室收入!A2:A22,"&gt;=2019-05-01",寝室收入!A2:A22,"&lt;=2019-05-31")</calculatedColumnFormula>
    </tableColumn>
    <tableColumn id="7" xr3:uid="{821935F8-8398-4EBC-B407-B729AFC92E89}" name="6 月" dataDxfId="163">
      <calculatedColumnFormula>SUMIFS(寝室收入!B2:B22,寝室收入!A2:A22,"&gt;=2019-06-01",寝室收入!A2:A22,"&lt;=2019-06-30")</calculatedColumnFormula>
    </tableColumn>
    <tableColumn id="8" xr3:uid="{4A1660A0-8D4D-4A94-8AA6-0B50BE9B1A35}" name="7 月" dataDxfId="162">
      <calculatedColumnFormula>SUMIFS(寝室收入!B2:B22,寝室收入!A2:A22,"&gt;=2019-07-01",寝室收入!A2:A22,"&lt;=2019-07-31")</calculatedColumnFormula>
    </tableColumn>
    <tableColumn id="9" xr3:uid="{94C624D6-9A85-4ADF-B617-1710CFDF65A9}" name="8 月" dataDxfId="161">
      <calculatedColumnFormula>SUMIFS(寝室收入!B2:B22,寝室收入!A2:A22,"&gt;=2019-08-01",寝室收入!A2:A22,"&lt;=2019-08-31")</calculatedColumnFormula>
    </tableColumn>
    <tableColumn id="10" xr3:uid="{687D9553-166F-40CA-973B-E9748A0710B4}" name="9 月" dataDxfId="160">
      <calculatedColumnFormula>SUMIFS(寝室收入!B2:B22,寝室收入!A2:A22,"&gt;=2018-09-01",寝室收入!A2:A22,"&lt;=2018-09-30")</calculatedColumnFormula>
    </tableColumn>
    <tableColumn id="11" xr3:uid="{AD971CEF-9427-4B64-A745-4687B8ECE113}" name="10 月" dataDxfId="159">
      <calculatedColumnFormula>SUMIFS(寝室收入!B2:B22,寝室收入!A2:A22,"&gt;=2018-10-01",寝室收入!A2:A22,"&lt;=2018-10-31")</calculatedColumnFormula>
    </tableColumn>
    <tableColumn id="12" xr3:uid="{D85C6212-14D1-4827-A5F7-2002983D729A}" name="11 月" dataDxfId="158">
      <calculatedColumnFormula>SUMIFS(寝室收入!B2:B22,寝室收入!A2:A22,"&gt;=2018-11-01",寝室收入!A2:A22,"&lt;=2018-11-30")</calculatedColumnFormula>
    </tableColumn>
    <tableColumn id="13" xr3:uid="{2DB67D52-58C0-48C0-81FC-998DC657914C}" name="12 月" dataDxfId="157">
      <calculatedColumnFormula>SUMIFS(寝室收入!B2:B22,寝室收入!A2:A22,"&gt;=2018-12-01",寝室收入!A2:A22,"&lt;=2018-12-31")</calculatedColumnFormula>
    </tableColumn>
    <tableColumn id="14" xr3:uid="{941C54FF-3E28-4A6C-93D8-E280586EDDE6}" name="总计" dataDxfId="156">
      <calculatedColumnFormula>SUM(表1[[#This Row],[1 月]:[12 月]])</calculatedColumnFormula>
    </tableColumn>
    <tableColumn id="15" xr3:uid="{45744956-4DF3-40E5-8985-C2A811E81A0B}" name="列1" dataDxfId="15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619310B-235E-4B2B-8194-0689669C5805}" name="表16" displayName="表16" ref="A1:C15" totalsRowShown="0" headerRowDxfId="154" dataDxfId="153">
  <autoFilter ref="A1:C15" xr:uid="{E663048F-5659-46BB-8145-2FB6998AF156}"/>
  <tableColumns count="3">
    <tableColumn id="1" xr3:uid="{5F7E7AAB-5C6A-4F19-B457-CD49B86F2BE6}" name="寝室292-" dataDxfId="152"/>
    <tableColumn id="2" xr3:uid="{F33AABF3-C3A9-4320-9166-C7E187E70A57}" name="姓名" dataDxfId="151"/>
    <tableColumn id="3" xr3:uid="{B08776B6-9C39-4004-BADC-3DC87D648D64}" name="手机号" dataDxfId="15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D73A599-13D3-4680-84E3-DCDBF0755D99}" name="表16_19" displayName="表16_19" ref="E1:G15" totalsRowShown="0" headerRowDxfId="149" dataDxfId="148">
  <autoFilter ref="E1:G15" xr:uid="{F54E6422-9125-4EC4-85FE-B85BD4716FC7}"/>
  <tableColumns count="3">
    <tableColumn id="1" xr3:uid="{BD24A79A-3A62-42EE-AC92-547C0B9B1479}" name="寝室292-" dataDxfId="147"/>
    <tableColumn id="2" xr3:uid="{680A66BE-1D23-4801-871B-9C4A16C455E0}" name="姓名" dataDxfId="146"/>
    <tableColumn id="3" xr3:uid="{6F08C158-E23E-4C1A-9B8D-16DB977BB533}" name="手机号" dataDxfId="1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EC4D4F6-C961-45B4-B8BA-1F16A824F910}" name="表16_20" displayName="表16_20" ref="A17:C31" totalsRowShown="0" dataDxfId="144">
  <autoFilter ref="A17:C31" xr:uid="{FF563DBD-0114-42F4-AAB7-6F6322E6CDCF}"/>
  <tableColumns count="3">
    <tableColumn id="1" xr3:uid="{E2AD9670-F1F8-48FF-B6E5-62512DB79343}" name="寝室292-" dataDxfId="143"/>
    <tableColumn id="2" xr3:uid="{5E70488C-97BA-4718-9D83-79B3A020AD3B}" name="姓名" dataDxfId="142"/>
    <tableColumn id="3" xr3:uid="{345D5A2D-5750-4934-A2B1-40B70427EE55}" name="手机号" dataDxfId="14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3643354-F94C-4CF5-8984-00CFE9A4A6AE}" name="表16_21" displayName="表16_21" ref="E17:G31" totalsRowShown="0" dataDxfId="140">
  <autoFilter ref="E17:G31" xr:uid="{4EEC8008-7134-4BA4-95F3-70AB727F0DF3}"/>
  <tableColumns count="3">
    <tableColumn id="1" xr3:uid="{CB5927AC-4099-4713-847E-9F38EE81A87F}" name="寝室292-" dataDxfId="139"/>
    <tableColumn id="2" xr3:uid="{1FAA8838-ABC2-47B0-9FB6-93DB78DE3E0C}" name="姓名" dataDxfId="138"/>
    <tableColumn id="3" xr3:uid="{E71CF432-FABA-4607-8C2B-7D3D297E7FCA}" name="手机号" dataDxfId="13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D6999B-BD26-4AE4-883D-5DB5CE71F95E}" name="表15" displayName="表15" ref="A1:B22" totalsRowShown="0" headerRowBorderDxfId="136" tableBorderDxfId="135" totalsRowBorderDxfId="134">
  <autoFilter ref="A1:B22" xr:uid="{8A41724F-B790-46B8-A359-CB6412EF7920}"/>
  <tableColumns count="2">
    <tableColumn id="1" xr3:uid="{192A3662-F6D0-444D-8F40-FEB27ACA7F64}" name="日期" dataDxfId="133" dataCellStyle="表格日期​​"/>
    <tableColumn id="2" xr3:uid="{84CD23C4-E601-457C-8E7A-BB0DA970AD83}" name="收入金额" dataDxfId="132" dataCellStyle="表格日期​​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Jan" displayName="ExpJan" ref="A2:D9" totalsRowCount="1" headerRowDxfId="131" dataDxfId="130" totalsRowDxfId="129">
  <autoFilter ref="A2:D8" xr:uid="{00000000-0009-0000-0100-000002000000}"/>
  <tableColumns count="4">
    <tableColumn id="1" xr3:uid="{00000000-0010-0000-0100-000001000000}" name="日期" totalsRowLabel="汇总" dataDxfId="128" totalsRowDxfId="127"/>
    <tableColumn id="3" xr3:uid="{00000000-0010-0000-0100-000003000000}" name="金额" totalsRowFunction="sum" dataDxfId="126" totalsRowDxfId="125"/>
    <tableColumn id="4" xr3:uid="{00000000-0010-0000-0100-000004000000}" name="类别" dataDxfId="124" totalsRowDxfId="123"/>
    <tableColumn id="5" xr3:uid="{00000000-0010-0000-0100-000005000000}" name="描述" dataDxfId="122" totalsRowDxfId="12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Feb" displayName="ExpFeb" ref="A2:D9" totalsRowCount="1" headerRowDxfId="120" dataDxfId="119" totalsRowDxfId="118">
  <autoFilter ref="A2:D8" xr:uid="{00000000-0009-0000-0100-000003000000}"/>
  <tableColumns count="4">
    <tableColumn id="1" xr3:uid="{00000000-0010-0000-0200-000001000000}" name="日期" totalsRowLabel="汇总" dataDxfId="117" totalsRowDxfId="116"/>
    <tableColumn id="3" xr3:uid="{00000000-0010-0000-0200-000003000000}" name="金额" totalsRowFunction="sum" dataDxfId="115" totalsRowDxfId="114"/>
    <tableColumn id="4" xr3:uid="{00000000-0010-0000-0200-000004000000}" name="类别" dataDxfId="113" totalsRowDxfId="112"/>
    <tableColumn id="5" xr3:uid="{00000000-0010-0000-0200-000005000000}" name="描述" dataDxfId="111" totalsRowDxfId="11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6"/>
  <sheetViews>
    <sheetView showGridLines="0" tabSelected="1" zoomScale="85" zoomScaleNormal="85" workbookViewId="0">
      <selection activeCell="O18" sqref="O18"/>
    </sheetView>
  </sheetViews>
  <sheetFormatPr defaultColWidth="9.15625" defaultRowHeight="30" customHeight="1" x14ac:dyDescent="0.6"/>
  <cols>
    <col min="1" max="1" width="15.83984375" style="1" customWidth="1"/>
    <col min="2" max="14" width="12.578125" style="1" customWidth="1"/>
    <col min="15" max="15" width="12.68359375" style="1" customWidth="1"/>
    <col min="16" max="16" width="9.15625" style="1" customWidth="1"/>
    <col min="17" max="17" width="7.26171875" style="1" customWidth="1"/>
    <col min="18" max="16384" width="9.15625" style="1"/>
  </cols>
  <sheetData>
    <row r="1" spans="1:15" ht="35.1" customHeight="1" x14ac:dyDescent="1.2">
      <c r="A1" s="2" t="s">
        <v>59</v>
      </c>
      <c r="B1" s="2"/>
      <c r="C1" s="2"/>
    </row>
    <row r="2" spans="1:15" ht="17.100000000000001" customHeight="1" x14ac:dyDescent="0.6"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49</v>
      </c>
      <c r="J2" s="6" t="s">
        <v>50</v>
      </c>
      <c r="K2" s="6" t="s">
        <v>51</v>
      </c>
      <c r="L2" s="6" t="s">
        <v>52</v>
      </c>
      <c r="M2" s="6" t="s">
        <v>53</v>
      </c>
      <c r="N2" s="6" t="s">
        <v>54</v>
      </c>
    </row>
    <row r="3" spans="1:15" ht="224.1" customHeight="1" x14ac:dyDescent="0.6"/>
    <row r="4" spans="1:15" s="12" customFormat="1" ht="17.100000000000001" customHeight="1" x14ac:dyDescent="0.7">
      <c r="A4" s="11" t="s">
        <v>0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M4" s="11" t="s">
        <v>18</v>
      </c>
      <c r="N4" s="11" t="s">
        <v>6</v>
      </c>
      <c r="O4" s="11" t="s">
        <v>20</v>
      </c>
    </row>
    <row r="5" spans="1:15" s="15" customFormat="1" ht="30" customHeight="1" x14ac:dyDescent="0.6">
      <c r="A5" s="13" t="s">
        <v>68</v>
      </c>
      <c r="B5" s="14">
        <f>SUMIFS(ExpJan[金额],ExpJan[类别],支出摘要[[#This Row],[支出]])</f>
        <v>0</v>
      </c>
      <c r="C5" s="14">
        <f>SUMIFS(ExpFeb[金额],ExpFeb[类别],支出摘要[[#This Row],[支出]])</f>
        <v>50</v>
      </c>
      <c r="D5" s="14">
        <f>SUMIFS(ExpMar[金额],ExpMar[类别],支出摘要[[#This Row],[支出]])</f>
        <v>0</v>
      </c>
      <c r="E5" s="14">
        <f>SUMIFS(ExpApr[金额],ExpApr[类别],支出摘要[[#This Row],[支出]])</f>
        <v>0</v>
      </c>
      <c r="F5" s="14">
        <f>SUMIFS(ExpMay[金额],ExpMay[类别],支出摘要[[#This Row],[支出]])</f>
        <v>50</v>
      </c>
      <c r="G5" s="14">
        <f>SUMIFS(ExpJun[金额],ExpJun[类别],支出摘要[[#This Row],[支出]])</f>
        <v>0</v>
      </c>
      <c r="H5" s="14">
        <f>SUMIFS(ExpJul[金额],ExpJul[类别],支出摘要[[#This Row],[支出]])</f>
        <v>0</v>
      </c>
      <c r="I5" s="14">
        <f>SUMIFS(ExpAug[金额],ExpAug[类别],支出摘要[[#This Row],[支出]])</f>
        <v>0</v>
      </c>
      <c r="J5" s="14">
        <f>SUMIFS(ExpSep[金额],ExpSep[类别],支出摘要[[#This Row],[支出]])</f>
        <v>14</v>
      </c>
      <c r="K5" s="14">
        <f>SUMIFS(ExpOct[金额],ExpOct[类别],支出摘要[[#This Row],[支出]])</f>
        <v>50</v>
      </c>
      <c r="L5" s="14">
        <f>SUMIFS(ExpNov[金额],ExpNov[类别],支出摘要[支出])</f>
        <v>0</v>
      </c>
      <c r="M5" s="14">
        <f>SUMIFS(ExpDec[金额],ExpDec[类别],支出摘要[[#This Row],[支出]])</f>
        <v>50</v>
      </c>
      <c r="N5" s="14">
        <f>SUM(支出摘要[[#This Row],[1 月]:[12 月]])</f>
        <v>214</v>
      </c>
    </row>
    <row r="6" spans="1:15" s="15" customFormat="1" ht="30" customHeight="1" x14ac:dyDescent="0.6">
      <c r="A6" s="13" t="s">
        <v>63</v>
      </c>
      <c r="B6" s="14">
        <f>SUMIFS(ExpJan[金额],ExpJan[类别],支出摘要[[#This Row],[支出]])</f>
        <v>499</v>
      </c>
      <c r="C6" s="14">
        <f>SUMIFS(ExpFeb[金额],ExpFeb[类别],支出摘要[[#This Row],[支出]])</f>
        <v>0</v>
      </c>
      <c r="D6" s="14">
        <f>SUMIFS(ExpMar[金额],ExpMar[类别],支出摘要[[#This Row],[支出]])</f>
        <v>0</v>
      </c>
      <c r="E6" s="14">
        <f>SUMIFS(ExpApr[金额],ExpApr[类别],支出摘要[[#This Row],[支出]])</f>
        <v>0</v>
      </c>
      <c r="F6" s="14">
        <f>SUMIFS(ExpMay[金额],ExpMay[类别],支出摘要[[#This Row],[支出]])</f>
        <v>0</v>
      </c>
      <c r="G6" s="14">
        <f>SUMIFS(ExpJun[金额],ExpJun[类别],支出摘要[[#This Row],[支出]])</f>
        <v>0</v>
      </c>
      <c r="H6" s="14">
        <f>SUMIFS(ExpJul[金额],ExpJul[类别],支出摘要[[#This Row],[支出]])</f>
        <v>0</v>
      </c>
      <c r="I6" s="14">
        <f>SUMIFS(ExpAug[金额],ExpAug[类别],支出摘要[[#This Row],[支出]])</f>
        <v>0</v>
      </c>
      <c r="J6" s="14">
        <f>SUMIFS(ExpSep[金额],ExpSep[类别],支出摘要[[#This Row],[支出]])</f>
        <v>132.9</v>
      </c>
      <c r="K6" s="14">
        <f>SUMIFS(ExpOct[金额],ExpOct[类别],支出摘要[[#This Row],[支出]])</f>
        <v>0</v>
      </c>
      <c r="L6" s="14">
        <f>SUMIFS(ExpNov[金额],ExpNov[类别],支出摘要[支出])</f>
        <v>0</v>
      </c>
      <c r="M6" s="14">
        <f>SUMIFS(ExpDec[金额],ExpDec[类别],支出摘要[[#This Row],[支出]])</f>
        <v>0</v>
      </c>
      <c r="N6" s="14">
        <f>SUM(支出摘要[[#This Row],[1 月]:[12 月]])</f>
        <v>631.9</v>
      </c>
    </row>
    <row r="7" spans="1:15" s="15" customFormat="1" ht="30" customHeight="1" x14ac:dyDescent="0.6">
      <c r="A7" s="13" t="s">
        <v>70</v>
      </c>
      <c r="B7" s="14">
        <f>SUMIFS(ExpJan[金额],ExpJan[类别],支出摘要[[#This Row],[支出]])</f>
        <v>29</v>
      </c>
      <c r="C7" s="14">
        <f>SUMIFS(ExpFeb[金额],ExpFeb[类别],支出摘要[[#This Row],[支出]])</f>
        <v>0</v>
      </c>
      <c r="D7" s="14">
        <f>SUMIFS(ExpMar[金额],ExpMar[类别],支出摘要[[#This Row],[支出]])</f>
        <v>9</v>
      </c>
      <c r="E7" s="14">
        <f>SUMIFS(ExpApr[金额],ExpApr[类别],支出摘要[[#This Row],[支出]])</f>
        <v>0</v>
      </c>
      <c r="F7" s="14">
        <f>SUMIFS(ExpMay[金额],ExpMay[类别],支出摘要[[#This Row],[支出]])</f>
        <v>19.8</v>
      </c>
      <c r="G7" s="14">
        <f>SUMIFS(ExpJun[金额],ExpJun[类别],支出摘要[[#This Row],[支出]])</f>
        <v>0</v>
      </c>
      <c r="H7" s="14">
        <f>SUMIFS(ExpJul[金额],ExpJul[类别],支出摘要[[#This Row],[支出]])</f>
        <v>0</v>
      </c>
      <c r="I7" s="14">
        <f>SUMIFS(ExpAug[金额],ExpAug[类别],支出摘要[[#This Row],[支出]])</f>
        <v>0</v>
      </c>
      <c r="J7" s="14">
        <f>SUMIFS(ExpSep[金额],ExpSep[类别],支出摘要[[#This Row],[支出]])</f>
        <v>26.75</v>
      </c>
      <c r="K7" s="14">
        <f>SUMIFS(ExpOct[金额],ExpOct[类别],支出摘要[[#This Row],[支出]])</f>
        <v>19.3</v>
      </c>
      <c r="L7" s="14">
        <f>SUMIFS(ExpNov[金额],ExpNov[类别],支出摘要[支出])</f>
        <v>183.25</v>
      </c>
      <c r="M7" s="14">
        <f>SUMIFS(ExpDec[金额],ExpDec[类别],支出摘要[[#This Row],[支出]])</f>
        <v>0</v>
      </c>
      <c r="N7" s="14">
        <f>SUM(支出摘要[[#This Row],[1 月]:[12 月]])</f>
        <v>287.10000000000002</v>
      </c>
    </row>
    <row r="8" spans="1:15" s="15" customFormat="1" ht="30" customHeight="1" x14ac:dyDescent="0.6">
      <c r="A8" s="13" t="s">
        <v>65</v>
      </c>
      <c r="B8" s="14">
        <f>SUMIFS(ExpJan[金额],ExpJan[类别],支出摘要[[#This Row],[支出]])</f>
        <v>0</v>
      </c>
      <c r="C8" s="14">
        <f>SUMIFS(ExpFeb[金额],ExpFeb[类别],支出摘要[[#This Row],[支出]])</f>
        <v>0</v>
      </c>
      <c r="D8" s="14">
        <f>SUMIFS(ExpMar[金额],ExpMar[类别],支出摘要[[#This Row],[支出]])</f>
        <v>200</v>
      </c>
      <c r="E8" s="14">
        <f>SUMIFS(ExpApr[金额],ExpApr[类别],支出摘要[[#This Row],[支出]])</f>
        <v>200</v>
      </c>
      <c r="F8" s="14">
        <f>SUMIFS(ExpMay[金额],ExpMay[类别],支出摘要[[#This Row],[支出]])</f>
        <v>200</v>
      </c>
      <c r="G8" s="14">
        <f>SUMIFS(ExpJun[金额],ExpJun[类别],支出摘要[[#This Row],[支出]])</f>
        <v>0</v>
      </c>
      <c r="H8" s="14">
        <f>SUMIFS(ExpJul[金额],ExpJul[类别],支出摘要[[#This Row],[支出]])</f>
        <v>0</v>
      </c>
      <c r="I8" s="14">
        <f>SUMIFS(ExpAug[金额],ExpAug[类别],支出摘要[[#This Row],[支出]])</f>
        <v>0</v>
      </c>
      <c r="J8" s="14">
        <f>SUMIFS(ExpSep[金额],ExpSep[类别],支出摘要[[#This Row],[支出]])</f>
        <v>320</v>
      </c>
      <c r="K8" s="14">
        <f>SUMIFS(ExpOct[金额],ExpOct[类别],支出摘要[[#This Row],[支出]])</f>
        <v>0</v>
      </c>
      <c r="L8" s="14">
        <f>SUMIFS(ExpNov[金额],ExpNov[类别],支出摘要[支出])</f>
        <v>209.8</v>
      </c>
      <c r="M8" s="14">
        <f>SUMIFS(ExpDec[金额],ExpDec[类别],支出摘要[[#This Row],[支出]])</f>
        <v>219.6</v>
      </c>
      <c r="N8" s="14">
        <f>SUM(支出摘要[[#This Row],[1 月]:[12 月]])</f>
        <v>1349.3999999999999</v>
      </c>
    </row>
    <row r="9" spans="1:15" s="15" customFormat="1" ht="30" customHeight="1" x14ac:dyDescent="0.6">
      <c r="A9" s="16" t="s">
        <v>5</v>
      </c>
      <c r="B9" s="14">
        <f>SUMIFS(ExpJan[金额],ExpJan[类别],支出摘要[[#This Row],[支出]])</f>
        <v>0</v>
      </c>
      <c r="C9" s="14">
        <f>SUMIFS(ExpFeb[金额],ExpFeb[类别],支出摘要[[#This Row],[支出]])</f>
        <v>0</v>
      </c>
      <c r="D9" s="14">
        <f>SUMIFS(ExpMar[金额],ExpMar[类别],支出摘要[[#This Row],[支出]])</f>
        <v>664.92</v>
      </c>
      <c r="E9" s="14">
        <f>SUMIFS(ExpApr[金额],ExpApr[类别],支出摘要[[#This Row],[支出]])</f>
        <v>0</v>
      </c>
      <c r="F9" s="14">
        <f>SUMIFS(ExpMay[金额],ExpMay[类别],支出摘要[[#This Row],[支出]])</f>
        <v>0</v>
      </c>
      <c r="G9" s="14">
        <f>SUMIFS(ExpJun[金额],ExpJun[类别],支出摘要[[#This Row],[支出]])</f>
        <v>0</v>
      </c>
      <c r="H9" s="14">
        <f>SUMIFS(ExpJul[金额],ExpJul[类别],支出摘要[[#This Row],[支出]])</f>
        <v>0</v>
      </c>
      <c r="I9" s="14">
        <f>SUMIFS(ExpAug[金额],ExpAug[类别],支出摘要[[#This Row],[支出]])</f>
        <v>0</v>
      </c>
      <c r="J9" s="14">
        <f>SUMIFS(ExpSep[金额],ExpSep[类别],支出摘要[[#This Row],[支出]])</f>
        <v>0</v>
      </c>
      <c r="K9" s="14">
        <f>SUMIFS(ExpOct[金额],ExpOct[类别],支出摘要[[#This Row],[支出]])</f>
        <v>0</v>
      </c>
      <c r="L9" s="14">
        <f>SUMIFS(ExpNov[金额],ExpNov[类别],支出摘要[支出])</f>
        <v>0</v>
      </c>
      <c r="M9" s="14">
        <f>SUMIFS(ExpDec[金额],ExpDec[类别],支出摘要[[#This Row],[支出]])</f>
        <v>0</v>
      </c>
      <c r="N9" s="14">
        <f>SUM(支出摘要[[#This Row],[1 月]:[12 月]])</f>
        <v>664.92</v>
      </c>
    </row>
    <row r="10" spans="1:15" s="15" customFormat="1" ht="30" customHeight="1" x14ac:dyDescent="0.7">
      <c r="A10" s="17" t="s">
        <v>38</v>
      </c>
      <c r="B10" s="17">
        <f>SUBTOTAL(109,支出摘要[1 月])</f>
        <v>528</v>
      </c>
      <c r="C10" s="17">
        <f>SUBTOTAL(109,支出摘要[2 月])</f>
        <v>50</v>
      </c>
      <c r="D10" s="17">
        <f>SUBTOTAL(109,支出摘要[3 月])</f>
        <v>873.92</v>
      </c>
      <c r="E10" s="17">
        <f>SUBTOTAL(109,支出摘要[4 月])</f>
        <v>200</v>
      </c>
      <c r="F10" s="17">
        <f>SUBTOTAL(109,支出摘要[5 月])</f>
        <v>269.8</v>
      </c>
      <c r="G10" s="17">
        <f>SUBTOTAL(109,支出摘要[6 月])</f>
        <v>0</v>
      </c>
      <c r="H10" s="17">
        <f>SUBTOTAL(109,支出摘要[7 月])</f>
        <v>0</v>
      </c>
      <c r="I10" s="17">
        <f>SUBTOTAL(109,支出摘要[8 月])</f>
        <v>0</v>
      </c>
      <c r="J10" s="17" t="s">
        <v>74</v>
      </c>
      <c r="K10" s="17">
        <f>SUBTOTAL(109,支出摘要[10 月])</f>
        <v>69.3</v>
      </c>
      <c r="L10" s="17">
        <f>SUBTOTAL(109,支出摘要[11 月])</f>
        <v>393.05</v>
      </c>
      <c r="M10" s="17">
        <f>SUBTOTAL(109,支出摘要[12 月])</f>
        <v>269.60000000000002</v>
      </c>
      <c r="N10" s="17">
        <f>SUBTOTAL(109,支出摘要[总计])</f>
        <v>3147.3199999999997</v>
      </c>
    </row>
    <row r="11" spans="1:15" s="12" customFormat="1" ht="30" customHeight="1" x14ac:dyDescent="0.6"/>
    <row r="12" spans="1:15" s="12" customFormat="1" ht="30" customHeight="1" x14ac:dyDescent="0.7">
      <c r="A12" s="18" t="s">
        <v>77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19" t="s">
        <v>6</v>
      </c>
      <c r="O12" s="20" t="s">
        <v>78</v>
      </c>
    </row>
    <row r="13" spans="1:15" s="15" customFormat="1" ht="30" customHeight="1" x14ac:dyDescent="0.6">
      <c r="A13" s="23" t="s">
        <v>79</v>
      </c>
      <c r="B13" s="24">
        <f>SUMIFS(寝室收入!B2:B22,寝室收入!A2:A22,"&gt;=2019-01-01",寝室收入!A2:A22,"&lt;=2019-01-31")</f>
        <v>301.42</v>
      </c>
      <c r="C13" s="24">
        <f>SUMIFS(寝室收入!B2:B22,寝室收入!A2:A22,"&gt;=2019-02-01",寝室收入!A2:A22,"&lt;=2019-02-28")</f>
        <v>0</v>
      </c>
      <c r="D13" s="24">
        <f>SUMIFS(寝室收入!B2:B22,寝室收入!A2:A22,"&gt;=2019-03-01",寝室收入!A2:A22,"&lt;=2019-03-31")</f>
        <v>1387.92</v>
      </c>
      <c r="E13" s="24">
        <f>SUMIFS(寝室收入!B2:B22,寝室收入!A2:A22,"&gt;=2019-04-01",寝室收入!A2:A22,"&lt;=2019-04-30")</f>
        <v>235.04</v>
      </c>
      <c r="F13" s="24">
        <f>SUMIFS(寝室收入!B2:B22,寝室收入!A2:A22,"&gt;=2019-05-01",寝室收入!A2:A22,"&lt;=2019-05-31")</f>
        <v>269.75</v>
      </c>
      <c r="G13" s="24">
        <f>SUMIFS(寝室收入!B2:B22,寝室收入!A2:A22,"&gt;=2019-06-01",寝室收入!A2:A22,"&lt;=2019-06-30")</f>
        <v>0</v>
      </c>
      <c r="H13" s="24">
        <f>SUMIFS(寝室收入!B2:B22,寝室收入!A2:A22,"&gt;=2019-07-01",寝室收入!A2:A22,"&lt;=2019-07-31")</f>
        <v>0</v>
      </c>
      <c r="I13" s="24">
        <f>SUMIFS(寝室收入!B2:B22,寝室收入!A2:A22,"&gt;=2019-08-01",寝室收入!A2:A22,"&lt;=2019-08-31")</f>
        <v>0</v>
      </c>
      <c r="J13" s="24">
        <f>SUMIFS(寝室收入!B2:B22,寝室收入!A2:A22,"&gt;=2018-09-01",寝室收入!A2:A22,"&lt;=2018-09-30")</f>
        <v>420</v>
      </c>
      <c r="K13" s="24">
        <f>SUMIFS(寝室收入!B2:B22,寝室收入!A2:A22,"&gt;=2018-10-01",寝室收入!A2:A22,"&lt;=2018-10-31")</f>
        <v>280</v>
      </c>
      <c r="L13" s="24">
        <f>SUMIFS(寝室收入!B2:B22,寝室收入!A2:A22,"&gt;=2018-11-01",寝室收入!A2:A22,"&lt;=2018-11-30")</f>
        <v>253.26</v>
      </c>
      <c r="M13" s="24">
        <f>SUMIFS(寝室收入!B2:B22,寝室收入!A2:A22,"&gt;=2018-12-01",寝室收入!A2:A22,"&lt;=2018-12-31")</f>
        <v>0</v>
      </c>
      <c r="N13" s="24">
        <f>SUM(表1[[#This Row],[1 月]:[12 月]])</f>
        <v>3147.3900000000003</v>
      </c>
      <c r="O13" s="25"/>
    </row>
    <row r="14" spans="1:15" ht="30" customHeight="1" thickBot="1" x14ac:dyDescent="0.65"/>
    <row r="15" spans="1:15" ht="30" customHeight="1" x14ac:dyDescent="0.7">
      <c r="D15" s="44" t="s">
        <v>106</v>
      </c>
      <c r="E15" s="45">
        <f ca="1">VLOOKUP(WEEKNUM(TODAY(),2),值日安排!C2:F41,2,FALSE)</f>
        <v>9</v>
      </c>
      <c r="F15" s="46" t="s">
        <v>109</v>
      </c>
      <c r="G15" s="45">
        <f ca="1">VLOOKUP(WEEKNUM(TODAY(),2),值日安排!C2:F41,3,FALSE)</f>
        <v>2</v>
      </c>
      <c r="H15" s="46" t="s">
        <v>110</v>
      </c>
      <c r="I15" s="45" t="str">
        <f ca="1">VLOOKUP(WEEKNUM(TODAY(),2),值日安排!C2:F41,4,FALSE)</f>
        <v>单亚东 杨嘉棋</v>
      </c>
      <c r="J15" s="46" t="s">
        <v>107</v>
      </c>
      <c r="N15" s="22" t="s">
        <v>87</v>
      </c>
    </row>
    <row r="16" spans="1:15" ht="30" customHeight="1" thickBot="1" x14ac:dyDescent="0.75">
      <c r="I16" s="47" t="s">
        <v>108</v>
      </c>
      <c r="J16" s="48">
        <f ca="1">TODAY()</f>
        <v>44136</v>
      </c>
      <c r="N16" s="21">
        <f>表1[总计]-支出摘要[[#Totals],[总计]]</f>
        <v>7.0000000000618456E-2</v>
      </c>
    </row>
  </sheetData>
  <dataConsolidate/>
  <phoneticPr fontId="14" type="noConversion"/>
  <dataValidations count="23">
    <dataValidation allowBlank="1" showInputMessage="1" showErrorMessage="1" prompt="跟踪 12 个月以来特定支出的支出趋势工作簿。除此摘要工作表外，此工作簿还包含一个提示工作表和每个月的工作表" sqref="A1" xr:uid="{00000000-0002-0000-0100-000000000000}"/>
    <dataValidation allowBlank="1" showInputMessage="1" showErrorMessage="1" prompt="在此列中输入支出名称" sqref="A4 A12" xr:uid="{00000000-0002-0000-0100-000001000000}"/>
    <dataValidation allowBlank="1" showInputMessage="1" showErrorMessage="1" prompt="此列中自动显示 12 个月间的总支出" sqref="N4 N12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B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B4:M4 B12:M12" xr:uid="{00000000-0002-0000-0100-000015000000}"/>
    <dataValidation type="list" errorStyle="warning" allowBlank="1" showInputMessage="1" showErrorMessage="1" error="应从下拉列表中选择开支，以便“摘要”工作表中包含该开支" sqref="A5:A8" xr:uid="{9040A2E3-C8EB-4DB0-969C-5C2E801E9CA2}">
      <formula1>ExpenseCategories</formula1>
    </dataValidation>
  </dataValidations>
  <hyperlinks>
    <hyperlink ref="B2" location="'1 月'!A1" tooltip="选择以导航到 1 月" display="1 月" xr:uid="{00000000-0004-0000-0100-000000000000}"/>
    <hyperlink ref="C2" location="'2 月'!A1" tooltip="选择以导航到 2 月" display="2 月" xr:uid="{00000000-0004-0000-0100-000001000000}"/>
    <hyperlink ref="D2" location="'3 月'!A1" tooltip="选择以导航到 3 月" display="3 月" xr:uid="{00000000-0004-0000-0100-000002000000}"/>
    <hyperlink ref="E2" location="'4 月'!A1" tooltip="选择以导航到 4 月" display="4 月" xr:uid="{00000000-0004-0000-0100-000003000000}"/>
    <hyperlink ref="F2" location="'5 月'!A1" tooltip="选择以导航到 5 月" display="5 月" xr:uid="{00000000-0004-0000-0100-000004000000}"/>
    <hyperlink ref="G2" location="'6 月'!A1" tooltip="选择以导航到 6 月" display="6 月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M2" location="'12 月'!A1" tooltip="选择以导航到 12 月" display="12 月" xr:uid="{00000000-0004-0000-0100-00000B000000}"/>
    <hyperlink ref="N2" location="提示!A1" tooltip="选择以导航到提示" display="提示" xr:uid="{00000000-0004-0000-0100-00000C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D9"/>
  <sheetViews>
    <sheetView showGridLines="0" workbookViewId="0">
      <selection activeCell="B9" sqref="B9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31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DATE(2019,5,1)</f>
        <v>43586</v>
      </c>
      <c r="B3" s="9">
        <v>50</v>
      </c>
      <c r="C3" s="4" t="s">
        <v>68</v>
      </c>
      <c r="D3" s="4" t="s">
        <v>154</v>
      </c>
    </row>
    <row r="4" spans="1:4" ht="30" customHeight="1" x14ac:dyDescent="0.6">
      <c r="A4" s="7">
        <f>DATE(2019,5,12)</f>
        <v>43597</v>
      </c>
      <c r="B4" s="9">
        <v>200</v>
      </c>
      <c r="C4" s="4" t="s">
        <v>65</v>
      </c>
      <c r="D4" s="4" t="s">
        <v>155</v>
      </c>
    </row>
    <row r="5" spans="1:4" ht="30" customHeight="1" x14ac:dyDescent="0.6">
      <c r="A5" s="7">
        <f>DATE(2019,5,14)</f>
        <v>43599</v>
      </c>
      <c r="B5" s="9">
        <v>19.8</v>
      </c>
      <c r="C5" s="4" t="s">
        <v>70</v>
      </c>
      <c r="D5" s="4" t="s">
        <v>156</v>
      </c>
    </row>
    <row r="6" spans="1:4" ht="30" customHeight="1" x14ac:dyDescent="0.6">
      <c r="A6" s="7"/>
      <c r="B6" s="9"/>
      <c r="C6" s="4"/>
      <c r="D6" s="4"/>
    </row>
    <row r="7" spans="1:4" ht="30" customHeight="1" x14ac:dyDescent="0.6">
      <c r="A7" s="7"/>
      <c r="B7" s="9"/>
      <c r="C7" s="4"/>
      <c r="D7" s="4"/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SUBTOTAL(109,ExpMay[金额])</f>
        <v>269.8</v>
      </c>
      <c r="C9" s="5"/>
      <c r="D9" s="5"/>
    </row>
  </sheetData>
  <mergeCells count="1">
    <mergeCell ref="A1:B1"/>
  </mergeCells>
  <phoneticPr fontId="9" type="noConversion"/>
  <dataValidations count="10">
    <dataValidation type="custom" errorStyle="warning" allowBlank="1" showInputMessage="1" showErrorMessage="1" errorTitle="金额验证" error="金额应为数字。" sqref="B3:B8" xr:uid="{00000000-0002-0000-0600-000000000000}">
      <formula1>ISNUMBER($B3)</formula1>
    </dataValidation>
    <dataValidation type="custom" errorStyle="warning" allowBlank="1" showInputMessage="1" showErrorMessage="1" error="需输入 5 月的日期，以便将此支出添加到“摘要”表" sqref="A3:A8" xr:uid="{00000000-0002-0000-0600-000001000000}">
      <formula1>MONTH($A3)=5</formula1>
    </dataValidation>
    <dataValidation type="list" errorStyle="warning" allowBlank="1" showInputMessage="1" showErrorMessage="1" error="应从下拉列表中选择开支，以便“摘要”工作表中包含该开支" sqref="C3:C8" xr:uid="{00000000-0002-0000-0600-000002000000}">
      <formula1>ExpenseCategories</formula1>
    </dataValidation>
    <dataValidation allowBlank="1" showInputMessage="1" showErrorMessage="1" prompt="“摘要”工作表的导航超链接" sqref="C1" xr:uid="{00000000-0002-0000-0600-000004000000}"/>
    <dataValidation allowBlank="1" showInputMessage="1" showErrorMessage="1" prompt="“提示”工作表的导航超链接" sqref="D1" xr:uid="{00000000-0002-0000-0600-000005000000}"/>
    <dataValidation allowBlank="1" showInputMessage="1" showErrorMessage="1" prompt="在此列中输入支出日期" sqref="A2" xr:uid="{00000000-0002-0000-0600-000006000000}"/>
    <dataValidation allowBlank="1" showInputMessage="1" showErrorMessage="1" prompt="在此列中输入支出金额" sqref="B2" xr:uid="{00000000-0002-0000-0600-000008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600-000009000000}"/>
    <dataValidation allowBlank="1" showInputMessage="1" showErrorMessage="1" prompt="在此列中输入支出描述" sqref="D2" xr:uid="{00000000-0002-0000-0600-00000A000000}"/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600-000003000000}"/>
  </dataValidations>
  <hyperlinks>
    <hyperlink ref="C1" location="摘要!A1" tooltip="选择以查看摘要" display="摘要" xr:uid="{00000000-0004-0000-0600-000000000000}"/>
    <hyperlink ref="D1" location="提示!A1" tooltip="选择以导航到“提示”工作表" display="提示" xr:uid="{00000000-0004-0000-06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D9"/>
  <sheetViews>
    <sheetView showGridLines="0" workbookViewId="0">
      <selection activeCell="B2" sqref="B1:B1048576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32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DATE(2019,6,7)</f>
        <v>43623</v>
      </c>
      <c r="B3" s="9"/>
      <c r="C3" s="4" t="s">
        <v>39</v>
      </c>
      <c r="D3" s="4" t="s">
        <v>27</v>
      </c>
    </row>
    <row r="4" spans="1:4" ht="30" customHeight="1" x14ac:dyDescent="0.6">
      <c r="A4" s="7">
        <f>DATE(2019,6,7)</f>
        <v>43623</v>
      </c>
      <c r="B4" s="9"/>
      <c r="C4" s="4" t="s">
        <v>2</v>
      </c>
      <c r="D4" s="4"/>
    </row>
    <row r="5" spans="1:4" ht="30" customHeight="1" x14ac:dyDescent="0.6">
      <c r="A5" s="7"/>
      <c r="B5" s="9"/>
      <c r="C5" s="4" t="s">
        <v>5</v>
      </c>
      <c r="D5" s="4"/>
    </row>
    <row r="6" spans="1:4" ht="30" customHeight="1" x14ac:dyDescent="0.6">
      <c r="A6" s="7"/>
      <c r="B6" s="9"/>
      <c r="C6" s="4" t="s">
        <v>3</v>
      </c>
      <c r="D6" s="4"/>
    </row>
    <row r="7" spans="1:4" ht="30" customHeight="1" x14ac:dyDescent="0.6">
      <c r="A7" s="7"/>
      <c r="B7" s="9"/>
      <c r="C7" s="4" t="s">
        <v>4</v>
      </c>
      <c r="D7" s="4"/>
    </row>
    <row r="8" spans="1:4" ht="30" customHeight="1" x14ac:dyDescent="0.6">
      <c r="A8" s="7"/>
      <c r="B8" s="9"/>
      <c r="C8" s="4" t="s">
        <v>5</v>
      </c>
      <c r="D8" s="4"/>
    </row>
    <row r="9" spans="1:4" ht="30" customHeight="1" x14ac:dyDescent="0.6">
      <c r="A9" s="5" t="s">
        <v>38</v>
      </c>
      <c r="B9" s="8"/>
      <c r="C9" s="5"/>
      <c r="D9" s="5"/>
    </row>
  </sheetData>
  <mergeCells count="1">
    <mergeCell ref="A1:B1"/>
  </mergeCells>
  <phoneticPr fontId="9" type="noConversion"/>
  <dataValidations count="10">
    <dataValidation type="custom" errorStyle="warning" allowBlank="1" showInputMessage="1" showErrorMessage="1" errorTitle="金额验证" error="金额应为数字。" sqref="B3:B8" xr:uid="{00000000-0002-0000-0700-000000000000}">
      <formula1>ISNUMBER($B3)</formula1>
    </dataValidation>
    <dataValidation type="custom" errorStyle="warning" allowBlank="1" showInputMessage="1" showErrorMessage="1" error="需输入 6 月的日期，以便将此支出添加到“摘要”表" sqref="A3:A8" xr:uid="{00000000-0002-0000-0700-000001000000}">
      <formula1>MONTH($A3)=6</formula1>
    </dataValidation>
    <dataValidation type="list" errorStyle="warning" allowBlank="1" showInputMessage="1" showErrorMessage="1" error="应从下拉列表中选择开支，以便“摘要”工作表中包含该开支" sqref="C3:C8" xr:uid="{00000000-0002-0000-0700-000002000000}">
      <formula1>ExpenseCategories</formula1>
    </dataValidation>
    <dataValidation allowBlank="1" showInputMessage="1" showErrorMessage="1" prompt="“摘要”工作表的导航超链接" sqref="C1" xr:uid="{00000000-0002-0000-0700-000004000000}"/>
    <dataValidation allowBlank="1" showInputMessage="1" showErrorMessage="1" prompt="“提示”工作表的导航超链接" sqref="D1" xr:uid="{00000000-0002-0000-0700-000005000000}"/>
    <dataValidation allowBlank="1" showInputMessage="1" showErrorMessage="1" prompt="在此列中输入支出日期" sqref="A2" xr:uid="{00000000-0002-0000-0700-000006000000}"/>
    <dataValidation allowBlank="1" showInputMessage="1" showErrorMessage="1" prompt="在此列中输入支出金额" sqref="B2" xr:uid="{00000000-0002-0000-0700-000008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700-000009000000}"/>
    <dataValidation allowBlank="1" showInputMessage="1" showErrorMessage="1" prompt="在此列中输入支出描述" sqref="D2" xr:uid="{00000000-0002-0000-0700-00000A000000}"/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700-000003000000}"/>
  </dataValidations>
  <hyperlinks>
    <hyperlink ref="C1" location="摘要!A1" tooltip="选择以查看摘要" display="摘要" xr:uid="{00000000-0004-0000-0700-000000000000}"/>
    <hyperlink ref="D1" location="提示!A1" tooltip="选择以导航到“提示”工作表" display="提示" xr:uid="{00000000-0004-0000-07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D9"/>
  <sheetViews>
    <sheetView showGridLines="0" topLeftCell="A4" zoomScaleNormal="100" workbookViewId="0">
      <selection activeCell="B2" sqref="B1:B1048576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33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DATE(2019,7,9)</f>
        <v>43655</v>
      </c>
      <c r="B3" s="9"/>
      <c r="C3" s="4" t="s">
        <v>39</v>
      </c>
      <c r="D3" s="4" t="s">
        <v>27</v>
      </c>
    </row>
    <row r="4" spans="1:4" ht="30" customHeight="1" x14ac:dyDescent="0.6">
      <c r="A4" s="7">
        <f>DATE(2018,7,14)</f>
        <v>43295</v>
      </c>
      <c r="B4" s="9"/>
      <c r="C4" s="4" t="s">
        <v>2</v>
      </c>
      <c r="D4" s="4"/>
    </row>
    <row r="5" spans="1:4" ht="30" customHeight="1" x14ac:dyDescent="0.6">
      <c r="A5" s="7"/>
      <c r="B5" s="9"/>
      <c r="C5" s="4" t="s">
        <v>2</v>
      </c>
      <c r="D5" s="4"/>
    </row>
    <row r="6" spans="1:4" ht="30" customHeight="1" x14ac:dyDescent="0.6">
      <c r="A6" s="7"/>
      <c r="B6" s="9"/>
      <c r="C6" s="4" t="s">
        <v>3</v>
      </c>
      <c r="D6" s="4"/>
    </row>
    <row r="7" spans="1:4" ht="30" customHeight="1" x14ac:dyDescent="0.6">
      <c r="A7" s="7"/>
      <c r="B7" s="9"/>
      <c r="C7" s="4" t="s">
        <v>4</v>
      </c>
      <c r="D7" s="4"/>
    </row>
    <row r="8" spans="1:4" ht="30" customHeight="1" x14ac:dyDescent="0.6">
      <c r="A8" s="7"/>
      <c r="B8" s="9"/>
      <c r="C8" s="4" t="s">
        <v>5</v>
      </c>
      <c r="D8" s="4"/>
    </row>
    <row r="9" spans="1:4" ht="30" customHeight="1" x14ac:dyDescent="0.6">
      <c r="A9" s="5" t="s">
        <v>38</v>
      </c>
      <c r="B9" s="8"/>
      <c r="C9" s="5"/>
      <c r="D9" s="5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800-000000000000}">
      <formula1>ExpenseCategories</formula1>
    </dataValidation>
    <dataValidation allowBlank="1" showInputMessage="1" showErrorMessage="1" prompt="“摘要”工作表的导航超链接" sqref="C1" xr:uid="{00000000-0002-0000-0800-000002000000}"/>
    <dataValidation allowBlank="1" showInputMessage="1" showErrorMessage="1" prompt="“提示”工作表的导航超链接" sqref="D1" xr:uid="{00000000-0002-0000-0800-000003000000}"/>
    <dataValidation allowBlank="1" showInputMessage="1" showErrorMessage="1" prompt="在此列中输入支出日期" sqref="A2" xr:uid="{00000000-0002-0000-0800-000004000000}"/>
    <dataValidation allowBlank="1" showInputMessage="1" showErrorMessage="1" prompt="在此列中输入支出金额" sqref="B2" xr:uid="{00000000-0002-0000-08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800-000007000000}"/>
    <dataValidation allowBlank="1" showInputMessage="1" showErrorMessage="1" prompt="在此列中输入支出描述" sqref="D2" xr:uid="{00000000-0002-0000-0800-000008000000}"/>
    <dataValidation type="custom" errorStyle="warning" allowBlank="1" showInputMessage="1" showErrorMessage="1" errorTitle="金额验证" error="金额应为数字。" sqref="B3:B8" xr:uid="{00000000-0002-0000-0800-000009000000}">
      <formula1>ISNUMBER($B3)</formula1>
    </dataValidation>
    <dataValidation type="custom" errorStyle="warning" allowBlank="1" showInputMessage="1" showErrorMessage="1" error="需输入 7 月的日期，以便将此支出添加到“摘要”表" sqref="A3:A8" xr:uid="{00000000-0002-0000-0800-00000A000000}">
      <formula1>MONTH($A3)=7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800-000001000000}"/>
  </dataValidations>
  <hyperlinks>
    <hyperlink ref="C1" location="摘要!A1" tooltip="选择以查看摘要" display="摘要" xr:uid="{00000000-0004-0000-0800-000000000000}"/>
    <hyperlink ref="D1" location="提示!A1" tooltip="选择以导航到“提示”工作表" display="提示" xr:uid="{00000000-0004-0000-08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D9"/>
  <sheetViews>
    <sheetView showGridLines="0" topLeftCell="A6" zoomScaleNormal="100" workbookViewId="0">
      <selection activeCell="B2" sqref="B1:B1048576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34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DATE(2019,8,8)</f>
        <v>43685</v>
      </c>
      <c r="B3" s="9"/>
      <c r="C3" s="4" t="s">
        <v>1</v>
      </c>
      <c r="D3" s="4" t="s">
        <v>27</v>
      </c>
    </row>
    <row r="4" spans="1:4" ht="30" customHeight="1" x14ac:dyDescent="0.6">
      <c r="A4" s="7">
        <f>DATE(2019,8,8)</f>
        <v>43685</v>
      </c>
      <c r="B4" s="9"/>
      <c r="C4" s="4" t="s">
        <v>2</v>
      </c>
      <c r="D4" s="4"/>
    </row>
    <row r="5" spans="1:4" ht="30" customHeight="1" x14ac:dyDescent="0.6">
      <c r="A5" s="7"/>
      <c r="B5" s="9"/>
      <c r="C5" s="4" t="s">
        <v>2</v>
      </c>
      <c r="D5" s="4"/>
    </row>
    <row r="6" spans="1:4" ht="30" customHeight="1" x14ac:dyDescent="0.6">
      <c r="A6" s="7"/>
      <c r="B6" s="9"/>
      <c r="C6" s="4" t="s">
        <v>3</v>
      </c>
      <c r="D6" s="4"/>
    </row>
    <row r="7" spans="1:4" ht="30" customHeight="1" x14ac:dyDescent="0.6">
      <c r="A7" s="7"/>
      <c r="B7" s="9"/>
      <c r="C7" s="4" t="s">
        <v>4</v>
      </c>
      <c r="D7" s="4"/>
    </row>
    <row r="8" spans="1:4" ht="30" customHeight="1" x14ac:dyDescent="0.6">
      <c r="A8" s="7"/>
      <c r="B8" s="9"/>
      <c r="C8" s="4" t="s">
        <v>5</v>
      </c>
      <c r="D8" s="4"/>
    </row>
    <row r="9" spans="1:4" ht="30" customHeight="1" x14ac:dyDescent="0.6">
      <c r="A9" s="5" t="s">
        <v>38</v>
      </c>
      <c r="B9" s="8">
        <f>SUBTOTAL(109,ExpAug[金额])</f>
        <v>0</v>
      </c>
      <c r="C9" s="5"/>
      <c r="D9" s="5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900-000000000000}">
      <formula1>ExpenseCategories</formula1>
    </dataValidation>
    <dataValidation allowBlank="1" showInputMessage="1" showErrorMessage="1" prompt="“摘要”工作表的导航超链接" sqref="C1" xr:uid="{00000000-0002-0000-0900-000002000000}"/>
    <dataValidation allowBlank="1" showInputMessage="1" showErrorMessage="1" prompt="“提示”工作表的导航超链接" sqref="D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支出金额" sqref="B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900-000007000000}"/>
    <dataValidation allowBlank="1" showInputMessage="1" showErrorMessage="1" prompt="在此列中输入支出描述" sqref="D2" xr:uid="{00000000-0002-0000-0900-000008000000}"/>
    <dataValidation type="custom" errorStyle="warning" allowBlank="1" showInputMessage="1" showErrorMessage="1" errorTitle="金额验证" error="金额应为数字。" sqref="B3:B8" xr:uid="{00000000-0002-0000-0900-000009000000}">
      <formula1>ISNUMBER($B3)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900-000001000000}"/>
  </dataValidations>
  <hyperlinks>
    <hyperlink ref="C1" location="摘要!A1" tooltip="选择以查看摘要" display="摘要" xr:uid="{00000000-0004-0000-0900-000000000000}"/>
    <hyperlink ref="D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28"/>
  <sheetViews>
    <sheetView showGridLines="0" workbookViewId="0">
      <selection activeCell="D12" sqref="D12"/>
    </sheetView>
  </sheetViews>
  <sheetFormatPr defaultColWidth="9.15625" defaultRowHeight="30" customHeight="1" x14ac:dyDescent="0.6"/>
  <cols>
    <col min="1" max="1" width="16.578125" style="1" bestFit="1" customWidth="1"/>
    <col min="2" max="2" width="19.41796875" style="1" bestFit="1" customWidth="1"/>
    <col min="3" max="3" width="10.1015625" style="1" bestFit="1" customWidth="1"/>
    <col min="4" max="4" width="14.578125" style="1" bestFit="1" customWidth="1"/>
    <col min="5" max="5" width="6.9453125" style="1" bestFit="1" customWidth="1"/>
    <col min="6" max="16384" width="9.15625" style="1"/>
  </cols>
  <sheetData>
    <row r="1" spans="1:5" ht="35.1" customHeight="1" x14ac:dyDescent="1.2">
      <c r="A1" s="68" t="s">
        <v>60</v>
      </c>
      <c r="B1" s="69"/>
      <c r="C1" s="6" t="s">
        <v>24</v>
      </c>
      <c r="D1" s="6" t="s">
        <v>19</v>
      </c>
    </row>
    <row r="2" spans="1:5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5" ht="30" customHeight="1" x14ac:dyDescent="0.6">
      <c r="A3" s="7">
        <f>DATE(2018,9,1)</f>
        <v>43344</v>
      </c>
      <c r="B3" s="9">
        <v>100</v>
      </c>
      <c r="C3" s="4" t="s">
        <v>64</v>
      </c>
      <c r="D3" s="4" t="s">
        <v>55</v>
      </c>
    </row>
    <row r="4" spans="1:5" ht="30" customHeight="1" x14ac:dyDescent="0.6">
      <c r="A4" s="7">
        <f t="shared" ref="A4:A6" si="0">DATE(2018,9,1)</f>
        <v>43344</v>
      </c>
      <c r="B4" s="9">
        <v>120</v>
      </c>
      <c r="C4" s="4" t="s">
        <v>66</v>
      </c>
      <c r="D4" s="4" t="s">
        <v>57</v>
      </c>
    </row>
    <row r="5" spans="1:5" ht="30" customHeight="1" x14ac:dyDescent="0.6">
      <c r="A5" s="7">
        <f t="shared" si="0"/>
        <v>43344</v>
      </c>
      <c r="B5" s="9">
        <v>200</v>
      </c>
      <c r="C5" s="4" t="s">
        <v>67</v>
      </c>
      <c r="D5" s="4" t="s">
        <v>56</v>
      </c>
    </row>
    <row r="6" spans="1:5" ht="30" customHeight="1" x14ac:dyDescent="0.6">
      <c r="A6" s="7">
        <f t="shared" si="0"/>
        <v>43344</v>
      </c>
      <c r="B6" s="9">
        <v>32.9</v>
      </c>
      <c r="C6" s="4" t="s">
        <v>64</v>
      </c>
      <c r="D6" s="4" t="s">
        <v>58</v>
      </c>
    </row>
    <row r="7" spans="1:5" ht="30" customHeight="1" x14ac:dyDescent="0.6">
      <c r="A7" s="7">
        <f>DATE(2018,9,24)</f>
        <v>43367</v>
      </c>
      <c r="B7" s="9">
        <v>14</v>
      </c>
      <c r="C7" s="4" t="s">
        <v>69</v>
      </c>
      <c r="D7" s="4" t="s">
        <v>62</v>
      </c>
    </row>
    <row r="8" spans="1:5" ht="30" customHeight="1" x14ac:dyDescent="0.6">
      <c r="A8" s="7">
        <f>DATE(2018,9,26)</f>
        <v>43369</v>
      </c>
      <c r="B8" s="9">
        <v>26.75</v>
      </c>
      <c r="C8" s="4" t="s">
        <v>71</v>
      </c>
      <c r="D8" s="4" t="s">
        <v>61</v>
      </c>
    </row>
    <row r="9" spans="1:5" ht="30" customHeight="1" x14ac:dyDescent="0.6">
      <c r="A9" s="5" t="s">
        <v>38</v>
      </c>
      <c r="B9" s="8">
        <f>SUBTOTAL(109,ExpSep[金额])</f>
        <v>493.65</v>
      </c>
      <c r="C9" s="5"/>
      <c r="D9" s="5"/>
    </row>
    <row r="11" spans="1:5" ht="30" customHeight="1" x14ac:dyDescent="0.6">
      <c r="A11"/>
      <c r="B11"/>
      <c r="C11"/>
      <c r="D11"/>
      <c r="E11"/>
    </row>
    <row r="12" spans="1:5" ht="15.3" x14ac:dyDescent="0.6">
      <c r="A12"/>
      <c r="B12"/>
      <c r="C12"/>
      <c r="D12"/>
      <c r="E12"/>
    </row>
    <row r="13" spans="1:5" ht="15.3" x14ac:dyDescent="0.6">
      <c r="A13"/>
      <c r="B13"/>
      <c r="C13"/>
      <c r="D13"/>
      <c r="E13"/>
    </row>
    <row r="14" spans="1:5" ht="15.3" x14ac:dyDescent="0.6">
      <c r="A14"/>
      <c r="B14"/>
      <c r="C14"/>
      <c r="D14"/>
      <c r="E14"/>
    </row>
    <row r="15" spans="1:5" ht="15.3" x14ac:dyDescent="0.6">
      <c r="A15"/>
      <c r="B15"/>
      <c r="C15"/>
      <c r="D15"/>
      <c r="E15"/>
    </row>
    <row r="16" spans="1:5" ht="15.3" x14ac:dyDescent="0.6">
      <c r="A16"/>
      <c r="B16"/>
      <c r="C16"/>
      <c r="D16"/>
      <c r="E16"/>
    </row>
    <row r="17" spans="1:5" ht="15.3" x14ac:dyDescent="0.6">
      <c r="A17"/>
      <c r="B17"/>
      <c r="C17"/>
      <c r="D17"/>
      <c r="E17"/>
    </row>
    <row r="18" spans="1:5" ht="15.3" x14ac:dyDescent="0.6">
      <c r="A18"/>
      <c r="B18"/>
      <c r="C18"/>
      <c r="D18"/>
      <c r="E18"/>
    </row>
    <row r="19" spans="1:5" ht="15.3" x14ac:dyDescent="0.6">
      <c r="A19"/>
      <c r="B19"/>
      <c r="C19"/>
      <c r="D19"/>
      <c r="E19"/>
    </row>
    <row r="20" spans="1:5" ht="15.3" x14ac:dyDescent="0.6">
      <c r="A20"/>
      <c r="B20"/>
      <c r="C20"/>
      <c r="D20"/>
      <c r="E20"/>
    </row>
    <row r="21" spans="1:5" ht="15.3" x14ac:dyDescent="0.6">
      <c r="A21"/>
      <c r="B21"/>
      <c r="C21"/>
      <c r="D21"/>
      <c r="E21"/>
    </row>
    <row r="22" spans="1:5" ht="15.3" x14ac:dyDescent="0.6">
      <c r="A22"/>
      <c r="B22"/>
      <c r="C22"/>
      <c r="D22"/>
      <c r="E22"/>
    </row>
    <row r="23" spans="1:5" ht="15.3" x14ac:dyDescent="0.6">
      <c r="A23"/>
      <c r="B23"/>
      <c r="C23"/>
      <c r="D23"/>
      <c r="E23"/>
    </row>
    <row r="24" spans="1:5" ht="30" customHeight="1" x14ac:dyDescent="0.6">
      <c r="A24"/>
      <c r="B24"/>
      <c r="C24"/>
    </row>
    <row r="25" spans="1:5" ht="30" customHeight="1" x14ac:dyDescent="0.6">
      <c r="A25"/>
      <c r="B25"/>
      <c r="C25"/>
    </row>
    <row r="26" spans="1:5" ht="30" customHeight="1" x14ac:dyDescent="0.6">
      <c r="A26"/>
      <c r="B26"/>
      <c r="C26"/>
    </row>
    <row r="27" spans="1:5" ht="30" customHeight="1" x14ac:dyDescent="0.6">
      <c r="A27"/>
      <c r="B27"/>
      <c r="C27"/>
    </row>
    <row r="28" spans="1:5" ht="30" customHeight="1" x14ac:dyDescent="0.6">
      <c r="A28"/>
      <c r="B28"/>
      <c r="C28"/>
    </row>
  </sheetData>
  <mergeCells count="1">
    <mergeCell ref="A1:B1"/>
  </mergeCells>
  <phoneticPr fontId="9" type="noConversion"/>
  <dataValidations xWindow="565" yWindow="783" count="10">
    <dataValidation type="list" errorStyle="warning" allowBlank="1" showInputMessage="1" showErrorMessage="1" error="应从下拉列表中选择开支，以便“摘要”工作表中包含该开支" sqref="C3:C8" xr:uid="{00000000-0002-0000-0A00-000000000000}">
      <formula1>ExpenseCategories</formula1>
    </dataValidation>
    <dataValidation allowBlank="1" showInputMessage="1" showErrorMessage="1" prompt="“摘要”工作表的导航超链接" sqref="C1" xr:uid="{00000000-0002-0000-0A00-000002000000}"/>
    <dataValidation allowBlank="1" showInputMessage="1" showErrorMessage="1" prompt="“提示”工作表的导航超链接" sqref="D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支出金额" sqref="B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A00-000007000000}"/>
    <dataValidation allowBlank="1" showInputMessage="1" showErrorMessage="1" prompt="在此列中输入支出描述" sqref="D2" xr:uid="{00000000-0002-0000-0A00-000008000000}"/>
    <dataValidation type="custom" errorStyle="warning" allowBlank="1" showInputMessage="1" showErrorMessage="1" errorTitle="金额验证" error="金额应为数字。" sqref="B3:B8" xr:uid="{00000000-0002-0000-0A00-000009000000}">
      <formula1>ISNUMBER($B3)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A00-000001000000}"/>
  </dataValidations>
  <hyperlinks>
    <hyperlink ref="C1" location="摘要!A1" tooltip="选择以查看摘要" display="摘要" xr:uid="{00000000-0004-0000-0A00-000000000000}"/>
    <hyperlink ref="D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D28"/>
  <sheetViews>
    <sheetView showGridLines="0" topLeftCell="A4" workbookViewId="0">
      <selection activeCell="D12" sqref="D12"/>
    </sheetView>
  </sheetViews>
  <sheetFormatPr defaultColWidth="9.15625" defaultRowHeight="30" customHeight="1" x14ac:dyDescent="0.6"/>
  <cols>
    <col min="1" max="1" width="17.7890625" style="1" bestFit="1" customWidth="1"/>
    <col min="2" max="2" width="11.26171875" style="1" bestFit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35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DATE(2018,10,12)</f>
        <v>43385</v>
      </c>
      <c r="B3" s="9">
        <v>12.8</v>
      </c>
      <c r="C3" s="4" t="s">
        <v>71</v>
      </c>
      <c r="D3" s="4" t="s">
        <v>72</v>
      </c>
    </row>
    <row r="4" spans="1:4" ht="30" customHeight="1" x14ac:dyDescent="0.6">
      <c r="A4" s="7">
        <f>DATE(2018,10,12)</f>
        <v>43385</v>
      </c>
      <c r="B4" s="9">
        <v>6.5</v>
      </c>
      <c r="C4" s="4" t="s">
        <v>71</v>
      </c>
      <c r="D4" s="4" t="s">
        <v>73</v>
      </c>
    </row>
    <row r="5" spans="1:4" ht="30" customHeight="1" x14ac:dyDescent="0.6">
      <c r="A5" s="7">
        <f>DATE(2018,10,13)</f>
        <v>43386</v>
      </c>
      <c r="B5" s="9">
        <v>50</v>
      </c>
      <c r="C5" s="4" t="s">
        <v>69</v>
      </c>
      <c r="D5" s="4" t="s">
        <v>75</v>
      </c>
    </row>
    <row r="6" spans="1:4" ht="30" customHeight="1" x14ac:dyDescent="0.6">
      <c r="A6" s="7"/>
      <c r="B6" s="9"/>
      <c r="C6" s="4"/>
      <c r="D6" s="4"/>
    </row>
    <row r="7" spans="1:4" ht="30" customHeight="1" x14ac:dyDescent="0.6">
      <c r="A7" s="7"/>
      <c r="B7" s="9"/>
      <c r="C7" s="4"/>
      <c r="D7" s="4"/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SUBTOTAL(109,ExpOct[金额])</f>
        <v>69.3</v>
      </c>
      <c r="C9" s="5"/>
      <c r="D9" s="5"/>
    </row>
    <row r="11" spans="1:4" ht="15.3" x14ac:dyDescent="0.6">
      <c r="A11"/>
      <c r="B11"/>
      <c r="C11"/>
    </row>
    <row r="12" spans="1:4" ht="15.3" x14ac:dyDescent="0.6">
      <c r="A12"/>
      <c r="B12"/>
      <c r="C12"/>
    </row>
    <row r="13" spans="1:4" ht="15.3" x14ac:dyDescent="0.6">
      <c r="A13"/>
      <c r="B13"/>
      <c r="C13"/>
    </row>
    <row r="14" spans="1:4" ht="15.3" x14ac:dyDescent="0.6">
      <c r="A14"/>
      <c r="B14"/>
      <c r="C14"/>
    </row>
    <row r="15" spans="1:4" ht="15.3" x14ac:dyDescent="0.6">
      <c r="A15"/>
      <c r="B15"/>
      <c r="C15"/>
    </row>
    <row r="16" spans="1:4" ht="15.3" x14ac:dyDescent="0.6">
      <c r="A16"/>
      <c r="B16"/>
      <c r="C16"/>
    </row>
    <row r="17" spans="1:3" ht="15.3" x14ac:dyDescent="0.6">
      <c r="A17"/>
      <c r="B17"/>
      <c r="C17"/>
    </row>
    <row r="18" spans="1:3" ht="15.3" x14ac:dyDescent="0.6">
      <c r="A18"/>
      <c r="B18"/>
      <c r="C18"/>
    </row>
    <row r="19" spans="1:3" ht="15.3" x14ac:dyDescent="0.6">
      <c r="A19"/>
      <c r="B19"/>
      <c r="C19"/>
    </row>
    <row r="20" spans="1:3" ht="15.3" x14ac:dyDescent="0.6">
      <c r="A20"/>
      <c r="B20"/>
      <c r="C20"/>
    </row>
    <row r="21" spans="1:3" ht="15.3" x14ac:dyDescent="0.6">
      <c r="A21"/>
      <c r="B21"/>
      <c r="C21"/>
    </row>
    <row r="22" spans="1:3" ht="15.3" x14ac:dyDescent="0.6">
      <c r="A22"/>
      <c r="B22"/>
      <c r="C22"/>
    </row>
    <row r="23" spans="1:3" ht="15.3" x14ac:dyDescent="0.6">
      <c r="A23"/>
      <c r="B23"/>
      <c r="C23"/>
    </row>
    <row r="24" spans="1:3" ht="15.3" x14ac:dyDescent="0.6">
      <c r="A24"/>
      <c r="B24"/>
      <c r="C24"/>
    </row>
    <row r="25" spans="1:3" ht="15.3" x14ac:dyDescent="0.6">
      <c r="A25"/>
      <c r="B25"/>
      <c r="C25"/>
    </row>
    <row r="26" spans="1:3" ht="15.3" x14ac:dyDescent="0.6">
      <c r="A26"/>
      <c r="B26"/>
      <c r="C26"/>
    </row>
    <row r="27" spans="1:3" ht="15.3" x14ac:dyDescent="0.6">
      <c r="A27"/>
      <c r="B27"/>
      <c r="C27"/>
    </row>
    <row r="28" spans="1:3" ht="15.3" x14ac:dyDescent="0.6">
      <c r="A28"/>
      <c r="B28"/>
      <c r="C28"/>
    </row>
  </sheetData>
  <mergeCells count="1">
    <mergeCell ref="A1:B1"/>
  </mergeCells>
  <phoneticPr fontId="9" type="noConversion"/>
  <dataValidations xWindow="1028" yWindow="758" count="9">
    <dataValidation allowBlank="1" showInputMessage="1" showErrorMessage="1" prompt="“摘要”工作表的导航超链接" sqref="C1" xr:uid="{00000000-0002-0000-0B00-000002000000}"/>
    <dataValidation allowBlank="1" showInputMessage="1" showErrorMessage="1" prompt="“提示”工作表的导航超链接" sqref="D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支出金额" sqref="B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B00-000007000000}"/>
    <dataValidation allowBlank="1" showInputMessage="1" showErrorMessage="1" prompt="在此列中输入支出描述" sqref="D2" xr:uid="{00000000-0002-0000-0B00-000008000000}"/>
    <dataValidation type="custom" errorStyle="warning" allowBlank="1" showInputMessage="1" showErrorMessage="1" errorTitle="金额验证" error="金额应为数字。" sqref="B3:B8" xr:uid="{00000000-0002-0000-0B00-000009000000}">
      <formula1>ISNUMBER($B3)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B00-000001000000}"/>
  </dataValidations>
  <hyperlinks>
    <hyperlink ref="C1" location="摘要!A1" tooltip="选择以查看摘要" display="摘要" xr:uid="{00000000-0004-0000-0B00-000000000000}"/>
    <hyperlink ref="D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1028" yWindow="758" count="1">
        <x14:dataValidation type="list" errorStyle="warning" allowBlank="1" showInputMessage="1" showErrorMessage="1" error="应从下拉列表中选择开支，以便“摘要”工作表中包含该开支" xr:uid="{00000000-0002-0000-0B00-000000000000}">
          <x14:formula1>
            <xm:f>摘要!$A$5:$A$9</xm:f>
          </x14:formula1>
          <xm:sqref>C3:C8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D28"/>
  <sheetViews>
    <sheetView showGridLines="0" topLeftCell="A5" workbookViewId="0">
      <selection activeCell="C7" sqref="C7"/>
    </sheetView>
  </sheetViews>
  <sheetFormatPr defaultColWidth="9.15625" defaultRowHeight="30" customHeight="1" x14ac:dyDescent="0.6"/>
  <cols>
    <col min="1" max="1" width="17.7890625" style="1" bestFit="1" customWidth="1"/>
    <col min="2" max="2" width="19.41796875" style="1" bestFit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36</v>
      </c>
      <c r="B1" s="69"/>
      <c r="C1" s="6" t="s">
        <v>40</v>
      </c>
      <c r="D1" s="6" t="s">
        <v>41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DATE(2018,11,9)</f>
        <v>43413</v>
      </c>
      <c r="B3" s="9">
        <v>200</v>
      </c>
      <c r="C3" s="4" t="s">
        <v>65</v>
      </c>
      <c r="D3" s="4" t="s">
        <v>76</v>
      </c>
    </row>
    <row r="4" spans="1:4" ht="30" customHeight="1" x14ac:dyDescent="0.6">
      <c r="A4" s="7">
        <f>DATE(2018,11,9)</f>
        <v>43413</v>
      </c>
      <c r="B4" s="9">
        <v>26.75</v>
      </c>
      <c r="C4" s="4" t="s">
        <v>70</v>
      </c>
      <c r="D4" s="4" t="s">
        <v>61</v>
      </c>
    </row>
    <row r="5" spans="1:4" ht="30" customHeight="1" x14ac:dyDescent="0.6">
      <c r="A5" s="7">
        <f>DATE(2018,11,11)</f>
        <v>43415</v>
      </c>
      <c r="B5" s="9">
        <v>150</v>
      </c>
      <c r="C5" s="4" t="s">
        <v>70</v>
      </c>
      <c r="D5" s="4" t="s">
        <v>80</v>
      </c>
    </row>
    <row r="6" spans="1:4" ht="30" customHeight="1" x14ac:dyDescent="0.6">
      <c r="A6" s="7">
        <f>DATE(2018,11,20)</f>
        <v>43424</v>
      </c>
      <c r="B6" s="9">
        <v>9.8000000000000007</v>
      </c>
      <c r="C6" s="4" t="s">
        <v>65</v>
      </c>
      <c r="D6" s="4" t="s">
        <v>83</v>
      </c>
    </row>
    <row r="7" spans="1:4" ht="30" customHeight="1" x14ac:dyDescent="0.6">
      <c r="A7" s="7">
        <f>DATE(2018,11,29)</f>
        <v>43433</v>
      </c>
      <c r="B7" s="9">
        <v>6.5</v>
      </c>
      <c r="C7" s="4" t="s">
        <v>70</v>
      </c>
      <c r="D7" s="4" t="s">
        <v>81</v>
      </c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SUBTOTAL(109,ExpNov[金额])</f>
        <v>393.05</v>
      </c>
      <c r="C9" s="5"/>
      <c r="D9" s="5"/>
    </row>
    <row r="11" spans="1:4" ht="15.3" x14ac:dyDescent="0.6">
      <c r="A11"/>
      <c r="B11"/>
      <c r="C11"/>
    </row>
    <row r="12" spans="1:4" ht="15.3" x14ac:dyDescent="0.6">
      <c r="A12"/>
      <c r="B12"/>
      <c r="C12"/>
    </row>
    <row r="13" spans="1:4" ht="15.3" x14ac:dyDescent="0.6">
      <c r="A13"/>
      <c r="B13"/>
      <c r="C13"/>
    </row>
    <row r="14" spans="1:4" ht="15.3" x14ac:dyDescent="0.6">
      <c r="A14"/>
      <c r="B14"/>
      <c r="C14"/>
    </row>
    <row r="15" spans="1:4" ht="15.3" x14ac:dyDescent="0.6">
      <c r="A15"/>
      <c r="B15"/>
      <c r="C15"/>
    </row>
    <row r="16" spans="1:4" ht="15.3" x14ac:dyDescent="0.6">
      <c r="A16"/>
      <c r="B16"/>
      <c r="C16"/>
    </row>
    <row r="17" spans="1:3" ht="15.3" x14ac:dyDescent="0.6">
      <c r="A17"/>
      <c r="B17"/>
      <c r="C17"/>
    </row>
    <row r="18" spans="1:3" ht="15.3" x14ac:dyDescent="0.6">
      <c r="A18"/>
      <c r="B18"/>
      <c r="C18"/>
    </row>
    <row r="19" spans="1:3" ht="15.3" x14ac:dyDescent="0.6">
      <c r="A19"/>
      <c r="B19"/>
      <c r="C19"/>
    </row>
    <row r="20" spans="1:3" ht="15.3" x14ac:dyDescent="0.6">
      <c r="A20"/>
      <c r="B20"/>
      <c r="C20"/>
    </row>
    <row r="21" spans="1:3" ht="15.3" x14ac:dyDescent="0.6">
      <c r="A21"/>
      <c r="B21"/>
      <c r="C21"/>
    </row>
    <row r="22" spans="1:3" ht="15.3" x14ac:dyDescent="0.6">
      <c r="A22"/>
      <c r="B22"/>
      <c r="C22"/>
    </row>
    <row r="23" spans="1:3" ht="15.3" x14ac:dyDescent="0.6">
      <c r="A23"/>
      <c r="B23"/>
      <c r="C23"/>
    </row>
    <row r="24" spans="1:3" ht="15.3" x14ac:dyDescent="0.6">
      <c r="A24"/>
      <c r="B24"/>
      <c r="C24"/>
    </row>
    <row r="25" spans="1:3" ht="15.3" x14ac:dyDescent="0.6">
      <c r="A25"/>
      <c r="B25"/>
      <c r="C25"/>
    </row>
    <row r="26" spans="1:3" ht="15.3" x14ac:dyDescent="0.6">
      <c r="A26"/>
      <c r="B26"/>
      <c r="C26"/>
    </row>
    <row r="27" spans="1:3" ht="15.3" x14ac:dyDescent="0.6">
      <c r="A27"/>
      <c r="B27"/>
      <c r="C27"/>
    </row>
    <row r="28" spans="1:3" ht="15.3" x14ac:dyDescent="0.6">
      <c r="A28"/>
      <c r="B28"/>
      <c r="C28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C00-000000000000}">
      <formula1>ExpenseCategories</formula1>
    </dataValidation>
    <dataValidation allowBlank="1" showInputMessage="1" showErrorMessage="1" prompt="“摘要”工作表的导航超链接" sqref="C1" xr:uid="{00000000-0002-0000-0C00-000002000000}"/>
    <dataValidation allowBlank="1" showInputMessage="1" showErrorMessage="1" prompt="“提示”工作表的导航超链接" sqref="D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支出金额" sqref="B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C00-000007000000}"/>
    <dataValidation allowBlank="1" showInputMessage="1" showErrorMessage="1" prompt="在此列中输入支出描述" sqref="D2" xr:uid="{00000000-0002-0000-0C00-000008000000}"/>
    <dataValidation type="custom" errorStyle="warning" allowBlank="1" showInputMessage="1" showErrorMessage="1" errorTitle="金额验证" error="金额应为数字。" sqref="B3:B8" xr:uid="{00000000-0002-0000-0C00-000009000000}">
      <formula1>ISNUMBER($B3)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C00-000001000000}"/>
  </dataValidations>
  <hyperlinks>
    <hyperlink ref="C1" location="摘要!A1" tooltip="选择以查看摘要" display="摘要" xr:uid="{00000000-0004-0000-0C00-000000000000}"/>
    <hyperlink ref="D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6"/>
    <pageSetUpPr autoPageBreaks="0" fitToPage="1"/>
  </sheetPr>
  <dimension ref="A1:D29"/>
  <sheetViews>
    <sheetView showGridLines="0" workbookViewId="0">
      <selection activeCell="D11" sqref="D11"/>
    </sheetView>
  </sheetViews>
  <sheetFormatPr defaultColWidth="9.15625" defaultRowHeight="30" customHeight="1" x14ac:dyDescent="0.6"/>
  <cols>
    <col min="1" max="1" width="17.7890625" style="1" bestFit="1" customWidth="1"/>
    <col min="2" max="2" width="11.26171875" style="1" bestFit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37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DATE(2018,12,1)</f>
        <v>43435</v>
      </c>
      <c r="B3" s="9">
        <v>9.8000000000000007</v>
      </c>
      <c r="C3" s="4" t="s">
        <v>65</v>
      </c>
      <c r="D3" s="4" t="s">
        <v>82</v>
      </c>
    </row>
    <row r="4" spans="1:4" ht="30" customHeight="1" x14ac:dyDescent="0.6">
      <c r="A4" s="7">
        <f>DATE(2018,12,1)</f>
        <v>43435</v>
      </c>
      <c r="B4" s="9">
        <v>50</v>
      </c>
      <c r="C4" s="4" t="s">
        <v>68</v>
      </c>
      <c r="D4" s="4" t="s">
        <v>84</v>
      </c>
    </row>
    <row r="5" spans="1:4" ht="30" customHeight="1" x14ac:dyDescent="0.6">
      <c r="A5" s="7">
        <f>DATE(2018,12,4)</f>
        <v>43438</v>
      </c>
      <c r="B5" s="9">
        <v>9.8000000000000007</v>
      </c>
      <c r="C5" s="4" t="s">
        <v>65</v>
      </c>
      <c r="D5" s="4" t="s">
        <v>85</v>
      </c>
    </row>
    <row r="6" spans="1:4" ht="30" customHeight="1" x14ac:dyDescent="0.6">
      <c r="A6" s="7">
        <f>DATE(2018,12,18)</f>
        <v>43452</v>
      </c>
      <c r="B6" s="9">
        <v>200</v>
      </c>
      <c r="C6" s="4" t="s">
        <v>65</v>
      </c>
      <c r="D6" s="4" t="s">
        <v>86</v>
      </c>
    </row>
    <row r="7" spans="1:4" ht="30" customHeight="1" x14ac:dyDescent="0.6">
      <c r="A7" s="7"/>
      <c r="B7" s="9"/>
      <c r="C7" s="4"/>
      <c r="D7" s="4"/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SUBTOTAL(109,ExpDec[金额])</f>
        <v>269.60000000000002</v>
      </c>
      <c r="C9" s="5"/>
      <c r="D9" s="5"/>
    </row>
    <row r="12" spans="1:4" ht="15.3" x14ac:dyDescent="0.6">
      <c r="A12"/>
      <c r="B12"/>
      <c r="C12"/>
    </row>
    <row r="13" spans="1:4" ht="15.3" x14ac:dyDescent="0.6">
      <c r="A13"/>
      <c r="B13"/>
      <c r="C13"/>
    </row>
    <row r="14" spans="1:4" ht="15.3" x14ac:dyDescent="0.6">
      <c r="A14"/>
      <c r="B14"/>
      <c r="C14"/>
    </row>
    <row r="15" spans="1:4" ht="15.3" x14ac:dyDescent="0.6">
      <c r="A15"/>
      <c r="B15"/>
      <c r="C15"/>
    </row>
    <row r="16" spans="1:4" ht="15.3" x14ac:dyDescent="0.6">
      <c r="A16"/>
      <c r="B16"/>
      <c r="C16"/>
    </row>
    <row r="17" spans="1:3" ht="15.3" x14ac:dyDescent="0.6">
      <c r="A17"/>
      <c r="B17"/>
      <c r="C17"/>
    </row>
    <row r="18" spans="1:3" ht="15.3" x14ac:dyDescent="0.6">
      <c r="A18"/>
      <c r="B18"/>
      <c r="C18"/>
    </row>
    <row r="19" spans="1:3" ht="15.3" x14ac:dyDescent="0.6">
      <c r="A19"/>
      <c r="B19"/>
      <c r="C19"/>
    </row>
    <row r="20" spans="1:3" ht="15.3" x14ac:dyDescent="0.6">
      <c r="A20"/>
      <c r="B20"/>
      <c r="C20"/>
    </row>
    <row r="21" spans="1:3" ht="15.3" x14ac:dyDescent="0.6">
      <c r="A21"/>
      <c r="B21"/>
      <c r="C21"/>
    </row>
    <row r="22" spans="1:3" ht="15.3" x14ac:dyDescent="0.6">
      <c r="A22"/>
      <c r="B22"/>
      <c r="C22"/>
    </row>
    <row r="23" spans="1:3" ht="15.3" x14ac:dyDescent="0.6">
      <c r="A23"/>
      <c r="B23"/>
      <c r="C23"/>
    </row>
    <row r="24" spans="1:3" ht="15.3" x14ac:dyDescent="0.6">
      <c r="A24"/>
      <c r="B24"/>
      <c r="C24"/>
    </row>
    <row r="25" spans="1:3" ht="15.3" x14ac:dyDescent="0.6">
      <c r="A25"/>
      <c r="B25"/>
      <c r="C25"/>
    </row>
    <row r="26" spans="1:3" ht="15.3" x14ac:dyDescent="0.6">
      <c r="A26"/>
      <c r="B26"/>
      <c r="C26"/>
    </row>
    <row r="27" spans="1:3" ht="15.3" x14ac:dyDescent="0.6">
      <c r="A27"/>
      <c r="B27"/>
      <c r="C27"/>
    </row>
    <row r="28" spans="1:3" ht="15.3" x14ac:dyDescent="0.6">
      <c r="A28"/>
      <c r="B28"/>
      <c r="C28"/>
    </row>
    <row r="29" spans="1:3" ht="15.3" x14ac:dyDescent="0.6">
      <c r="A29"/>
      <c r="B29"/>
      <c r="C29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D00-000000000000}">
      <formula1>ExpenseCategories</formula1>
    </dataValidation>
    <dataValidation allowBlank="1" showInputMessage="1" showErrorMessage="1" prompt="“摘要”工作表的导航超链接" sqref="C1" xr:uid="{00000000-0002-0000-0D00-000002000000}"/>
    <dataValidation allowBlank="1" showInputMessage="1" showErrorMessage="1" prompt="“提示”工作表的导航超链接" sqref="D1" xr:uid="{00000000-0002-0000-0D00-000003000000}"/>
    <dataValidation allowBlank="1" showInputMessage="1" showErrorMessage="1" prompt="在此列中输入支出日期" sqref="A2" xr:uid="{00000000-0002-0000-0D00-000004000000}"/>
    <dataValidation allowBlank="1" showInputMessage="1" showErrorMessage="1" prompt="在此列中输入支出金额" sqref="B2" xr:uid="{00000000-0002-0000-0D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D00-000007000000}"/>
    <dataValidation allowBlank="1" showInputMessage="1" showErrorMessage="1" prompt="在此列中输入支出描述" sqref="D2" xr:uid="{00000000-0002-0000-0D00-000008000000}"/>
    <dataValidation type="custom" errorStyle="warning" allowBlank="1" showInputMessage="1" showErrorMessage="1" errorTitle="金额验证" error="金额应为数字。" sqref="B3:B8" xr:uid="{00000000-0002-0000-0D00-000009000000}">
      <formula1>ISNUMBER($B3)</formula1>
    </dataValidation>
    <dataValidation type="custom" errorStyle="warning" allowBlank="1" showInputMessage="1" showErrorMessage="1" error="需输入 12 月的日期，以便将此支出添加到“摘要”表" sqref="A3:A8" xr:uid="{00000000-0002-0000-0D00-00000A000000}">
      <formula1>MONTH($A3)=12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D00-000001000000}"/>
  </dataValidations>
  <hyperlinks>
    <hyperlink ref="C1" location="摘要!A1" tooltip="选择以查看摘要" display="摘要" xr:uid="{00000000-0004-0000-0D00-000000000000}"/>
    <hyperlink ref="D1" location="提示!A1" tooltip="选择以导航到“提示”工作表" display="提示" xr:uid="{00000000-0004-0000-0D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DE52-AB28-4247-A57C-3CEB5DBD04C9}">
  <dimension ref="A1:G31"/>
  <sheetViews>
    <sheetView workbookViewId="0">
      <selection activeCell="G18" sqref="G18:G31"/>
    </sheetView>
  </sheetViews>
  <sheetFormatPr defaultRowHeight="23.1" customHeight="1" x14ac:dyDescent="0.55000000000000004"/>
  <cols>
    <col min="1" max="1" width="9.26171875" style="57" customWidth="1"/>
    <col min="2" max="2" width="11.05078125" style="60" customWidth="1"/>
    <col min="3" max="3" width="18.3125" style="59" customWidth="1"/>
    <col min="4" max="4" width="8.47265625" style="59" customWidth="1"/>
    <col min="5" max="5" width="9.26171875" style="57" customWidth="1"/>
    <col min="6" max="6" width="11.05078125" style="60" customWidth="1"/>
    <col min="7" max="7" width="18.3125" style="59" customWidth="1"/>
    <col min="8" max="16384" width="8.83984375" style="57"/>
  </cols>
  <sheetData>
    <row r="1" spans="1:7" ht="23.1" customHeight="1" x14ac:dyDescent="0.55000000000000004">
      <c r="A1" s="58" t="s">
        <v>153</v>
      </c>
      <c r="B1" s="60" t="s">
        <v>137</v>
      </c>
      <c r="C1" s="59" t="s">
        <v>138</v>
      </c>
      <c r="E1" s="58" t="s">
        <v>153</v>
      </c>
      <c r="F1" s="60" t="s">
        <v>137</v>
      </c>
      <c r="G1" s="59" t="s">
        <v>138</v>
      </c>
    </row>
    <row r="2" spans="1:7" ht="23.1" customHeight="1" x14ac:dyDescent="0.55000000000000004">
      <c r="A2" s="57">
        <v>1</v>
      </c>
      <c r="B2" s="60" t="s">
        <v>139</v>
      </c>
      <c r="E2" s="57">
        <v>1</v>
      </c>
      <c r="F2" s="60" t="s">
        <v>139</v>
      </c>
    </row>
    <row r="3" spans="1:7" ht="23.1" customHeight="1" x14ac:dyDescent="0.55000000000000004">
      <c r="A3" s="57">
        <v>1</v>
      </c>
      <c r="B3" s="60" t="s">
        <v>140</v>
      </c>
      <c r="E3" s="57">
        <v>1</v>
      </c>
      <c r="F3" s="60" t="s">
        <v>140</v>
      </c>
    </row>
    <row r="4" spans="1:7" ht="23.1" customHeight="1" x14ac:dyDescent="0.55000000000000004">
      <c r="A4" s="57">
        <v>2</v>
      </c>
      <c r="B4" s="60" t="s">
        <v>141</v>
      </c>
      <c r="E4" s="57">
        <v>2</v>
      </c>
      <c r="F4" s="60" t="s">
        <v>141</v>
      </c>
    </row>
    <row r="5" spans="1:7" ht="23.1" customHeight="1" x14ac:dyDescent="0.55000000000000004">
      <c r="A5" s="57">
        <v>2</v>
      </c>
      <c r="B5" s="60" t="s">
        <v>142</v>
      </c>
      <c r="E5" s="57">
        <v>2</v>
      </c>
      <c r="F5" s="60" t="s">
        <v>142</v>
      </c>
    </row>
    <row r="6" spans="1:7" ht="23.1" customHeight="1" x14ac:dyDescent="0.55000000000000004">
      <c r="A6" s="57">
        <v>3</v>
      </c>
      <c r="B6" s="60" t="s">
        <v>143</v>
      </c>
      <c r="E6" s="57">
        <v>3</v>
      </c>
      <c r="F6" s="60" t="s">
        <v>143</v>
      </c>
    </row>
    <row r="7" spans="1:7" ht="23.1" customHeight="1" x14ac:dyDescent="0.55000000000000004">
      <c r="A7" s="57">
        <v>3</v>
      </c>
      <c r="B7" s="60" t="s">
        <v>144</v>
      </c>
      <c r="E7" s="57">
        <v>3</v>
      </c>
      <c r="F7" s="60" t="s">
        <v>144</v>
      </c>
    </row>
    <row r="8" spans="1:7" ht="23.1" customHeight="1" x14ac:dyDescent="0.55000000000000004">
      <c r="A8" s="57">
        <v>4</v>
      </c>
      <c r="B8" s="60" t="s">
        <v>145</v>
      </c>
      <c r="E8" s="57">
        <v>4</v>
      </c>
      <c r="F8" s="60" t="s">
        <v>145</v>
      </c>
    </row>
    <row r="9" spans="1:7" ht="23.1" customHeight="1" x14ac:dyDescent="0.55000000000000004">
      <c r="A9" s="57">
        <v>4</v>
      </c>
      <c r="B9" s="60" t="s">
        <v>146</v>
      </c>
      <c r="E9" s="57">
        <v>4</v>
      </c>
      <c r="F9" s="60" t="s">
        <v>146</v>
      </c>
    </row>
    <row r="10" spans="1:7" ht="23.1" customHeight="1" x14ac:dyDescent="0.55000000000000004">
      <c r="A10" s="57">
        <v>5</v>
      </c>
      <c r="B10" s="60" t="s">
        <v>147</v>
      </c>
      <c r="E10" s="57">
        <v>5</v>
      </c>
      <c r="F10" s="60" t="s">
        <v>147</v>
      </c>
    </row>
    <row r="11" spans="1:7" ht="23.1" customHeight="1" x14ac:dyDescent="0.55000000000000004">
      <c r="A11" s="57">
        <v>5</v>
      </c>
      <c r="B11" s="60" t="s">
        <v>148</v>
      </c>
      <c r="E11" s="57">
        <v>5</v>
      </c>
      <c r="F11" s="60" t="s">
        <v>148</v>
      </c>
    </row>
    <row r="12" spans="1:7" ht="23.1" customHeight="1" x14ac:dyDescent="0.55000000000000004">
      <c r="A12" s="57">
        <v>6</v>
      </c>
      <c r="B12" s="60" t="s">
        <v>149</v>
      </c>
      <c r="E12" s="57">
        <v>6</v>
      </c>
      <c r="F12" s="60" t="s">
        <v>149</v>
      </c>
    </row>
    <row r="13" spans="1:7" ht="23.1" customHeight="1" x14ac:dyDescent="0.55000000000000004">
      <c r="A13" s="57">
        <v>6</v>
      </c>
      <c r="B13" s="60" t="s">
        <v>150</v>
      </c>
      <c r="E13" s="57">
        <v>6</v>
      </c>
      <c r="F13" s="60" t="s">
        <v>150</v>
      </c>
    </row>
    <row r="14" spans="1:7" ht="23.1" customHeight="1" x14ac:dyDescent="0.55000000000000004">
      <c r="A14" s="57">
        <v>7</v>
      </c>
      <c r="B14" s="60" t="s">
        <v>151</v>
      </c>
      <c r="E14" s="57">
        <v>7</v>
      </c>
      <c r="F14" s="60" t="s">
        <v>151</v>
      </c>
    </row>
    <row r="15" spans="1:7" ht="23.1" customHeight="1" x14ac:dyDescent="0.55000000000000004">
      <c r="A15" s="57">
        <v>7</v>
      </c>
      <c r="B15" s="60" t="s">
        <v>152</v>
      </c>
      <c r="E15" s="57">
        <v>7</v>
      </c>
      <c r="F15" s="60" t="s">
        <v>152</v>
      </c>
    </row>
    <row r="17" spans="1:7" ht="23.1" customHeight="1" x14ac:dyDescent="0.55000000000000004">
      <c r="A17" s="58" t="s">
        <v>153</v>
      </c>
      <c r="B17" s="60" t="s">
        <v>137</v>
      </c>
      <c r="C17" s="59" t="s">
        <v>138</v>
      </c>
      <c r="E17" s="58" t="s">
        <v>153</v>
      </c>
      <c r="F17" s="60" t="s">
        <v>137</v>
      </c>
      <c r="G17" s="59" t="s">
        <v>138</v>
      </c>
    </row>
    <row r="18" spans="1:7" ht="23.1" customHeight="1" x14ac:dyDescent="0.55000000000000004">
      <c r="A18" s="57">
        <v>1</v>
      </c>
      <c r="B18" s="60" t="s">
        <v>139</v>
      </c>
      <c r="E18" s="57">
        <v>1</v>
      </c>
      <c r="F18" s="60" t="s">
        <v>139</v>
      </c>
    </row>
    <row r="19" spans="1:7" ht="23.1" customHeight="1" x14ac:dyDescent="0.55000000000000004">
      <c r="A19" s="57">
        <v>1</v>
      </c>
      <c r="B19" s="60" t="s">
        <v>140</v>
      </c>
      <c r="E19" s="57">
        <v>1</v>
      </c>
      <c r="F19" s="60" t="s">
        <v>140</v>
      </c>
    </row>
    <row r="20" spans="1:7" ht="23.1" customHeight="1" x14ac:dyDescent="0.55000000000000004">
      <c r="A20" s="57">
        <v>2</v>
      </c>
      <c r="B20" s="60" t="s">
        <v>141</v>
      </c>
      <c r="E20" s="57">
        <v>2</v>
      </c>
      <c r="F20" s="60" t="s">
        <v>141</v>
      </c>
    </row>
    <row r="21" spans="1:7" ht="23.1" customHeight="1" x14ac:dyDescent="0.55000000000000004">
      <c r="A21" s="57">
        <v>2</v>
      </c>
      <c r="B21" s="60" t="s">
        <v>142</v>
      </c>
      <c r="E21" s="57">
        <v>2</v>
      </c>
      <c r="F21" s="60" t="s">
        <v>142</v>
      </c>
    </row>
    <row r="22" spans="1:7" ht="23.1" customHeight="1" x14ac:dyDescent="0.55000000000000004">
      <c r="A22" s="57">
        <v>3</v>
      </c>
      <c r="B22" s="60" t="s">
        <v>143</v>
      </c>
      <c r="E22" s="57">
        <v>3</v>
      </c>
      <c r="F22" s="60" t="s">
        <v>143</v>
      </c>
    </row>
    <row r="23" spans="1:7" ht="23.1" customHeight="1" x14ac:dyDescent="0.55000000000000004">
      <c r="A23" s="57">
        <v>3</v>
      </c>
      <c r="B23" s="60" t="s">
        <v>144</v>
      </c>
      <c r="E23" s="57">
        <v>3</v>
      </c>
      <c r="F23" s="60" t="s">
        <v>144</v>
      </c>
    </row>
    <row r="24" spans="1:7" ht="23.1" customHeight="1" x14ac:dyDescent="0.55000000000000004">
      <c r="A24" s="57">
        <v>4</v>
      </c>
      <c r="B24" s="60" t="s">
        <v>145</v>
      </c>
      <c r="E24" s="57">
        <v>4</v>
      </c>
      <c r="F24" s="60" t="s">
        <v>145</v>
      </c>
    </row>
    <row r="25" spans="1:7" ht="23.1" customHeight="1" x14ac:dyDescent="0.55000000000000004">
      <c r="A25" s="57">
        <v>4</v>
      </c>
      <c r="B25" s="60" t="s">
        <v>146</v>
      </c>
      <c r="E25" s="57">
        <v>4</v>
      </c>
      <c r="F25" s="60" t="s">
        <v>146</v>
      </c>
    </row>
    <row r="26" spans="1:7" ht="23.1" customHeight="1" x14ac:dyDescent="0.55000000000000004">
      <c r="A26" s="57">
        <v>5</v>
      </c>
      <c r="B26" s="60" t="s">
        <v>147</v>
      </c>
      <c r="E26" s="57">
        <v>5</v>
      </c>
      <c r="F26" s="60" t="s">
        <v>147</v>
      </c>
    </row>
    <row r="27" spans="1:7" ht="23.1" customHeight="1" x14ac:dyDescent="0.55000000000000004">
      <c r="A27" s="57">
        <v>5</v>
      </c>
      <c r="B27" s="60" t="s">
        <v>148</v>
      </c>
      <c r="E27" s="57">
        <v>5</v>
      </c>
      <c r="F27" s="60" t="s">
        <v>148</v>
      </c>
    </row>
    <row r="28" spans="1:7" ht="23.1" customHeight="1" x14ac:dyDescent="0.55000000000000004">
      <c r="A28" s="57">
        <v>6</v>
      </c>
      <c r="B28" s="60" t="s">
        <v>149</v>
      </c>
      <c r="E28" s="57">
        <v>6</v>
      </c>
      <c r="F28" s="60" t="s">
        <v>149</v>
      </c>
    </row>
    <row r="29" spans="1:7" ht="23.1" customHeight="1" x14ac:dyDescent="0.55000000000000004">
      <c r="A29" s="57">
        <v>6</v>
      </c>
      <c r="B29" s="60" t="s">
        <v>150</v>
      </c>
      <c r="E29" s="57">
        <v>6</v>
      </c>
      <c r="F29" s="60" t="s">
        <v>150</v>
      </c>
    </row>
    <row r="30" spans="1:7" ht="23.1" customHeight="1" x14ac:dyDescent="0.55000000000000004">
      <c r="A30" s="57">
        <v>7</v>
      </c>
      <c r="B30" s="60" t="s">
        <v>151</v>
      </c>
      <c r="E30" s="57">
        <v>7</v>
      </c>
      <c r="F30" s="60" t="s">
        <v>151</v>
      </c>
    </row>
    <row r="31" spans="1:7" ht="23.1" customHeight="1" x14ac:dyDescent="0.55000000000000004">
      <c r="A31" s="57">
        <v>7</v>
      </c>
      <c r="B31" s="60" t="s">
        <v>152</v>
      </c>
      <c r="E31" s="57">
        <v>7</v>
      </c>
      <c r="F31" s="60" t="s">
        <v>152</v>
      </c>
    </row>
  </sheetData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5067-B960-4073-AFF3-0B3495159E6D}">
  <dimension ref="A1:I21"/>
  <sheetViews>
    <sheetView workbookViewId="0">
      <selection activeCell="K7" sqref="K7"/>
    </sheetView>
  </sheetViews>
  <sheetFormatPr defaultRowHeight="14.4" x14ac:dyDescent="0.55000000000000004"/>
  <cols>
    <col min="1" max="1" width="9.3671875" bestFit="1" customWidth="1"/>
    <col min="2" max="2" width="6.734375" customWidth="1"/>
    <col min="3" max="3" width="11.578125" bestFit="1" customWidth="1"/>
    <col min="4" max="4" width="4.3671875" bestFit="1" customWidth="1"/>
    <col min="5" max="5" width="9.3671875" bestFit="1" customWidth="1"/>
    <col min="6" max="6" width="19.3671875" bestFit="1" customWidth="1"/>
    <col min="7" max="8" width="7.26171875" bestFit="1" customWidth="1"/>
    <col min="9" max="9" width="9.9453125" bestFit="1" customWidth="1"/>
  </cols>
  <sheetData>
    <row r="1" spans="1:9" ht="50.4" customHeight="1" x14ac:dyDescent="0.55000000000000004">
      <c r="A1" s="44" t="s">
        <v>106</v>
      </c>
      <c r="B1" s="51">
        <f ca="1">VLOOKUP(WEEKNUM(TODAY(),2),值日安排!C2:F41,2,FALSE)</f>
        <v>9</v>
      </c>
      <c r="C1" s="46" t="s">
        <v>109</v>
      </c>
      <c r="D1" s="51">
        <f ca="1">VLOOKUP(WEEKNUM(TODAY(),2),值日安排!C2:F41,3,FALSE)</f>
        <v>2</v>
      </c>
      <c r="E1" s="46" t="s">
        <v>110</v>
      </c>
      <c r="F1" s="50" t="str">
        <f ca="1">VLOOKUP(WEEKNUM(TODAY(),2),值日安排!C2:F41,4,FALSE)</f>
        <v>单亚东 杨嘉棋</v>
      </c>
      <c r="G1" s="46" t="s">
        <v>107</v>
      </c>
      <c r="H1" s="47" t="s">
        <v>121</v>
      </c>
      <c r="I1" s="56">
        <f ca="1">TODAY()</f>
        <v>44136</v>
      </c>
    </row>
    <row r="2" spans="1:9" s="53" customFormat="1" ht="46.5" customHeight="1" x14ac:dyDescent="1.05">
      <c r="A2" s="63" t="s">
        <v>131</v>
      </c>
      <c r="B2" s="63"/>
      <c r="C2" s="63"/>
      <c r="D2" s="63"/>
      <c r="E2" s="63"/>
      <c r="F2" s="63"/>
      <c r="G2" s="63"/>
      <c r="H2" s="63"/>
      <c r="I2" s="63"/>
    </row>
    <row r="3" spans="1:9" s="52" customFormat="1" ht="35.4" customHeight="1" x14ac:dyDescent="0.85">
      <c r="A3" s="64" t="s">
        <v>114</v>
      </c>
      <c r="B3" s="64"/>
      <c r="C3" s="64"/>
      <c r="D3" s="64" t="s">
        <v>122</v>
      </c>
      <c r="E3" s="65"/>
      <c r="F3" s="65"/>
      <c r="G3" s="65"/>
      <c r="H3" s="65"/>
      <c r="I3" s="54" t="s">
        <v>123</v>
      </c>
    </row>
    <row r="4" spans="1:9" ht="30.6" customHeight="1" x14ac:dyDescent="0.6">
      <c r="A4" s="61" t="s">
        <v>115</v>
      </c>
      <c r="B4" s="61"/>
      <c r="C4" s="61"/>
      <c r="D4" s="61" t="s">
        <v>125</v>
      </c>
      <c r="E4" s="62"/>
      <c r="F4" s="62"/>
      <c r="G4" s="62"/>
      <c r="H4" s="62"/>
      <c r="I4" s="55"/>
    </row>
    <row r="5" spans="1:9" ht="29.4" customHeight="1" x14ac:dyDescent="0.6">
      <c r="A5" s="61" t="s">
        <v>116</v>
      </c>
      <c r="B5" s="61"/>
      <c r="C5" s="61"/>
      <c r="D5" s="61" t="s">
        <v>124</v>
      </c>
      <c r="E5" s="62"/>
      <c r="F5" s="62"/>
      <c r="G5" s="62"/>
      <c r="H5" s="62"/>
      <c r="I5" s="55"/>
    </row>
    <row r="6" spans="1:9" ht="15.6" x14ac:dyDescent="0.6">
      <c r="A6" s="61" t="s">
        <v>117</v>
      </c>
      <c r="B6" s="61"/>
      <c r="C6" s="61"/>
      <c r="D6" s="61" t="s">
        <v>127</v>
      </c>
      <c r="E6" s="62"/>
      <c r="F6" s="62"/>
      <c r="G6" s="62"/>
      <c r="H6" s="62"/>
      <c r="I6" s="55"/>
    </row>
    <row r="7" spans="1:9" ht="34.200000000000003" customHeight="1" x14ac:dyDescent="0.6">
      <c r="A7" s="61" t="s">
        <v>118</v>
      </c>
      <c r="B7" s="61"/>
      <c r="C7" s="61"/>
      <c r="D7" s="61" t="s">
        <v>126</v>
      </c>
      <c r="E7" s="62"/>
      <c r="F7" s="62"/>
      <c r="G7" s="62"/>
      <c r="H7" s="62"/>
      <c r="I7" s="55"/>
    </row>
    <row r="8" spans="1:9" ht="15.6" x14ac:dyDescent="0.6">
      <c r="A8" s="61" t="s">
        <v>119</v>
      </c>
      <c r="B8" s="61"/>
      <c r="C8" s="61"/>
      <c r="D8" s="61" t="s">
        <v>128</v>
      </c>
      <c r="E8" s="62"/>
      <c r="F8" s="62"/>
      <c r="G8" s="62"/>
      <c r="H8" s="62"/>
      <c r="I8" s="55"/>
    </row>
    <row r="9" spans="1:9" ht="28.5" customHeight="1" x14ac:dyDescent="0.6">
      <c r="A9" s="61" t="s">
        <v>120</v>
      </c>
      <c r="B9" s="61"/>
      <c r="C9" s="61"/>
      <c r="D9" s="61" t="s">
        <v>129</v>
      </c>
      <c r="E9" s="62"/>
      <c r="F9" s="62"/>
      <c r="G9" s="62"/>
      <c r="H9" s="62"/>
      <c r="I9" s="55"/>
    </row>
    <row r="10" spans="1:9" s="49" customFormat="1" ht="77.400000000000006" customHeight="1" x14ac:dyDescent="0.55000000000000004">
      <c r="A10" s="66" t="s">
        <v>130</v>
      </c>
      <c r="B10" s="67"/>
      <c r="C10" s="67"/>
      <c r="D10" s="67"/>
      <c r="E10" s="67"/>
      <c r="F10" s="67"/>
      <c r="G10" s="67"/>
      <c r="H10" s="67"/>
      <c r="I10" s="67"/>
    </row>
    <row r="12" spans="1:9" ht="48" customHeight="1" x14ac:dyDescent="0.55000000000000004">
      <c r="A12" s="44" t="s">
        <v>106</v>
      </c>
      <c r="B12" s="51" t="e">
        <f ca="1">VLOOKUP(WEEKNUM(TODAY(),2),值日安排!C13:F52,2,FALSE)</f>
        <v>#N/A</v>
      </c>
      <c r="C12" s="46" t="s">
        <v>109</v>
      </c>
      <c r="D12" s="51" t="e">
        <f ca="1">VLOOKUP(WEEKNUM(TODAY(),2),值日安排!C13:F52,3,FALSE)</f>
        <v>#N/A</v>
      </c>
      <c r="E12" s="46" t="s">
        <v>110</v>
      </c>
      <c r="F12" s="50" t="e">
        <f ca="1">VLOOKUP(WEEKNUM(TODAY(),2),值日安排!C13:F52,4,FALSE)</f>
        <v>#N/A</v>
      </c>
      <c r="G12" s="46" t="s">
        <v>107</v>
      </c>
      <c r="H12" s="47" t="s">
        <v>121</v>
      </c>
      <c r="I12" s="56">
        <f ca="1">TODAY()</f>
        <v>44136</v>
      </c>
    </row>
    <row r="13" spans="1:9" ht="45.3" customHeight="1" x14ac:dyDescent="0.55000000000000004">
      <c r="A13" s="63" t="s">
        <v>131</v>
      </c>
      <c r="B13" s="63"/>
      <c r="C13" s="63"/>
      <c r="D13" s="63"/>
      <c r="E13" s="63"/>
      <c r="F13" s="63"/>
      <c r="G13" s="63"/>
      <c r="H13" s="63"/>
      <c r="I13" s="63"/>
    </row>
    <row r="14" spans="1:9" ht="24" x14ac:dyDescent="0.85">
      <c r="A14" s="64" t="s">
        <v>114</v>
      </c>
      <c r="B14" s="64"/>
      <c r="C14" s="64"/>
      <c r="D14" s="64" t="s">
        <v>122</v>
      </c>
      <c r="E14" s="65"/>
      <c r="F14" s="65"/>
      <c r="G14" s="65"/>
      <c r="H14" s="65"/>
      <c r="I14" s="54" t="s">
        <v>123</v>
      </c>
    </row>
    <row r="15" spans="1:9" ht="31.8" customHeight="1" x14ac:dyDescent="0.6">
      <c r="A15" s="61" t="s">
        <v>115</v>
      </c>
      <c r="B15" s="61"/>
      <c r="C15" s="61"/>
      <c r="D15" s="61" t="s">
        <v>125</v>
      </c>
      <c r="E15" s="62"/>
      <c r="F15" s="62"/>
      <c r="G15" s="62"/>
      <c r="H15" s="62"/>
      <c r="I15" s="55"/>
    </row>
    <row r="16" spans="1:9" ht="31.5" customHeight="1" x14ac:dyDescent="0.6">
      <c r="A16" s="61" t="s">
        <v>116</v>
      </c>
      <c r="B16" s="61"/>
      <c r="C16" s="61"/>
      <c r="D16" s="61" t="s">
        <v>124</v>
      </c>
      <c r="E16" s="62"/>
      <c r="F16" s="62"/>
      <c r="G16" s="62"/>
      <c r="H16" s="62"/>
      <c r="I16" s="55"/>
    </row>
    <row r="17" spans="1:9" ht="18.899999999999999" customHeight="1" x14ac:dyDescent="0.6">
      <c r="A17" s="61" t="s">
        <v>117</v>
      </c>
      <c r="B17" s="61"/>
      <c r="C17" s="61"/>
      <c r="D17" s="61" t="s">
        <v>127</v>
      </c>
      <c r="E17" s="62"/>
      <c r="F17" s="62"/>
      <c r="G17" s="62"/>
      <c r="H17" s="62"/>
      <c r="I17" s="55"/>
    </row>
    <row r="18" spans="1:9" ht="33.6" customHeight="1" x14ac:dyDescent="0.6">
      <c r="A18" s="61" t="s">
        <v>118</v>
      </c>
      <c r="B18" s="61"/>
      <c r="C18" s="61"/>
      <c r="D18" s="61" t="s">
        <v>126</v>
      </c>
      <c r="E18" s="62"/>
      <c r="F18" s="62"/>
      <c r="G18" s="62"/>
      <c r="H18" s="62"/>
      <c r="I18" s="55"/>
    </row>
    <row r="19" spans="1:9" ht="15.6" x14ac:dyDescent="0.6">
      <c r="A19" s="61" t="s">
        <v>119</v>
      </c>
      <c r="B19" s="61"/>
      <c r="C19" s="61"/>
      <c r="D19" s="61" t="s">
        <v>128</v>
      </c>
      <c r="E19" s="62"/>
      <c r="F19" s="62"/>
      <c r="G19" s="62"/>
      <c r="H19" s="62"/>
      <c r="I19" s="55"/>
    </row>
    <row r="20" spans="1:9" ht="30" customHeight="1" x14ac:dyDescent="0.6">
      <c r="A20" s="61" t="s">
        <v>120</v>
      </c>
      <c r="B20" s="61"/>
      <c r="C20" s="61"/>
      <c r="D20" s="61" t="s">
        <v>129</v>
      </c>
      <c r="E20" s="62"/>
      <c r="F20" s="62"/>
      <c r="G20" s="62"/>
      <c r="H20" s="62"/>
      <c r="I20" s="55"/>
    </row>
    <row r="21" spans="1:9" ht="59.1" customHeight="1" x14ac:dyDescent="0.55000000000000004">
      <c r="A21" s="66" t="s">
        <v>130</v>
      </c>
      <c r="B21" s="67"/>
      <c r="C21" s="67"/>
      <c r="D21" s="67"/>
      <c r="E21" s="67"/>
      <c r="F21" s="67"/>
      <c r="G21" s="67"/>
      <c r="H21" s="67"/>
      <c r="I21" s="67"/>
    </row>
  </sheetData>
  <mergeCells count="32">
    <mergeCell ref="A16:C16"/>
    <mergeCell ref="D16:H16"/>
    <mergeCell ref="A20:C20"/>
    <mergeCell ref="D20:H20"/>
    <mergeCell ref="A21:I21"/>
    <mergeCell ref="A17:C17"/>
    <mergeCell ref="D17:H17"/>
    <mergeCell ref="A18:C18"/>
    <mergeCell ref="D18:H18"/>
    <mergeCell ref="A19:C19"/>
    <mergeCell ref="D19:H19"/>
    <mergeCell ref="A9:C9"/>
    <mergeCell ref="A14:C14"/>
    <mergeCell ref="D14:H14"/>
    <mergeCell ref="A15:C15"/>
    <mergeCell ref="D15:H15"/>
    <mergeCell ref="D7:H7"/>
    <mergeCell ref="A13:I13"/>
    <mergeCell ref="A2:I2"/>
    <mergeCell ref="D3:H3"/>
    <mergeCell ref="D4:H4"/>
    <mergeCell ref="D5:H5"/>
    <mergeCell ref="D6:H6"/>
    <mergeCell ref="A10:I10"/>
    <mergeCell ref="D8:H8"/>
    <mergeCell ref="D9:H9"/>
    <mergeCell ref="A3:C3"/>
    <mergeCell ref="A4:C4"/>
    <mergeCell ref="A5:C5"/>
    <mergeCell ref="A6:C6"/>
    <mergeCell ref="A7:C7"/>
    <mergeCell ref="A8:C8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BA9F-EE34-4E12-B4C3-8EEE7083FC82}">
  <dimension ref="A1:M41"/>
  <sheetViews>
    <sheetView workbookViewId="0">
      <selection activeCell="F29" sqref="F29"/>
    </sheetView>
  </sheetViews>
  <sheetFormatPr defaultRowHeight="15" x14ac:dyDescent="0.55000000000000004"/>
  <cols>
    <col min="1" max="1" width="15.05078125" style="10" bestFit="1" customWidth="1"/>
    <col min="2" max="2" width="15.05078125" style="10" customWidth="1"/>
    <col min="3" max="3" width="15.05078125" customWidth="1"/>
    <col min="4" max="4" width="11.9453125" bestFit="1" customWidth="1"/>
    <col min="6" max="6" width="13.20703125" style="35" bestFit="1" customWidth="1"/>
    <col min="10" max="10" width="13.20703125" style="35" bestFit="1" customWidth="1"/>
    <col min="13" max="13" width="10.68359375" customWidth="1"/>
  </cols>
  <sheetData>
    <row r="1" spans="1:13" x14ac:dyDescent="0.55000000000000004">
      <c r="A1" s="34" t="s">
        <v>97</v>
      </c>
      <c r="B1" s="34" t="s">
        <v>98</v>
      </c>
      <c r="C1" s="33" t="s">
        <v>105</v>
      </c>
      <c r="D1" s="33" t="s">
        <v>93</v>
      </c>
      <c r="E1" s="33" t="s">
        <v>94</v>
      </c>
      <c r="F1" s="35" t="s">
        <v>95</v>
      </c>
      <c r="K1" s="34"/>
      <c r="L1" s="34"/>
      <c r="M1" s="33"/>
    </row>
    <row r="2" spans="1:13" x14ac:dyDescent="0.55000000000000004">
      <c r="A2" s="36">
        <v>43346</v>
      </c>
      <c r="B2" s="36">
        <f t="shared" ref="B2:B37" si="0">A2+6</f>
        <v>43352</v>
      </c>
      <c r="C2" s="37">
        <f>WEEKNUM(A2,2)</f>
        <v>36</v>
      </c>
      <c r="D2" s="38">
        <v>1</v>
      </c>
      <c r="E2" s="38">
        <v>1</v>
      </c>
      <c r="F2" s="39" t="s">
        <v>96</v>
      </c>
    </row>
    <row r="3" spans="1:13" x14ac:dyDescent="0.55000000000000004">
      <c r="A3" s="36">
        <f t="shared" ref="A3:A21" si="1">A2+7</f>
        <v>43353</v>
      </c>
      <c r="B3" s="36">
        <f t="shared" si="0"/>
        <v>43359</v>
      </c>
      <c r="C3" s="37">
        <f t="shared" ref="C3:C41" si="2">WEEKNUM(A3,2)</f>
        <v>37</v>
      </c>
      <c r="D3" s="38">
        <v>2</v>
      </c>
      <c r="E3" s="38">
        <v>2</v>
      </c>
      <c r="F3" s="39" t="s">
        <v>100</v>
      </c>
    </row>
    <row r="4" spans="1:13" x14ac:dyDescent="0.55000000000000004">
      <c r="A4" s="36">
        <f t="shared" si="1"/>
        <v>43360</v>
      </c>
      <c r="B4" s="36">
        <f t="shared" si="0"/>
        <v>43366</v>
      </c>
      <c r="C4" s="37">
        <f t="shared" si="2"/>
        <v>38</v>
      </c>
      <c r="D4" s="38">
        <v>3</v>
      </c>
      <c r="E4" s="38">
        <v>3</v>
      </c>
      <c r="F4" s="39" t="s">
        <v>101</v>
      </c>
    </row>
    <row r="5" spans="1:13" x14ac:dyDescent="0.55000000000000004">
      <c r="A5" s="36">
        <f t="shared" si="1"/>
        <v>43367</v>
      </c>
      <c r="B5" s="36">
        <f t="shared" si="0"/>
        <v>43373</v>
      </c>
      <c r="C5" s="37">
        <f t="shared" si="2"/>
        <v>39</v>
      </c>
      <c r="D5" s="38">
        <v>4</v>
      </c>
      <c r="E5" s="38">
        <v>4</v>
      </c>
      <c r="F5" s="39" t="s">
        <v>102</v>
      </c>
    </row>
    <row r="6" spans="1:13" x14ac:dyDescent="0.55000000000000004">
      <c r="A6" s="36">
        <f t="shared" si="1"/>
        <v>43374</v>
      </c>
      <c r="B6" s="36">
        <f t="shared" si="0"/>
        <v>43380</v>
      </c>
      <c r="C6" s="37">
        <f t="shared" si="2"/>
        <v>40</v>
      </c>
      <c r="D6" s="38">
        <v>5</v>
      </c>
      <c r="E6" s="38">
        <v>5</v>
      </c>
      <c r="F6" s="39" t="s">
        <v>103</v>
      </c>
    </row>
    <row r="7" spans="1:13" x14ac:dyDescent="0.55000000000000004">
      <c r="A7" s="36">
        <f t="shared" si="1"/>
        <v>43381</v>
      </c>
      <c r="B7" s="36">
        <f t="shared" si="0"/>
        <v>43387</v>
      </c>
      <c r="C7" s="37">
        <f t="shared" si="2"/>
        <v>41</v>
      </c>
      <c r="D7" s="38">
        <v>6</v>
      </c>
      <c r="E7" s="38">
        <v>6</v>
      </c>
      <c r="F7" s="39" t="s">
        <v>99</v>
      </c>
    </row>
    <row r="8" spans="1:13" x14ac:dyDescent="0.55000000000000004">
      <c r="A8" s="36">
        <f t="shared" si="1"/>
        <v>43388</v>
      </c>
      <c r="B8" s="36">
        <f t="shared" si="0"/>
        <v>43394</v>
      </c>
      <c r="C8" s="37">
        <f t="shared" si="2"/>
        <v>42</v>
      </c>
      <c r="D8" s="38">
        <v>7</v>
      </c>
      <c r="E8" s="38">
        <v>7</v>
      </c>
      <c r="F8" s="39" t="s">
        <v>104</v>
      </c>
    </row>
    <row r="9" spans="1:13" x14ac:dyDescent="0.55000000000000004">
      <c r="A9" s="36">
        <f t="shared" si="1"/>
        <v>43395</v>
      </c>
      <c r="B9" s="36">
        <f t="shared" si="0"/>
        <v>43401</v>
      </c>
      <c r="C9" s="37">
        <f t="shared" si="2"/>
        <v>43</v>
      </c>
      <c r="D9" s="38">
        <v>8</v>
      </c>
      <c r="E9" s="38">
        <v>1</v>
      </c>
      <c r="F9" s="39" t="s">
        <v>96</v>
      </c>
    </row>
    <row r="10" spans="1:13" x14ac:dyDescent="0.55000000000000004">
      <c r="A10" s="36">
        <f t="shared" si="1"/>
        <v>43402</v>
      </c>
      <c r="B10" s="36">
        <f t="shared" si="0"/>
        <v>43408</v>
      </c>
      <c r="C10" s="37">
        <f t="shared" si="2"/>
        <v>44</v>
      </c>
      <c r="D10" s="38">
        <v>9</v>
      </c>
      <c r="E10" s="38">
        <v>2</v>
      </c>
      <c r="F10" s="39" t="s">
        <v>100</v>
      </c>
    </row>
    <row r="11" spans="1:13" x14ac:dyDescent="0.55000000000000004">
      <c r="A11" s="36">
        <f t="shared" si="1"/>
        <v>43409</v>
      </c>
      <c r="B11" s="36">
        <f t="shared" si="0"/>
        <v>43415</v>
      </c>
      <c r="C11" s="37">
        <f t="shared" si="2"/>
        <v>45</v>
      </c>
      <c r="D11" s="38">
        <v>10</v>
      </c>
      <c r="E11" s="38">
        <v>3</v>
      </c>
      <c r="F11" s="39" t="s">
        <v>101</v>
      </c>
    </row>
    <row r="12" spans="1:13" x14ac:dyDescent="0.55000000000000004">
      <c r="A12" s="36">
        <f t="shared" si="1"/>
        <v>43416</v>
      </c>
      <c r="B12" s="36">
        <f t="shared" si="0"/>
        <v>43422</v>
      </c>
      <c r="C12" s="37">
        <f t="shared" si="2"/>
        <v>46</v>
      </c>
      <c r="D12" s="38">
        <v>11</v>
      </c>
      <c r="E12" s="38">
        <v>4</v>
      </c>
      <c r="F12" s="39" t="s">
        <v>102</v>
      </c>
    </row>
    <row r="13" spans="1:13" x14ac:dyDescent="0.55000000000000004">
      <c r="A13" s="36">
        <f t="shared" si="1"/>
        <v>43423</v>
      </c>
      <c r="B13" s="36">
        <f t="shared" si="0"/>
        <v>43429</v>
      </c>
      <c r="C13" s="37">
        <f t="shared" si="2"/>
        <v>47</v>
      </c>
      <c r="D13" s="38">
        <v>12</v>
      </c>
      <c r="E13" s="38">
        <v>5</v>
      </c>
      <c r="F13" s="39" t="s">
        <v>103</v>
      </c>
    </row>
    <row r="14" spans="1:13" x14ac:dyDescent="0.55000000000000004">
      <c r="A14" s="36">
        <f t="shared" si="1"/>
        <v>43430</v>
      </c>
      <c r="B14" s="36">
        <f t="shared" si="0"/>
        <v>43436</v>
      </c>
      <c r="C14" s="37">
        <f t="shared" si="2"/>
        <v>48</v>
      </c>
      <c r="D14" s="38">
        <v>13</v>
      </c>
      <c r="E14" s="38">
        <v>6</v>
      </c>
      <c r="F14" s="39" t="s">
        <v>99</v>
      </c>
    </row>
    <row r="15" spans="1:13" x14ac:dyDescent="0.55000000000000004">
      <c r="A15" s="36">
        <f t="shared" si="1"/>
        <v>43437</v>
      </c>
      <c r="B15" s="36">
        <f t="shared" si="0"/>
        <v>43443</v>
      </c>
      <c r="C15" s="37">
        <f t="shared" si="2"/>
        <v>49</v>
      </c>
      <c r="D15" s="38">
        <v>14</v>
      </c>
      <c r="E15" s="38">
        <v>7</v>
      </c>
      <c r="F15" s="39" t="s">
        <v>104</v>
      </c>
    </row>
    <row r="16" spans="1:13" x14ac:dyDescent="0.55000000000000004">
      <c r="A16" s="36">
        <f t="shared" si="1"/>
        <v>43444</v>
      </c>
      <c r="B16" s="36">
        <f t="shared" si="0"/>
        <v>43450</v>
      </c>
      <c r="C16" s="37">
        <f t="shared" si="2"/>
        <v>50</v>
      </c>
      <c r="D16" s="38">
        <v>15</v>
      </c>
      <c r="E16" s="38">
        <v>1</v>
      </c>
      <c r="F16" s="39" t="s">
        <v>96</v>
      </c>
    </row>
    <row r="17" spans="1:6" x14ac:dyDescent="0.55000000000000004">
      <c r="A17" s="36">
        <f t="shared" si="1"/>
        <v>43451</v>
      </c>
      <c r="B17" s="36">
        <f t="shared" si="0"/>
        <v>43457</v>
      </c>
      <c r="C17" s="37">
        <f t="shared" si="2"/>
        <v>51</v>
      </c>
      <c r="D17" s="38">
        <v>16</v>
      </c>
      <c r="E17" s="38">
        <v>2</v>
      </c>
      <c r="F17" s="39" t="s">
        <v>100</v>
      </c>
    </row>
    <row r="18" spans="1:6" x14ac:dyDescent="0.55000000000000004">
      <c r="A18" s="36">
        <f t="shared" si="1"/>
        <v>43458</v>
      </c>
      <c r="B18" s="36">
        <f t="shared" si="0"/>
        <v>43464</v>
      </c>
      <c r="C18" s="37">
        <f t="shared" si="2"/>
        <v>52</v>
      </c>
      <c r="D18" s="38">
        <v>17</v>
      </c>
      <c r="E18" s="38">
        <v>3</v>
      </c>
      <c r="F18" s="39" t="s">
        <v>101</v>
      </c>
    </row>
    <row r="19" spans="1:6" x14ac:dyDescent="0.55000000000000004">
      <c r="A19" s="36">
        <f t="shared" si="1"/>
        <v>43465</v>
      </c>
      <c r="B19" s="36">
        <f t="shared" si="0"/>
        <v>43471</v>
      </c>
      <c r="C19" s="37">
        <f>WEEKNUM(B19,2)</f>
        <v>1</v>
      </c>
      <c r="D19" s="38">
        <v>18</v>
      </c>
      <c r="E19" s="38">
        <v>4</v>
      </c>
      <c r="F19" s="39" t="s">
        <v>102</v>
      </c>
    </row>
    <row r="20" spans="1:6" x14ac:dyDescent="0.55000000000000004">
      <c r="A20" s="36">
        <f t="shared" si="1"/>
        <v>43472</v>
      </c>
      <c r="B20" s="36">
        <f t="shared" si="0"/>
        <v>43478</v>
      </c>
      <c r="C20" s="37">
        <f t="shared" si="2"/>
        <v>2</v>
      </c>
      <c r="D20" s="38">
        <v>19</v>
      </c>
      <c r="E20" s="38">
        <v>5</v>
      </c>
      <c r="F20" s="39" t="s">
        <v>103</v>
      </c>
    </row>
    <row r="21" spans="1:6" x14ac:dyDescent="0.55000000000000004">
      <c r="A21" s="36">
        <f t="shared" si="1"/>
        <v>43479</v>
      </c>
      <c r="B21" s="36">
        <f t="shared" si="0"/>
        <v>43485</v>
      </c>
      <c r="C21" s="37">
        <f t="shared" si="2"/>
        <v>3</v>
      </c>
      <c r="D21" s="38">
        <v>20</v>
      </c>
      <c r="E21" s="38">
        <v>6</v>
      </c>
      <c r="F21" s="39" t="s">
        <v>99</v>
      </c>
    </row>
    <row r="22" spans="1:6" x14ac:dyDescent="0.55000000000000004">
      <c r="A22" s="40">
        <v>43521</v>
      </c>
      <c r="B22" s="40">
        <f t="shared" si="0"/>
        <v>43527</v>
      </c>
      <c r="C22" s="41">
        <f t="shared" si="2"/>
        <v>9</v>
      </c>
      <c r="D22" s="42">
        <v>1</v>
      </c>
      <c r="E22" s="42">
        <v>7</v>
      </c>
      <c r="F22" s="43" t="s">
        <v>104</v>
      </c>
    </row>
    <row r="23" spans="1:6" x14ac:dyDescent="0.55000000000000004">
      <c r="A23" s="40">
        <f t="shared" ref="A23:A38" si="3">A22+7</f>
        <v>43528</v>
      </c>
      <c r="B23" s="40">
        <f t="shared" si="0"/>
        <v>43534</v>
      </c>
      <c r="C23" s="41">
        <f t="shared" si="2"/>
        <v>10</v>
      </c>
      <c r="D23" s="42">
        <v>2</v>
      </c>
      <c r="E23" s="42">
        <v>1</v>
      </c>
      <c r="F23" s="43" t="s">
        <v>96</v>
      </c>
    </row>
    <row r="24" spans="1:6" x14ac:dyDescent="0.55000000000000004">
      <c r="A24" s="40">
        <f t="shared" si="3"/>
        <v>43535</v>
      </c>
      <c r="B24" s="40">
        <f t="shared" si="0"/>
        <v>43541</v>
      </c>
      <c r="C24" s="41">
        <f t="shared" si="2"/>
        <v>11</v>
      </c>
      <c r="D24" s="42">
        <v>3</v>
      </c>
      <c r="E24" s="42">
        <v>2</v>
      </c>
      <c r="F24" s="43" t="s">
        <v>100</v>
      </c>
    </row>
    <row r="25" spans="1:6" x14ac:dyDescent="0.55000000000000004">
      <c r="A25" s="40">
        <f t="shared" si="3"/>
        <v>43542</v>
      </c>
      <c r="B25" s="40">
        <f t="shared" si="0"/>
        <v>43548</v>
      </c>
      <c r="C25" s="41">
        <f t="shared" si="2"/>
        <v>12</v>
      </c>
      <c r="D25" s="42">
        <v>4</v>
      </c>
      <c r="E25" s="42">
        <v>3</v>
      </c>
      <c r="F25" s="43" t="s">
        <v>101</v>
      </c>
    </row>
    <row r="26" spans="1:6" x14ac:dyDescent="0.55000000000000004">
      <c r="A26" s="40">
        <f t="shared" si="3"/>
        <v>43549</v>
      </c>
      <c r="B26" s="40">
        <f t="shared" si="0"/>
        <v>43555</v>
      </c>
      <c r="C26" s="41">
        <f t="shared" si="2"/>
        <v>13</v>
      </c>
      <c r="D26" s="42">
        <v>5</v>
      </c>
      <c r="E26" s="42">
        <v>4</v>
      </c>
      <c r="F26" s="43" t="s">
        <v>102</v>
      </c>
    </row>
    <row r="27" spans="1:6" x14ac:dyDescent="0.55000000000000004">
      <c r="A27" s="40">
        <f t="shared" si="3"/>
        <v>43556</v>
      </c>
      <c r="B27" s="40">
        <f t="shared" si="0"/>
        <v>43562</v>
      </c>
      <c r="C27" s="41">
        <f t="shared" si="2"/>
        <v>14</v>
      </c>
      <c r="D27" s="42">
        <v>6</v>
      </c>
      <c r="E27" s="42">
        <v>5</v>
      </c>
      <c r="F27" s="43" t="s">
        <v>103</v>
      </c>
    </row>
    <row r="28" spans="1:6" x14ac:dyDescent="0.55000000000000004">
      <c r="A28" s="40">
        <f t="shared" si="3"/>
        <v>43563</v>
      </c>
      <c r="B28" s="40">
        <f t="shared" si="0"/>
        <v>43569</v>
      </c>
      <c r="C28" s="41">
        <f t="shared" si="2"/>
        <v>15</v>
      </c>
      <c r="D28" s="42">
        <v>7</v>
      </c>
      <c r="E28" s="42">
        <v>6</v>
      </c>
      <c r="F28" s="43" t="s">
        <v>99</v>
      </c>
    </row>
    <row r="29" spans="1:6" x14ac:dyDescent="0.55000000000000004">
      <c r="A29" s="40">
        <f t="shared" si="3"/>
        <v>43570</v>
      </c>
      <c r="B29" s="40">
        <f t="shared" si="0"/>
        <v>43576</v>
      </c>
      <c r="C29" s="41">
        <f t="shared" si="2"/>
        <v>16</v>
      </c>
      <c r="D29" s="42">
        <v>8</v>
      </c>
      <c r="E29" s="42">
        <v>7</v>
      </c>
      <c r="F29" s="43" t="s">
        <v>104</v>
      </c>
    </row>
    <row r="30" spans="1:6" x14ac:dyDescent="0.55000000000000004">
      <c r="A30" s="40">
        <f t="shared" si="3"/>
        <v>43577</v>
      </c>
      <c r="B30" s="40">
        <f t="shared" si="0"/>
        <v>43583</v>
      </c>
      <c r="C30" s="41">
        <f t="shared" si="2"/>
        <v>17</v>
      </c>
      <c r="D30" s="42">
        <v>9</v>
      </c>
      <c r="E30" s="42">
        <v>1</v>
      </c>
      <c r="F30" s="43" t="s">
        <v>96</v>
      </c>
    </row>
    <row r="31" spans="1:6" x14ac:dyDescent="0.55000000000000004">
      <c r="A31" s="40">
        <f t="shared" si="3"/>
        <v>43584</v>
      </c>
      <c r="B31" s="40">
        <f t="shared" si="0"/>
        <v>43590</v>
      </c>
      <c r="C31" s="41">
        <f t="shared" si="2"/>
        <v>18</v>
      </c>
      <c r="D31" s="42">
        <v>10</v>
      </c>
      <c r="E31" s="42">
        <v>2</v>
      </c>
      <c r="F31" s="43" t="s">
        <v>100</v>
      </c>
    </row>
    <row r="32" spans="1:6" x14ac:dyDescent="0.55000000000000004">
      <c r="A32" s="40">
        <f t="shared" si="3"/>
        <v>43591</v>
      </c>
      <c r="B32" s="40">
        <f t="shared" si="0"/>
        <v>43597</v>
      </c>
      <c r="C32" s="41">
        <f t="shared" si="2"/>
        <v>19</v>
      </c>
      <c r="D32" s="42">
        <v>11</v>
      </c>
      <c r="E32" s="42">
        <v>3</v>
      </c>
      <c r="F32" s="43" t="s">
        <v>101</v>
      </c>
    </row>
    <row r="33" spans="1:6" x14ac:dyDescent="0.55000000000000004">
      <c r="A33" s="40">
        <f t="shared" si="3"/>
        <v>43598</v>
      </c>
      <c r="B33" s="40">
        <f t="shared" si="0"/>
        <v>43604</v>
      </c>
      <c r="C33" s="41">
        <f t="shared" si="2"/>
        <v>20</v>
      </c>
      <c r="D33" s="42">
        <v>12</v>
      </c>
      <c r="E33" s="42">
        <v>4</v>
      </c>
      <c r="F33" s="43" t="s">
        <v>102</v>
      </c>
    </row>
    <row r="34" spans="1:6" x14ac:dyDescent="0.55000000000000004">
      <c r="A34" s="40">
        <f t="shared" si="3"/>
        <v>43605</v>
      </c>
      <c r="B34" s="40">
        <f t="shared" si="0"/>
        <v>43611</v>
      </c>
      <c r="C34" s="41">
        <f t="shared" si="2"/>
        <v>21</v>
      </c>
      <c r="D34" s="42">
        <v>13</v>
      </c>
      <c r="E34" s="42">
        <v>5</v>
      </c>
      <c r="F34" s="43" t="s">
        <v>103</v>
      </c>
    </row>
    <row r="35" spans="1:6" x14ac:dyDescent="0.55000000000000004">
      <c r="A35" s="40">
        <f t="shared" si="3"/>
        <v>43612</v>
      </c>
      <c r="B35" s="40">
        <f t="shared" si="0"/>
        <v>43618</v>
      </c>
      <c r="C35" s="41">
        <f t="shared" si="2"/>
        <v>22</v>
      </c>
      <c r="D35" s="42">
        <v>14</v>
      </c>
      <c r="E35" s="42">
        <v>6</v>
      </c>
      <c r="F35" s="43" t="s">
        <v>99</v>
      </c>
    </row>
    <row r="36" spans="1:6" x14ac:dyDescent="0.55000000000000004">
      <c r="A36" s="40">
        <f t="shared" si="3"/>
        <v>43619</v>
      </c>
      <c r="B36" s="40">
        <f t="shared" si="0"/>
        <v>43625</v>
      </c>
      <c r="C36" s="41">
        <f t="shared" si="2"/>
        <v>23</v>
      </c>
      <c r="D36" s="42">
        <v>15</v>
      </c>
      <c r="E36" s="42">
        <v>7</v>
      </c>
      <c r="F36" s="43" t="s">
        <v>104</v>
      </c>
    </row>
    <row r="37" spans="1:6" x14ac:dyDescent="0.55000000000000004">
      <c r="A37" s="40">
        <f t="shared" si="3"/>
        <v>43626</v>
      </c>
      <c r="B37" s="40">
        <f t="shared" si="0"/>
        <v>43632</v>
      </c>
      <c r="C37" s="41">
        <f t="shared" si="2"/>
        <v>24</v>
      </c>
      <c r="D37" s="42">
        <v>16</v>
      </c>
      <c r="E37" s="42">
        <v>1</v>
      </c>
      <c r="F37" s="43" t="s">
        <v>96</v>
      </c>
    </row>
    <row r="38" spans="1:6" x14ac:dyDescent="0.55000000000000004">
      <c r="A38" s="40">
        <f t="shared" si="3"/>
        <v>43633</v>
      </c>
      <c r="B38" s="40">
        <f t="shared" ref="B38:B41" si="4">A38+6</f>
        <v>43639</v>
      </c>
      <c r="C38" s="41">
        <f t="shared" si="2"/>
        <v>25</v>
      </c>
      <c r="D38" s="42">
        <v>17</v>
      </c>
      <c r="E38" s="42">
        <v>2</v>
      </c>
      <c r="F38" s="43" t="s">
        <v>100</v>
      </c>
    </row>
    <row r="39" spans="1:6" x14ac:dyDescent="0.55000000000000004">
      <c r="A39" s="40">
        <f t="shared" ref="A39:A41" si="5">A38+7</f>
        <v>43640</v>
      </c>
      <c r="B39" s="40">
        <f t="shared" si="4"/>
        <v>43646</v>
      </c>
      <c r="C39" s="41">
        <f t="shared" si="2"/>
        <v>26</v>
      </c>
      <c r="D39" s="42">
        <v>18</v>
      </c>
      <c r="E39" s="42">
        <v>3</v>
      </c>
      <c r="F39" s="43" t="s">
        <v>101</v>
      </c>
    </row>
    <row r="40" spans="1:6" x14ac:dyDescent="0.55000000000000004">
      <c r="A40" s="40">
        <f t="shared" si="5"/>
        <v>43647</v>
      </c>
      <c r="B40" s="40">
        <f t="shared" si="4"/>
        <v>43653</v>
      </c>
      <c r="C40" s="41">
        <f t="shared" si="2"/>
        <v>27</v>
      </c>
      <c r="D40" s="42">
        <v>19</v>
      </c>
      <c r="E40" s="42">
        <v>4</v>
      </c>
      <c r="F40" s="43" t="s">
        <v>102</v>
      </c>
    </row>
    <row r="41" spans="1:6" x14ac:dyDescent="0.55000000000000004">
      <c r="A41" s="40">
        <f t="shared" si="5"/>
        <v>43654</v>
      </c>
      <c r="B41" s="40">
        <f t="shared" si="4"/>
        <v>43660</v>
      </c>
      <c r="C41" s="41">
        <f t="shared" si="2"/>
        <v>28</v>
      </c>
      <c r="D41" s="42">
        <v>20</v>
      </c>
      <c r="E41" s="42">
        <v>5</v>
      </c>
      <c r="F41" s="43" t="s">
        <v>103</v>
      </c>
    </row>
  </sheetData>
  <autoFilter ref="A1:F41" xr:uid="{22900E62-6FF3-4A94-8DD8-D6904F9D0DBC}"/>
  <phoneticPr fontId="14" type="noConversion"/>
  <pageMargins left="0.7" right="0.7" top="0.75" bottom="0.75" header="0.3" footer="0.3"/>
  <pageSetup paperSize="9" orientation="portrait" r:id="rId1"/>
  <ignoredErrors>
    <ignoredError sqref="C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20D9-841C-4277-8DAC-EE1C27501CA5}">
  <dimension ref="A1:B22"/>
  <sheetViews>
    <sheetView workbookViewId="0">
      <selection activeCell="B11" sqref="B11"/>
    </sheetView>
  </sheetViews>
  <sheetFormatPr defaultRowHeight="14.4" x14ac:dyDescent="0.55000000000000004"/>
  <cols>
    <col min="1" max="1" width="17.7890625" style="10" bestFit="1" customWidth="1"/>
    <col min="2" max="2" width="16.578125" style="27" bestFit="1" customWidth="1"/>
  </cols>
  <sheetData>
    <row r="1" spans="1:2" s="26" customFormat="1" ht="15.3" x14ac:dyDescent="0.6">
      <c r="A1" s="29" t="s">
        <v>88</v>
      </c>
      <c r="B1" s="30" t="s">
        <v>89</v>
      </c>
    </row>
    <row r="2" spans="1:2" s="26" customFormat="1" ht="15.3" x14ac:dyDescent="0.6">
      <c r="A2" s="26">
        <f>DATE(2018,9,1)</f>
        <v>43344</v>
      </c>
      <c r="B2" s="28">
        <v>420</v>
      </c>
    </row>
    <row r="3" spans="1:2" s="26" customFormat="1" ht="15.3" x14ac:dyDescent="0.6">
      <c r="A3" s="26">
        <v>43386</v>
      </c>
      <c r="B3" s="28">
        <v>280</v>
      </c>
    </row>
    <row r="4" spans="1:2" s="26" customFormat="1" ht="15.3" x14ac:dyDescent="0.6">
      <c r="A4" s="26">
        <v>43433</v>
      </c>
      <c r="B4" s="28">
        <v>253.26</v>
      </c>
    </row>
    <row r="5" spans="1:2" ht="15.3" x14ac:dyDescent="0.6">
      <c r="A5" s="31">
        <v>43469</v>
      </c>
      <c r="B5" s="32">
        <v>272.44</v>
      </c>
    </row>
    <row r="6" spans="1:2" ht="15.3" x14ac:dyDescent="0.6">
      <c r="A6" s="26">
        <v>43470</v>
      </c>
      <c r="B6" s="28">
        <v>28.98</v>
      </c>
    </row>
    <row r="7" spans="1:2" ht="15.3" x14ac:dyDescent="0.6">
      <c r="A7" s="26">
        <v>43525</v>
      </c>
      <c r="B7" s="28">
        <v>749</v>
      </c>
    </row>
    <row r="8" spans="1:2" ht="15.3" x14ac:dyDescent="0.6">
      <c r="A8" s="26">
        <v>43542</v>
      </c>
      <c r="B8" s="28">
        <v>638.91999999999996</v>
      </c>
    </row>
    <row r="9" spans="1:2" ht="15.3" x14ac:dyDescent="0.6">
      <c r="A9" s="26">
        <v>43559</v>
      </c>
      <c r="B9" s="28">
        <v>235.04</v>
      </c>
    </row>
    <row r="10" spans="1:2" ht="15.3" x14ac:dyDescent="0.6">
      <c r="A10" s="26">
        <v>43609</v>
      </c>
      <c r="B10" s="28">
        <v>269.75</v>
      </c>
    </row>
    <row r="11" spans="1:2" ht="15.3" x14ac:dyDescent="0.6">
      <c r="A11" s="26"/>
      <c r="B11" s="28"/>
    </row>
    <row r="12" spans="1:2" ht="15.3" x14ac:dyDescent="0.6">
      <c r="A12" s="26"/>
      <c r="B12" s="28"/>
    </row>
    <row r="13" spans="1:2" ht="15.3" x14ac:dyDescent="0.6">
      <c r="A13" s="26"/>
      <c r="B13" s="28"/>
    </row>
    <row r="14" spans="1:2" ht="15.3" x14ac:dyDescent="0.6">
      <c r="A14" s="26"/>
      <c r="B14" s="28"/>
    </row>
    <row r="15" spans="1:2" ht="15.3" x14ac:dyDescent="0.6">
      <c r="A15" s="26"/>
      <c r="B15" s="28"/>
    </row>
    <row r="16" spans="1:2" ht="15.3" x14ac:dyDescent="0.6">
      <c r="A16" s="26"/>
      <c r="B16" s="28"/>
    </row>
    <row r="17" spans="1:2" ht="15.3" x14ac:dyDescent="0.6">
      <c r="A17" s="26"/>
      <c r="B17" s="28"/>
    </row>
    <row r="18" spans="1:2" ht="15.3" x14ac:dyDescent="0.6">
      <c r="A18" s="26"/>
      <c r="B18" s="28"/>
    </row>
    <row r="19" spans="1:2" ht="15.3" x14ac:dyDescent="0.6">
      <c r="A19" s="26"/>
      <c r="B19" s="28"/>
    </row>
    <row r="20" spans="1:2" ht="15.3" x14ac:dyDescent="0.6">
      <c r="A20" s="26"/>
      <c r="B20" s="28"/>
    </row>
    <row r="21" spans="1:2" ht="15.3" x14ac:dyDescent="0.6">
      <c r="A21" s="26"/>
      <c r="B21" s="28"/>
    </row>
    <row r="22" spans="1:2" ht="15.3" x14ac:dyDescent="0.6">
      <c r="A22" s="31"/>
      <c r="B22" s="32"/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D9"/>
  <sheetViews>
    <sheetView showGridLines="0" workbookViewId="0">
      <selection activeCell="B9" sqref="B9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21</v>
      </c>
      <c r="B1" s="68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DATE(2019,1,5)</f>
        <v>43470</v>
      </c>
      <c r="B3" s="9">
        <v>6.5</v>
      </c>
      <c r="C3" s="4" t="s">
        <v>70</v>
      </c>
      <c r="D3" s="4" t="s">
        <v>90</v>
      </c>
    </row>
    <row r="4" spans="1:4" ht="30" customHeight="1" x14ac:dyDescent="0.6">
      <c r="A4" s="7">
        <f t="shared" ref="A4" si="0">DATE(2019,1,5)</f>
        <v>43470</v>
      </c>
      <c r="B4" s="9">
        <v>16</v>
      </c>
      <c r="C4" s="4" t="s">
        <v>70</v>
      </c>
      <c r="D4" s="4" t="s">
        <v>91</v>
      </c>
    </row>
    <row r="5" spans="1:4" ht="30" customHeight="1" x14ac:dyDescent="0.6">
      <c r="A5" s="7">
        <f>DATE(2019,1,5)</f>
        <v>43470</v>
      </c>
      <c r="B5" s="9">
        <v>6.5</v>
      </c>
      <c r="C5" s="4" t="s">
        <v>70</v>
      </c>
      <c r="D5" s="4" t="s">
        <v>92</v>
      </c>
    </row>
    <row r="6" spans="1:4" ht="30" customHeight="1" x14ac:dyDescent="0.6">
      <c r="A6" s="7">
        <f>DATE(2019,1,14)</f>
        <v>43479</v>
      </c>
      <c r="B6" s="9">
        <v>499</v>
      </c>
      <c r="C6" s="4" t="s">
        <v>63</v>
      </c>
      <c r="D6" s="4" t="s">
        <v>111</v>
      </c>
    </row>
    <row r="7" spans="1:4" ht="30" customHeight="1" x14ac:dyDescent="0.6">
      <c r="A7" s="7"/>
      <c r="B7" s="9"/>
      <c r="C7" s="4"/>
      <c r="D7" s="4"/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SUBTOTAL(109,ExpJan[金额])</f>
        <v>528</v>
      </c>
      <c r="C9" s="5"/>
      <c r="D9" s="5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200-000000000000}">
      <formula1>ExpenseCategories</formula1>
    </dataValidation>
    <dataValidation type="custom" errorStyle="warning" allowBlank="1" showInputMessage="1" showErrorMessage="1" errorTitle="金额验证" error="金额应为数字。" sqref="B3:B8" xr:uid="{00000000-0002-0000-0200-000001000000}">
      <formula1>ISNUMBER($B3)</formula1>
    </dataValidation>
    <dataValidation type="custom" errorStyle="warning" allowBlank="1" showInputMessage="1" showErrorMessage="1" error="需输入 1 月的日期，以便将此支出添加到“摘要”表" sqref="A3:A8" xr:uid="{00000000-0002-0000-0200-000002000000}">
      <formula1>MONTH($A3)=1</formula1>
    </dataValidation>
    <dataValidation allowBlank="1" showInputMessage="1" showErrorMessage="1" prompt="“摘要”工作表的导航超链接" sqref="C1" xr:uid="{00000000-0002-0000-0200-000004000000}"/>
    <dataValidation allowBlank="1" showInputMessage="1" showErrorMessage="1" prompt="“提示”工作表的导航超链接" sqref="D1" xr:uid="{00000000-0002-0000-0200-000005000000}"/>
    <dataValidation allowBlank="1" showInputMessage="1" showErrorMessage="1" prompt="在此列中输入支出日期" sqref="A2" xr:uid="{00000000-0002-0000-0200-000006000000}"/>
    <dataValidation allowBlank="1" showInputMessage="1" showErrorMessage="1" prompt="在此列中输入支出金额" sqref="B2" xr:uid="{00000000-0002-0000-0200-000008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200-000009000000}"/>
    <dataValidation allowBlank="1" showInputMessage="1" showErrorMessage="1" prompt="在此列中输入支出描述" sqref="D2" xr:uid="{00000000-0002-0000-0200-00000A000000}"/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200-000003000000}"/>
  </dataValidations>
  <hyperlinks>
    <hyperlink ref="C1" location="摘要!A1" tooltip="选择以查看摘要" display="摘要" xr:uid="{00000000-0004-0000-0200-000000000000}"/>
    <hyperlink ref="D1" location="提示!A1" tooltip="选择以导航到“提示”工作表" display="提示" xr:uid="{00000000-0004-0000-02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D9"/>
  <sheetViews>
    <sheetView showGridLines="0" topLeftCell="A9" workbookViewId="0">
      <selection activeCell="B9" sqref="B9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28</v>
      </c>
      <c r="B1" s="68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DATE(2019,2,23)</f>
        <v>43519</v>
      </c>
      <c r="B3" s="9">
        <v>50</v>
      </c>
      <c r="C3" s="4" t="s">
        <v>68</v>
      </c>
      <c r="D3" s="4" t="s">
        <v>112</v>
      </c>
    </row>
    <row r="4" spans="1:4" ht="30" customHeight="1" x14ac:dyDescent="0.6">
      <c r="A4" s="7"/>
      <c r="B4" s="9"/>
      <c r="C4" s="4"/>
      <c r="D4" s="4"/>
    </row>
    <row r="5" spans="1:4" ht="30" customHeight="1" x14ac:dyDescent="0.6">
      <c r="A5" s="7"/>
      <c r="B5" s="9"/>
      <c r="C5" s="4"/>
      <c r="D5" s="4"/>
    </row>
    <row r="6" spans="1:4" ht="30" customHeight="1" x14ac:dyDescent="0.6">
      <c r="A6" s="7"/>
      <c r="B6" s="9"/>
      <c r="C6" s="4"/>
      <c r="D6" s="4"/>
    </row>
    <row r="7" spans="1:4" ht="30" customHeight="1" x14ac:dyDescent="0.6">
      <c r="A7" s="7"/>
      <c r="B7" s="9"/>
      <c r="C7" s="4"/>
      <c r="D7" s="4"/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SUBTOTAL(109,ExpFeb[金额])</f>
        <v>50</v>
      </c>
      <c r="C9" s="5"/>
      <c r="D9" s="5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300-000000000000}">
      <formula1>ExpenseCategories</formula1>
    </dataValidation>
    <dataValidation allowBlank="1" showInputMessage="1" showErrorMessage="1" prompt="“摘要”工作表的导航超链接" sqref="C1" xr:uid="{00000000-0002-0000-0300-000002000000}"/>
    <dataValidation allowBlank="1" showInputMessage="1" showErrorMessage="1" prompt="“提示”工作表的导航超链接" sqref="D1" xr:uid="{00000000-0002-0000-0300-000003000000}"/>
    <dataValidation allowBlank="1" showInputMessage="1" showErrorMessage="1" prompt="在此列中输入支出日期" sqref="A2" xr:uid="{00000000-0002-0000-0300-000004000000}"/>
    <dataValidation allowBlank="1" showInputMessage="1" showErrorMessage="1" prompt="在此列中输入支出金额" sqref="B2" xr:uid="{00000000-0002-0000-03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300-000007000000}"/>
    <dataValidation allowBlank="1" showInputMessage="1" showErrorMessage="1" prompt="在此列中输入支出描述" sqref="D2" xr:uid="{00000000-0002-0000-0300-000008000000}"/>
    <dataValidation type="custom" errorStyle="warning" allowBlank="1" showInputMessage="1" showErrorMessage="1" errorTitle="金额验证" error="金额应为数字。" sqref="B3:B8" xr:uid="{00000000-0002-0000-0300-000009000000}">
      <formula1>ISNUMBER($B3)</formula1>
    </dataValidation>
    <dataValidation type="custom" errorStyle="warning" allowBlank="1" showInputMessage="1" showErrorMessage="1" error="需输入 2 月的日期，以便将此支出添加到“摘要”表" sqref="A3:A8" xr:uid="{00000000-0002-0000-0300-00000A000000}">
      <formula1>MONTH($A3)=2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300-000001000000}"/>
  </dataValidations>
  <hyperlinks>
    <hyperlink ref="C1" location="摘要!A1" tooltip="选择以查看摘要" display="摘要" xr:uid="{00000000-0004-0000-0300-000000000000}"/>
    <hyperlink ref="D1" location="提示!A1" tooltip="选择以导航到“提示”工作表" display="提示" xr:uid="{00000000-0004-0000-03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D9"/>
  <sheetViews>
    <sheetView showGridLines="0" topLeftCell="A7" workbookViewId="0">
      <selection activeCell="B9" sqref="B9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29</v>
      </c>
      <c r="B1" s="68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DATE(2019,3,1)</f>
        <v>43525</v>
      </c>
      <c r="B3" s="9">
        <v>200</v>
      </c>
      <c r="C3" s="4" t="s">
        <v>65</v>
      </c>
      <c r="D3" s="4" t="s">
        <v>113</v>
      </c>
    </row>
    <row r="4" spans="1:4" ht="30" customHeight="1" x14ac:dyDescent="0.6">
      <c r="A4" s="7">
        <f>DATE(2019,3,18)</f>
        <v>43542</v>
      </c>
      <c r="B4" s="9">
        <v>600</v>
      </c>
      <c r="C4" s="4" t="s">
        <v>5</v>
      </c>
      <c r="D4" s="4" t="s">
        <v>132</v>
      </c>
    </row>
    <row r="5" spans="1:4" ht="30" customHeight="1" x14ac:dyDescent="0.6">
      <c r="A5" s="7">
        <f>DATE(2019,3,18)</f>
        <v>43542</v>
      </c>
      <c r="B5" s="9">
        <v>38.92</v>
      </c>
      <c r="C5" s="4" t="s">
        <v>5</v>
      </c>
      <c r="D5" s="4" t="s">
        <v>133</v>
      </c>
    </row>
    <row r="6" spans="1:4" ht="30" customHeight="1" x14ac:dyDescent="0.6">
      <c r="A6" s="7">
        <f>DATE(2019,3,18)</f>
        <v>43542</v>
      </c>
      <c r="B6" s="9">
        <v>26</v>
      </c>
      <c r="C6" s="4" t="s">
        <v>5</v>
      </c>
      <c r="D6" s="4" t="s">
        <v>134</v>
      </c>
    </row>
    <row r="7" spans="1:4" ht="30" customHeight="1" x14ac:dyDescent="0.6">
      <c r="A7" s="7">
        <f>DATE(2019,3,27)</f>
        <v>43551</v>
      </c>
      <c r="B7" s="9">
        <v>9</v>
      </c>
      <c r="C7" s="4" t="s">
        <v>70</v>
      </c>
      <c r="D7" s="4" t="s">
        <v>135</v>
      </c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SUBTOTAL(109,ExpMar[金额])</f>
        <v>873.92</v>
      </c>
      <c r="C9" s="5"/>
      <c r="D9" s="5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400-000000000000}">
      <formula1>ExpenseCategories</formula1>
    </dataValidation>
    <dataValidation allowBlank="1" showInputMessage="1" showErrorMessage="1" prompt="“摘要”工作表的导航超链接" sqref="C1" xr:uid="{00000000-0002-0000-0400-000002000000}"/>
    <dataValidation allowBlank="1" showInputMessage="1" showErrorMessage="1" prompt="“提示”工作表的导航超链接" sqref="D1" xr:uid="{00000000-0002-0000-0400-000003000000}"/>
    <dataValidation allowBlank="1" showInputMessage="1" showErrorMessage="1" prompt="在此列中输入支出日期" sqref="A2" xr:uid="{00000000-0002-0000-0400-000004000000}"/>
    <dataValidation allowBlank="1" showInputMessage="1" showErrorMessage="1" prompt="在此列中输入支出金额" sqref="B2" xr:uid="{00000000-0002-0000-04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400-000007000000}"/>
    <dataValidation allowBlank="1" showInputMessage="1" showErrorMessage="1" prompt="在此列中输入支出描述" sqref="D2" xr:uid="{00000000-0002-0000-0400-000008000000}"/>
    <dataValidation type="custom" errorStyle="warning" allowBlank="1" showInputMessage="1" showErrorMessage="1" errorTitle="金额验证" error="金额应为数字。" sqref="B3:B8" xr:uid="{00000000-0002-0000-0400-000009000000}">
      <formula1>ISNUMBER($B3)</formula1>
    </dataValidation>
    <dataValidation type="custom" errorStyle="warning" allowBlank="1" showInputMessage="1" showErrorMessage="1" error="需输入 3 月的日期，以便将此支出添加到“摘要”表" sqref="A3:A8" xr:uid="{00000000-0002-0000-0400-00000A000000}">
      <formula1>MONTH($A3)=3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400-000001000000}"/>
  </dataValidations>
  <hyperlinks>
    <hyperlink ref="C1" location="摘要!A1" tooltip="选择以查看摘要" display="摘要" xr:uid="{00000000-0004-0000-0400-000000000000}"/>
    <hyperlink ref="D1" location="提示!A1" tooltip="选择以导航到“提示”工作表" display="提示" xr:uid="{00000000-0004-0000-04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D9"/>
  <sheetViews>
    <sheetView showGridLines="0" workbookViewId="0">
      <selection activeCell="B9" sqref="B9"/>
    </sheetView>
  </sheetViews>
  <sheetFormatPr defaultColWidth="9.15625" defaultRowHeight="30" customHeight="1" x14ac:dyDescent="0.6"/>
  <cols>
    <col min="1" max="1" width="19.68359375" style="1" customWidth="1"/>
    <col min="2" max="2" width="15.578125" style="1" customWidth="1"/>
    <col min="3" max="4" width="30.578125" style="1" customWidth="1"/>
    <col min="5" max="16384" width="9.15625" style="1"/>
  </cols>
  <sheetData>
    <row r="1" spans="1:4" ht="35.1" customHeight="1" x14ac:dyDescent="1.2">
      <c r="A1" s="68" t="s">
        <v>30</v>
      </c>
      <c r="B1" s="69"/>
      <c r="C1" s="6" t="s">
        <v>24</v>
      </c>
      <c r="D1" s="6" t="s">
        <v>19</v>
      </c>
    </row>
    <row r="2" spans="1:4" ht="17.100000000000001" customHeight="1" x14ac:dyDescent="0.7">
      <c r="A2" s="3" t="s">
        <v>22</v>
      </c>
      <c r="B2" s="3" t="s">
        <v>23</v>
      </c>
      <c r="C2" s="3" t="s">
        <v>25</v>
      </c>
      <c r="D2" s="3" t="s">
        <v>26</v>
      </c>
    </row>
    <row r="3" spans="1:4" ht="30" customHeight="1" x14ac:dyDescent="0.6">
      <c r="A3" s="7">
        <f>DATE(2019,4,3)</f>
        <v>43558</v>
      </c>
      <c r="B3" s="9">
        <v>200</v>
      </c>
      <c r="C3" s="4" t="s">
        <v>65</v>
      </c>
      <c r="D3" s="4" t="s">
        <v>136</v>
      </c>
    </row>
    <row r="4" spans="1:4" ht="30" customHeight="1" x14ac:dyDescent="0.6">
      <c r="A4" s="7"/>
      <c r="B4" s="9"/>
      <c r="C4" s="4"/>
      <c r="D4" s="4"/>
    </row>
    <row r="5" spans="1:4" ht="30" customHeight="1" x14ac:dyDescent="0.6">
      <c r="A5" s="7"/>
      <c r="B5" s="9"/>
      <c r="C5" s="4"/>
      <c r="D5" s="4"/>
    </row>
    <row r="6" spans="1:4" ht="30" customHeight="1" x14ac:dyDescent="0.6">
      <c r="A6" s="7"/>
      <c r="B6" s="9"/>
      <c r="C6" s="4"/>
      <c r="D6" s="4"/>
    </row>
    <row r="7" spans="1:4" ht="30" customHeight="1" x14ac:dyDescent="0.6">
      <c r="A7" s="7"/>
      <c r="B7" s="9"/>
      <c r="C7" s="4"/>
      <c r="D7" s="4"/>
    </row>
    <row r="8" spans="1:4" ht="30" customHeight="1" x14ac:dyDescent="0.6">
      <c r="A8" s="7"/>
      <c r="B8" s="9"/>
      <c r="C8" s="4"/>
      <c r="D8" s="4"/>
    </row>
    <row r="9" spans="1:4" ht="30" customHeight="1" x14ac:dyDescent="0.6">
      <c r="A9" s="5" t="s">
        <v>38</v>
      </c>
      <c r="B9" s="8">
        <f>SUBTOTAL(109,ExpApr[金额])</f>
        <v>200</v>
      </c>
      <c r="C9" s="5"/>
      <c r="D9" s="5"/>
    </row>
  </sheetData>
  <mergeCells count="1">
    <mergeCell ref="A1:B1"/>
  </mergeCells>
  <phoneticPr fontId="9" type="noConversion"/>
  <dataValidations count="10">
    <dataValidation type="list" errorStyle="warning" allowBlank="1" showInputMessage="1" showErrorMessage="1" error="应从下拉列表中选择开支，以便“摘要”工作表中包含该开支" sqref="C3:C8" xr:uid="{00000000-0002-0000-0500-000000000000}">
      <formula1>ExpenseCategories</formula1>
    </dataValidation>
    <dataValidation allowBlank="1" showInputMessage="1" showErrorMessage="1" prompt="“摘要”工作表的导航超链接" sqref="C1" xr:uid="{00000000-0002-0000-0500-000002000000}"/>
    <dataValidation allowBlank="1" showInputMessage="1" showErrorMessage="1" prompt="“提示”工作表的导航超链接" sqref="D1" xr:uid="{00000000-0002-0000-0500-000003000000}"/>
    <dataValidation allowBlank="1" showInputMessage="1" showErrorMessage="1" prompt="在此列中输入支出日期" sqref="A2" xr:uid="{00000000-0002-0000-0500-000004000000}"/>
    <dataValidation allowBlank="1" showInputMessage="1" showErrorMessage="1" prompt="在此列中输入支出金额" sqref="B2" xr:uid="{00000000-0002-0000-0500-000006000000}"/>
    <dataValidation allowBlank="1" showInputMessage="1" showErrorMessage="1" prompt="由“摘要”工作表中“支出摘要”表的“支出”列自动填充的支出类别列表。按 Alt+向下键可浏览列表。按 Enter 可选择类别" sqref="C2" xr:uid="{00000000-0002-0000-0500-000007000000}"/>
    <dataValidation allowBlank="1" showInputMessage="1" showErrorMessage="1" prompt="在此列中输入支出描述" sqref="D2" xr:uid="{00000000-0002-0000-0500-000008000000}"/>
    <dataValidation type="custom" errorStyle="warning" allowBlank="1" showInputMessage="1" showErrorMessage="1" errorTitle="金额验证" error="金额应为数字。" sqref="B3:B8" xr:uid="{00000000-0002-0000-0500-000009000000}">
      <formula1>ISNUMBER($B3)</formula1>
    </dataValidation>
    <dataValidation type="custom" errorStyle="warning" allowBlank="1" showInputMessage="1" showErrorMessage="1" error="需输入 4 月的日期，以便将此支出添加到“摘要”表" sqref="A3:A8" xr:uid="{00000000-0002-0000-0500-00000A000000}">
      <formula1>MONTH($A3)=4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B1" xr:uid="{00000000-0002-0000-0500-000001000000}"/>
  </dataValidations>
  <hyperlinks>
    <hyperlink ref="C1" location="摘要!A1" tooltip="选择以查看摘要" display="摘要" xr:uid="{00000000-0004-0000-0500-000000000000}"/>
    <hyperlink ref="D1" location="提示!A1" tooltip="选择以导航到“提示”工作表" display="提示" xr:uid="{00000000-0004-0000-05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27</vt:i4>
      </vt:variant>
    </vt:vector>
  </HeadingPairs>
  <TitlesOfParts>
    <vt:vector size="44" baseType="lpstr">
      <vt:lpstr>摘要</vt:lpstr>
      <vt:lpstr>通信录</vt:lpstr>
      <vt:lpstr>卫生标准</vt:lpstr>
      <vt:lpstr>值日安排</vt:lpstr>
      <vt:lpstr>寝室收入</vt:lpstr>
      <vt:lpstr>1 月</vt:lpstr>
      <vt:lpstr>2 月</vt:lpstr>
      <vt:lpstr>3 月</vt:lpstr>
      <vt:lpstr>4 月</vt:lpstr>
      <vt:lpstr>5 月</vt:lpstr>
      <vt:lpstr>6 月</vt:lpstr>
      <vt:lpstr>7 月</vt:lpstr>
      <vt:lpstr>8 月</vt:lpstr>
      <vt:lpstr>9 月</vt:lpstr>
      <vt:lpstr>10 月</vt:lpstr>
      <vt:lpstr>11 月</vt:lpstr>
      <vt:lpstr>12 月</vt:lpstr>
      <vt:lpstr>ColumnTitle10</vt:lpstr>
      <vt:lpstr>ColumnTitle11</vt:lpstr>
      <vt:lpstr>ColumnTitle12</vt:lpstr>
      <vt:lpstr>ColumnTitle13</vt:lpstr>
      <vt:lpstr>ColumnTitle14</vt:lpstr>
      <vt:lpstr>ColumnTitle2</vt:lpstr>
      <vt:lpstr>ColumnTitle3</vt:lpstr>
      <vt:lpstr>ColumnTitle4</vt:lpstr>
      <vt:lpstr>ColumnTitle5</vt:lpstr>
      <vt:lpstr>ColumnTitle6</vt:lpstr>
      <vt:lpstr>ColumnTitle7</vt:lpstr>
      <vt:lpstr>ColumnTitle8</vt:lpstr>
      <vt:lpstr>ColumnTitle9</vt:lpstr>
      <vt:lpstr>ExpenseCategories</vt:lpstr>
      <vt:lpstr>'1 月'!Print_Titles</vt:lpstr>
      <vt:lpstr>'10 月'!Print_Titles</vt:lpstr>
      <vt:lpstr>'11 月'!Print_Titles</vt:lpstr>
      <vt:lpstr>'12 月'!Print_Titles</vt:lpstr>
      <vt:lpstr>'2 月'!Print_Titles</vt:lpstr>
      <vt:lpstr>'3 月'!Print_Titles</vt:lpstr>
      <vt:lpstr>'4 月'!Print_Titles</vt:lpstr>
      <vt:lpstr>'5 月'!Print_Titles</vt:lpstr>
      <vt:lpstr>'6 月'!Print_Titles</vt:lpstr>
      <vt:lpstr>'7 月'!Print_Titles</vt:lpstr>
      <vt:lpstr>'8 月'!Print_Titles</vt:lpstr>
      <vt:lpstr>'9 月'!Print_Titles</vt:lpstr>
      <vt:lpstr>摘要!Print_Titles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周行</dc:creator>
  <cp:lastModifiedBy>周行</cp:lastModifiedBy>
  <cp:lastPrinted>2019-05-24T04:03:20Z</cp:lastPrinted>
  <dcterms:created xsi:type="dcterms:W3CDTF">2016-09-19T01:00:44Z</dcterms:created>
  <dcterms:modified xsi:type="dcterms:W3CDTF">2020-11-01T05:28:11Z</dcterms:modified>
</cp:coreProperties>
</file>