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ruggles/IDrive-Sync/Carnegie/SEM-1.2_CIW/"/>
    </mc:Choice>
  </mc:AlternateContent>
  <xr:revisionPtr revIDLastSave="0" documentId="13_ncr:1_{6E5E5E67-AF01-8648-A831-CC56BCBA88F0}" xr6:coauthVersionLast="44" xr6:coauthVersionMax="44" xr10:uidLastSave="{00000000-0000-0000-0000-000000000000}"/>
  <bookViews>
    <workbookView xWindow="-10500" yWindow="-28160" windowWidth="49300" windowHeight="2642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9" i="1" l="1"/>
  <c r="B154" i="1"/>
  <c r="F150" i="1"/>
  <c r="F151" i="1"/>
  <c r="B157" i="1" l="1"/>
  <c r="E157" i="1"/>
  <c r="J150" i="1"/>
  <c r="M150" i="1" s="1"/>
  <c r="N150" i="1" s="1"/>
  <c r="B150" i="1" s="1"/>
  <c r="B155" i="1" l="1"/>
  <c r="J149" i="1"/>
  <c r="M149" i="1" s="1"/>
  <c r="F149" i="1"/>
  <c r="Q153" i="1" l="1"/>
  <c r="Q137" i="1"/>
  <c r="J151" i="1"/>
  <c r="M151" i="1" s="1"/>
  <c r="B124" i="1" l="1"/>
  <c r="E123" i="1"/>
  <c r="Z121" i="1"/>
  <c r="B121" i="1" s="1"/>
  <c r="Q121" i="1"/>
  <c r="Z120" i="1"/>
  <c r="B120" i="1" s="1"/>
  <c r="Q120" i="1"/>
  <c r="J119" i="1"/>
  <c r="M119" i="1" s="1"/>
  <c r="I119" i="1"/>
  <c r="G119" i="1"/>
  <c r="X88" i="1" l="1"/>
  <c r="T88" i="1"/>
  <c r="Q88" i="1"/>
  <c r="L87" i="1"/>
  <c r="J87" i="1"/>
  <c r="M87" i="1" s="1"/>
  <c r="I87" i="1"/>
  <c r="G87" i="1"/>
  <c r="X100" i="1" l="1"/>
  <c r="T100" i="1"/>
  <c r="Q100" i="1"/>
  <c r="L99" i="1"/>
  <c r="J99" i="1"/>
  <c r="M99" i="1" s="1"/>
  <c r="I99" i="1"/>
  <c r="G99" i="1"/>
  <c r="X94" i="1" l="1"/>
  <c r="T94" i="1"/>
  <c r="Q94" i="1"/>
  <c r="L93" i="1"/>
  <c r="J93" i="1"/>
  <c r="M93" i="1" s="1"/>
  <c r="I93" i="1"/>
  <c r="G93" i="1"/>
  <c r="X82" i="1"/>
  <c r="T82" i="1"/>
  <c r="Q82" i="1"/>
  <c r="L81" i="1"/>
  <c r="J81" i="1"/>
  <c r="M81" i="1" s="1"/>
  <c r="I81" i="1"/>
  <c r="G81" i="1"/>
  <c r="B145" i="1" l="1"/>
  <c r="B144" i="1"/>
  <c r="B143" i="1"/>
  <c r="D142" i="1"/>
  <c r="D139" i="1" l="1"/>
  <c r="E138" i="1"/>
  <c r="Z137" i="1"/>
  <c r="B137" i="1" s="1"/>
  <c r="Z136" i="1"/>
  <c r="B136" i="1" s="1"/>
  <c r="Q136" i="1"/>
  <c r="J135" i="1"/>
  <c r="M135" i="1" s="1"/>
  <c r="G135" i="1"/>
  <c r="J134" i="1"/>
  <c r="M134" i="1" s="1"/>
  <c r="G134" i="1"/>
  <c r="J133" i="1"/>
  <c r="M133" i="1" s="1"/>
  <c r="G133" i="1"/>
  <c r="B131" i="1"/>
  <c r="E130" i="1"/>
  <c r="Z128" i="1"/>
  <c r="B128" i="1" s="1"/>
  <c r="Q128" i="1"/>
  <c r="Z127" i="1"/>
  <c r="B127" i="1" s="1"/>
  <c r="Q127" i="1"/>
  <c r="J126" i="1"/>
  <c r="M126" i="1" s="1"/>
  <c r="I126" i="1"/>
  <c r="G126" i="1"/>
  <c r="X115" i="1"/>
  <c r="T115" i="1"/>
  <c r="R115" i="1"/>
  <c r="Q115" i="1"/>
  <c r="L114" i="1"/>
  <c r="J114" i="1"/>
  <c r="M114" i="1" s="1"/>
  <c r="I114" i="1"/>
  <c r="G114" i="1"/>
  <c r="X110" i="1"/>
  <c r="T110" i="1"/>
  <c r="R110" i="1"/>
  <c r="Q110" i="1"/>
  <c r="L109" i="1"/>
  <c r="J109" i="1"/>
  <c r="M109" i="1" s="1"/>
  <c r="I109" i="1"/>
  <c r="G109" i="1"/>
  <c r="X105" i="1"/>
  <c r="T105" i="1"/>
  <c r="R105" i="1"/>
  <c r="Q105" i="1"/>
  <c r="L104" i="1"/>
  <c r="J104" i="1"/>
  <c r="M104" i="1" s="1"/>
  <c r="I104" i="1"/>
  <c r="G104" i="1"/>
  <c r="B48" i="1"/>
  <c r="C46" i="1"/>
  <c r="B46" i="1"/>
  <c r="B158" i="1" l="1"/>
  <c r="W153" i="1"/>
  <c r="Z153" i="1" s="1"/>
  <c r="B153" i="1" s="1"/>
  <c r="N149" i="1"/>
  <c r="B149" i="1" s="1"/>
  <c r="N151" i="1"/>
  <c r="B151" i="1" s="1"/>
  <c r="B47" i="1"/>
  <c r="U100" i="1" s="1"/>
  <c r="V100" i="1" s="1"/>
  <c r="Z100" i="1" s="1"/>
  <c r="B100" i="1" s="1"/>
  <c r="B123" i="1"/>
  <c r="N119" i="1"/>
  <c r="B119" i="1" s="1"/>
  <c r="N99" i="1"/>
  <c r="B99" i="1" s="1"/>
  <c r="N87" i="1"/>
  <c r="B87" i="1" s="1"/>
  <c r="N81" i="1"/>
  <c r="B81" i="1" s="1"/>
  <c r="N93" i="1"/>
  <c r="B93" i="1" s="1"/>
  <c r="N134" i="1"/>
  <c r="B134" i="1" s="1"/>
  <c r="N114" i="1"/>
  <c r="B114" i="1" s="1"/>
  <c r="N109" i="1"/>
  <c r="B109" i="1" s="1"/>
  <c r="N126" i="1"/>
  <c r="B126" i="1" s="1"/>
  <c r="N104" i="1"/>
  <c r="B104" i="1" s="1"/>
  <c r="N135" i="1"/>
  <c r="B135" i="1" s="1"/>
  <c r="N133" i="1"/>
  <c r="B133" i="1" s="1"/>
  <c r="B130" i="1"/>
  <c r="B138" i="1"/>
  <c r="U110" i="1"/>
  <c r="V110" i="1" s="1"/>
  <c r="Z110" i="1" s="1"/>
  <c r="B110" i="1" s="1"/>
  <c r="U88" i="1" l="1"/>
  <c r="V88" i="1" s="1"/>
  <c r="Z88" i="1" s="1"/>
  <c r="B88" i="1" s="1"/>
  <c r="U115" i="1"/>
  <c r="V115" i="1" s="1"/>
  <c r="Z115" i="1" s="1"/>
  <c r="B115" i="1" s="1"/>
  <c r="U94" i="1"/>
  <c r="V94" i="1" s="1"/>
  <c r="Z94" i="1" s="1"/>
  <c r="B94" i="1" s="1"/>
  <c r="U105" i="1"/>
  <c r="V105" i="1" s="1"/>
  <c r="Z105" i="1" s="1"/>
  <c r="B105" i="1" s="1"/>
  <c r="U82" i="1"/>
  <c r="V82" i="1" s="1"/>
  <c r="Z82" i="1" s="1"/>
  <c r="B82" i="1" s="1"/>
</calcChain>
</file>

<file path=xl/sharedStrings.xml><?xml version="1.0" encoding="utf-8"?>
<sst xmlns="http://schemas.openxmlformats.org/spreadsheetml/2006/main" count="339" uniqueCount="215">
  <si>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</si>
  <si>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</si>
  <si>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</si>
  <si>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</si>
  <si>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</si>
  <si>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</si>
  <si>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</si>
  <si>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</si>
  <si>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</si>
  <si>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</si>
  <si>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</si>
  <si>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</si>
  <si>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</si>
  <si>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</si>
  <si>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</si>
  <si>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</si>
  <si>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</si>
  <si>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</si>
  <si>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</si>
  <si>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</si>
  <si>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</si>
  <si>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</si>
  <si>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</si>
  <si>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</si>
  <si>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</si>
  <si>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</si>
  <si>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</si>
  <si>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</si>
  <si>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</si>
  <si>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</si>
  <si>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</si>
  <si>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</si>
  <si>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</si>
  <si>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</si>
  <si>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</si>
  <si>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</si>
  <si>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</si>
  <si>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</si>
  <si>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</si>
  <si>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</si>
  <si>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</si>
  <si>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</si>
  <si>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</si>
  <si>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</si>
  <si>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</si>
  <si>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</si>
  <si>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</si>
  <si>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</si>
  <si>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</si>
  <si>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</si>
  <si>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</si>
  <si>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</si>
  <si>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</si>
  <si>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</si>
  <si>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</si>
  <si>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</si>
  <si>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</si>
  <si>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</si>
  <si>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</si>
  <si>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</si>
  <si>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</si>
  <si>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</si>
  <si>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</si>
  <si>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</si>
  <si>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</si>
  <si>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</si>
  <si>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</si>
  <si>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</si>
  <si>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</si>
  <si>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</si>
  <si>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</si>
  <si>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</si>
  <si>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</si>
  <si>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</si>
  <si>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</si>
  <si>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</si>
  <si>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</si>
  <si>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</si>
  <si>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</si>
  <si>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</si>
  <si>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</si>
  <si>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</si>
  <si>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</si>
  <si>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</si>
  <si>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</si>
  <si>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</si>
  <si>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</si>
  <si>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</si>
  <si>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</si>
  <si>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</si>
  <si>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</si>
  <si>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</si>
  <si>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</si>
  <si>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</si>
  <si>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</si>
  <si>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</si>
  <si>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</si>
  <si>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</si>
  <si>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</si>
  <si>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</si>
  <si>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</si>
  <si>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</si>
  <si>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</si>
  <si>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</si>
  <si>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</si>
  <si>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</si>
  <si>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</si>
  <si>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</si>
  <si>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</si>
  <si>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</si>
  <si>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</si>
  <si>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</si>
  <si>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</si>
  <si>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</si>
  <si>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</si>
  <si>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</si>
  <si>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</si>
  <si>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</si>
  <si>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</si>
  <si>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</si>
  <si>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</si>
  <si>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</si>
  <si>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</si>
  <si>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</si>
  <si>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</si>
  <si>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</si>
  <si>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</si>
  <si>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</si>
  <si>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</si>
  <si>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</si>
  <si>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</si>
  <si>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</si>
  <si>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</si>
  <si>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</si>
  <si>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</si>
  <si>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</si>
  <si>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</si>
  <si>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</si>
  <si>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</si>
  <si>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</si>
  <si>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</si>
  <si>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</si>
  <si>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</si>
  <si>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</si>
  <si>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</si>
  <si>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</si>
  <si>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</si>
  <si>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</si>
  <si>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</si>
  <si>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</si>
  <si>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</si>
  <si>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</si>
  <si>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</si>
  <si>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</si>
  <si>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</si>
  <si>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</si>
  <si>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</si>
  <si>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</si>
  <si>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</si>
  <si>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</si>
  <si>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</si>
  <si>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</si>
  <si>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</si>
  <si>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</si>
  <si>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</si>
  <si>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</si>
  <si>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</si>
  <si>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</si>
  <si>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</si>
  <si>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</si>
  <si>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</si>
  <si>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</si>
  <si>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</si>
  <si>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</si>
  <si>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</si>
  <si>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</si>
  <si>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</si>
  <si>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</si>
  <si>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</si>
  <si>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</si>
  <si>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</si>
  <si>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wind2_series_Shaner_normalized_to_0.38_mean.csv</t>
  </si>
  <si>
    <t>solar2_series_Shaner_normalized_to_0.2_mean.csv</t>
  </si>
  <si>
    <t>CAPACITY_STORAGE</t>
  </si>
  <si>
    <t>FIXED_COST_STORAGE2</t>
  </si>
  <si>
    <t>VAR_COST_TO_STORAGE2</t>
  </si>
  <si>
    <t>VAR_COST_FROM_STORAGE2</t>
  </si>
  <si>
    <t>CHARGING_EFFICIENCY_STORAGE2</t>
  </si>
  <si>
    <t>DECAY_RATE_STORAGE2</t>
  </si>
  <si>
    <t>CHARGING_TIME_STORAGE2</t>
  </si>
  <si>
    <t>test_190726</t>
  </si>
  <si>
    <t>FIXED_COST_FUEL</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</si>
  <si>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</si>
  <si>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</si>
  <si>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</si>
  <si>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</si>
  <si>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</si>
  <si>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</si>
  <si>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</si>
  <si>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</si>
  <si>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$850/kW*1.83 from table 3, cap ex for H2 electrolyzer * scale factor, D.H. König et al. / Fuel 159 (2015) 289–297</t>
  </si>
  <si>
    <t>D.H. König et al. / Fuel 159 (2015) 289–297, pg 293</t>
  </si>
  <si>
    <t>VAR_COST_FUEL_CHEM_PLANT</t>
  </si>
  <si>
    <t>Fig 4, cost break down of $/GGE, excluding electrolyzer and cap annual, D.H. König et al. / Fuel 159 (2015) 289–297</t>
  </si>
  <si>
    <t>table 2, eta_PtL / eta_plant = power to liquid efficiency (total eff) / chem plant efficiency, D.H. König et al. / Fuel 159 (2015) 289–297</t>
  </si>
  <si>
    <t>table 2, eta_plant = chem plant efficiency, D.H. König et al. / Fuel 159 (2015) 289–297</t>
  </si>
  <si>
    <t>VAR_COST_FUEL_CO2</t>
  </si>
  <si>
    <t>VAR_COST_FUEL_ELECTROLYZER</t>
  </si>
  <si>
    <t>*Small, but non-zero value</t>
  </si>
  <si>
    <t>($202+32+32)*4.6/690MW of liquid fuel produced for FT, Hydrocracker, RWGS, Cavern) = fixex costs = cap ex*multiplier, Table 3 chem plant, D.H. König et al. / Fuel 159 (2015) 289–297</t>
  </si>
  <si>
    <t>(33)*4.6/690MW of liquid fuel produced for FT, Hydrocracker, RWGS, Cavern) = fixex costs = cap ex*multiplier, Table 3 chem plant, D.H. König et al. / Fuel 159 (2015) 289–297</t>
  </si>
  <si>
    <t>FIXED_COST_FUEL_H2_STORAGE</t>
  </si>
  <si>
    <t>DECAY_RATE_FUEL_H2_STORAGE</t>
  </si>
  <si>
    <t>EFFICIENCY_FUEL_ELECTROLYZER</t>
  </si>
  <si>
    <t>EFFICIENCY_FUEL_CHEM_PLANT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</si>
</sst>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7"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s>
  <fills count="14">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right/>
      <top/>
      <bottom/>
      <diagonal/>
    </border>
  </borders>
  <cellStyleXfs count="2">
    <xf numFmtId="0" fontId="0" fillId="0" borderId="0"/>
    <xf numFmtId="0" fontId="6" fillId="0" borderId="1"/>
  </cellStyleXfs>
  <cellXfs count="69">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2" borderId="0" xfId="0" applyNumberFormat="1" applyFill="1" applyAlignment="1">
      <alignment horizontal="right"/>
    </xf>
    <xf numFmtId="0" fontId="0" fillId="13" borderId="0" xfId="0" applyFill="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29"/>
  <sheetViews>
    <sheetView tabSelected="1" topLeftCell="A62" zoomScale="120" zoomScaleNormal="120" workbookViewId="0">
      <pane xSplit="5480" ySplit="5320" topLeftCell="A125" activePane="bottomRight"/>
      <selection activeCell="A138" sqref="A138"/>
      <selection pane="topRight" activeCell="F81" sqref="F81"/>
      <selection pane="bottomLeft" activeCell="A157" sqref="A157"/>
      <selection pane="bottomRight" activeCell="A158" sqref="A158"/>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195</v>
      </c>
      <c r="B49" s="8">
        <f>114000/10^6</f>
        <v>0.114</v>
      </c>
      <c r="C49" s="53" t="s">
        <v>197</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190</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36</v>
      </c>
      <c r="C54" s="3" t="s">
        <v>37</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38</v>
      </c>
      <c r="B55" s="15" t="s">
        <v>39</v>
      </c>
      <c r="C55" s="3" t="s">
        <v>40</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41</v>
      </c>
      <c r="B57" s="15" t="b">
        <v>1</v>
      </c>
      <c r="C57" s="3" t="s">
        <v>42</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43</v>
      </c>
      <c r="B58" s="15" t="b">
        <v>0</v>
      </c>
      <c r="C58" s="3" t="s">
        <v>44</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45</v>
      </c>
      <c r="B59" s="15" t="b">
        <v>1</v>
      </c>
      <c r="C59" s="3" t="s">
        <v>46</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47</v>
      </c>
      <c r="B61" s="12" t="s">
        <v>48</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6" customFormat="1" ht="115" customHeight="1" x14ac:dyDescent="0.2">
      <c r="A62" s="60"/>
      <c r="B62" s="61" t="s">
        <v>49</v>
      </c>
      <c r="C62" s="60" t="s">
        <v>50</v>
      </c>
      <c r="D62" s="61" t="s">
        <v>51</v>
      </c>
      <c r="E62" s="61"/>
      <c r="F62" s="62" t="s">
        <v>52</v>
      </c>
      <c r="G62" s="61" t="s">
        <v>53</v>
      </c>
      <c r="H62" s="62" t="s">
        <v>54</v>
      </c>
      <c r="I62" s="61" t="s">
        <v>55</v>
      </c>
      <c r="J62" s="63" t="s">
        <v>56</v>
      </c>
      <c r="K62" s="62" t="s">
        <v>57</v>
      </c>
      <c r="L62" s="61" t="s">
        <v>58</v>
      </c>
      <c r="M62" s="63" t="s">
        <v>59</v>
      </c>
      <c r="N62" s="64" t="s">
        <v>60</v>
      </c>
      <c r="O62" s="62" t="s">
        <v>61</v>
      </c>
      <c r="P62" s="62" t="s">
        <v>62</v>
      </c>
      <c r="Q62" s="65" t="s">
        <v>63</v>
      </c>
      <c r="R62" s="61" t="s">
        <v>64</v>
      </c>
      <c r="S62" s="62" t="s">
        <v>65</v>
      </c>
      <c r="T62" s="61" t="s">
        <v>66</v>
      </c>
      <c r="U62" s="63" t="s">
        <v>67</v>
      </c>
      <c r="V62" s="63" t="s">
        <v>68</v>
      </c>
      <c r="W62" s="62" t="s">
        <v>69</v>
      </c>
      <c r="X62" s="61" t="s">
        <v>70</v>
      </c>
      <c r="Y62" s="62" t="s">
        <v>71</v>
      </c>
      <c r="Z62" s="64" t="s">
        <v>72</v>
      </c>
      <c r="AA62" s="61"/>
      <c r="AB62" s="61"/>
      <c r="AC62" s="61"/>
    </row>
    <row r="63" spans="1:29" ht="14.25" hidden="1" customHeight="1" x14ac:dyDescent="0.2">
      <c r="A63" s="14" t="s">
        <v>73</v>
      </c>
      <c r="B63" s="16">
        <v>1000000000000</v>
      </c>
      <c r="C63" s="17"/>
      <c r="D63" s="3" t="s">
        <v>74</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hidden="1" customHeight="1" x14ac:dyDescent="0.2">
      <c r="A64" s="14" t="s">
        <v>75</v>
      </c>
      <c r="B64" s="16">
        <v>1000000000000</v>
      </c>
      <c r="C64" s="17"/>
      <c r="D64" s="3" t="s">
        <v>76</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hidden="1"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hidden="1" customHeight="1" x14ac:dyDescent="0.2">
      <c r="A66" s="14" t="s">
        <v>77</v>
      </c>
      <c r="B66" s="15" t="s">
        <v>78</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hidden="1" customHeight="1" x14ac:dyDescent="0.2">
      <c r="A67" s="14" t="s">
        <v>79</v>
      </c>
      <c r="B67" s="15" t="b">
        <v>1</v>
      </c>
      <c r="C67" s="3"/>
      <c r="D67" s="3" t="s">
        <v>80</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hidden="1"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hidden="1" customHeight="1" x14ac:dyDescent="0.2">
      <c r="A69" s="14" t="s">
        <v>81</v>
      </c>
      <c r="B69" s="15">
        <v>2015</v>
      </c>
      <c r="C69" s="3"/>
      <c r="D69" s="3" t="s">
        <v>82</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hidden="1" customHeight="1" x14ac:dyDescent="0.2">
      <c r="A70" s="14" t="s">
        <v>83</v>
      </c>
      <c r="B70" s="15">
        <v>1</v>
      </c>
      <c r="C70" s="3"/>
      <c r="D70" s="3" t="s">
        <v>82</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hidden="1" customHeight="1" x14ac:dyDescent="0.2">
      <c r="A71" s="14" t="s">
        <v>84</v>
      </c>
      <c r="B71" s="15">
        <v>1</v>
      </c>
      <c r="C71" s="3"/>
      <c r="D71" s="3" t="s">
        <v>82</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hidden="1" customHeight="1" x14ac:dyDescent="0.2">
      <c r="A72" s="14" t="s">
        <v>85</v>
      </c>
      <c r="B72" s="15">
        <v>1</v>
      </c>
      <c r="C72" s="3"/>
      <c r="D72" s="3" t="s">
        <v>82</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hidden="1" customHeight="1" x14ac:dyDescent="0.2">
      <c r="A73" s="14" t="s">
        <v>86</v>
      </c>
      <c r="B73" s="15">
        <v>2015</v>
      </c>
      <c r="C73" s="3"/>
      <c r="D73" s="3" t="s">
        <v>82</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hidden="1" customHeight="1" x14ac:dyDescent="0.2">
      <c r="A74" s="14" t="s">
        <v>87</v>
      </c>
      <c r="B74" s="15">
        <v>12</v>
      </c>
      <c r="C74" s="3"/>
      <c r="D74" s="3" t="s">
        <v>82</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hidden="1" customHeight="1" x14ac:dyDescent="0.2">
      <c r="A75" s="14" t="s">
        <v>88</v>
      </c>
      <c r="B75" s="15">
        <v>31</v>
      </c>
      <c r="C75" s="3"/>
      <c r="D75" s="3" t="s">
        <v>82</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hidden="1" customHeight="1" x14ac:dyDescent="0.2">
      <c r="A76" s="14" t="s">
        <v>89</v>
      </c>
      <c r="B76" s="15">
        <v>24</v>
      </c>
      <c r="C76" s="3"/>
      <c r="D76" s="3" t="s">
        <v>82</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hidden="1"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hidden="1" customHeight="1" x14ac:dyDescent="0.2">
      <c r="A78" s="14" t="s">
        <v>90</v>
      </c>
      <c r="B78" s="15">
        <v>0</v>
      </c>
      <c r="C78" s="3" t="s">
        <v>91</v>
      </c>
      <c r="D78" s="3" t="s">
        <v>92</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hidden="1"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93</v>
      </c>
      <c r="B80" s="50" t="s">
        <v>94</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95</v>
      </c>
      <c r="B81" s="26">
        <f>N81</f>
        <v>1.9528741509529837E-2</v>
      </c>
      <c r="C81" s="3" t="s">
        <v>96</v>
      </c>
      <c r="D81" s="3" t="s">
        <v>97</v>
      </c>
      <c r="E81" s="4"/>
      <c r="F81" s="8">
        <v>1851</v>
      </c>
      <c r="G81" s="9" t="str">
        <f>HYPERLINK("https://www.eia.gov/outlooks/aeo/assumptions/pdf/electricity.pdf","EIA, AEO2018, Electricity Market Module, Table 2")</f>
        <v>EIA, AEO2018,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22.02</v>
      </c>
      <c r="L81" s="9" t="str">
        <f>HYPERLINK("https://www.eia.gov/outlooks/aeo/assumptions/pdf/electricity.pdf","EIA, AEO2018, Electricity Market Module, Table 2")</f>
        <v>EIA, AEO2018, Electricity Market Module, Table 2</v>
      </c>
      <c r="M81" s="28">
        <f>F81*J81+K81</f>
        <v>171.18543289906683</v>
      </c>
      <c r="N81" s="29">
        <f>M81/HOURS_PER_YEAR</f>
        <v>1.9528741509529837E-2</v>
      </c>
      <c r="O81" s="8"/>
      <c r="P81" s="8"/>
      <c r="Q81" s="21"/>
      <c r="R81" s="4"/>
      <c r="S81" s="8"/>
      <c r="T81" s="4"/>
      <c r="U81" s="22"/>
      <c r="V81" s="22"/>
      <c r="W81" s="23"/>
      <c r="X81" s="24"/>
      <c r="Y81" s="25"/>
      <c r="Z81" s="20"/>
      <c r="AA81" s="4"/>
      <c r="AB81" s="4"/>
      <c r="AC81" s="4"/>
    </row>
    <row r="82" spans="1:29" ht="14.25" customHeight="1" x14ac:dyDescent="0.2">
      <c r="A82" s="14" t="s">
        <v>98</v>
      </c>
      <c r="B82" s="16">
        <f>Z82</f>
        <v>1E-8</v>
      </c>
      <c r="C82" s="3" t="s">
        <v>99</v>
      </c>
      <c r="D82" s="30" t="s">
        <v>100</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101</v>
      </c>
      <c r="B83" s="15">
        <v>0</v>
      </c>
      <c r="C83" s="3" t="s">
        <v>102</v>
      </c>
      <c r="D83" t="s">
        <v>103</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104</v>
      </c>
      <c r="B84" s="15">
        <v>0</v>
      </c>
      <c r="C84" s="3" t="s">
        <v>105</v>
      </c>
      <c r="D84" t="s">
        <v>106</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171</v>
      </c>
      <c r="B86" s="50" t="s">
        <v>182</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172</v>
      </c>
      <c r="B87" s="26">
        <f>N87</f>
        <v>1.9528741509529837E-2</v>
      </c>
      <c r="C87" s="3" t="s">
        <v>96</v>
      </c>
      <c r="D87" s="3" t="s">
        <v>97</v>
      </c>
      <c r="E87" s="4"/>
      <c r="F87" s="8">
        <v>1851</v>
      </c>
      <c r="G87" s="9" t="str">
        <f>HYPERLINK("https://www.eia.gov/outlooks/aeo/assumptions/pdf/electricity.pdf","EIA, AEO2018, Electricity Market Module, Table 2")</f>
        <v>EIA, AEO2018,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22.02</v>
      </c>
      <c r="L87" s="9" t="str">
        <f>HYPERLINK("https://www.eia.gov/outlooks/aeo/assumptions/pdf/electricity.pdf","EIA, AEO2018, Electricity Market Module, Table 2")</f>
        <v>EIA, AEO2018, Electricity Market Module, Table 2</v>
      </c>
      <c r="M87" s="28">
        <f>F87*J87+K87</f>
        <v>171.18543289906683</v>
      </c>
      <c r="N87" s="29">
        <f>M87/HOURS_PER_YEAR</f>
        <v>1.9528741509529837E-2</v>
      </c>
      <c r="O87" s="8"/>
      <c r="P87" s="8"/>
      <c r="Q87" s="21"/>
      <c r="R87" s="4"/>
      <c r="S87" s="8"/>
      <c r="T87" s="4"/>
      <c r="U87" s="22"/>
      <c r="V87" s="22"/>
      <c r="W87" s="23"/>
      <c r="X87" s="24"/>
      <c r="Y87" s="25"/>
      <c r="Z87" s="20"/>
      <c r="AA87" s="4"/>
      <c r="AB87" s="4"/>
      <c r="AC87" s="4"/>
    </row>
    <row r="88" spans="1:29" ht="14.25" customHeight="1" x14ac:dyDescent="0.2">
      <c r="A88" s="14" t="s">
        <v>173</v>
      </c>
      <c r="B88" s="16">
        <f>Z88</f>
        <v>1E-8</v>
      </c>
      <c r="C88" s="3" t="s">
        <v>99</v>
      </c>
      <c r="D88" s="30" t="s">
        <v>100</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174</v>
      </c>
      <c r="B89" s="15">
        <v>0</v>
      </c>
      <c r="C89" s="3" t="s">
        <v>102</v>
      </c>
      <c r="D89" t="s">
        <v>103</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175</v>
      </c>
      <c r="B90" s="15">
        <v>0</v>
      </c>
      <c r="C90" s="3" t="s">
        <v>105</v>
      </c>
      <c r="D90" t="s">
        <v>106</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107</v>
      </c>
      <c r="B92" s="50" t="s">
        <v>108</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109</v>
      </c>
      <c r="B93" s="26">
        <f>N93</f>
        <v>2.0648572594225215E-2</v>
      </c>
      <c r="C93" s="3" t="s">
        <v>96</v>
      </c>
      <c r="D93" s="3" t="s">
        <v>110</v>
      </c>
      <c r="E93" s="4"/>
      <c r="F93" s="8">
        <v>1657</v>
      </c>
      <c r="G93" s="9" t="str">
        <f>HYPERLINK("https://www.eia.gov/outlooks/aeo/assumptions/pdf/electricity.pdf","EIA, AEO2018, Electricity Market Module, Table 2")</f>
        <v>EIA, AEO2018,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47.47</v>
      </c>
      <c r="L93" s="9" t="str">
        <f>HYPERLINK("https://www.eia.gov/outlooks/aeo/assumptions/pdf/electricity.pdf","EIA, AEO2018, Electricity Market Module, Table 2")</f>
        <v>EIA, AEO2018, Electricity Market Module, Table 2</v>
      </c>
      <c r="M93" s="28">
        <f>F93*J93+K93</f>
        <v>181.00167061791126</v>
      </c>
      <c r="N93" s="29">
        <f>M93/HOURS_PER_YEAR</f>
        <v>2.0648572594225215E-2</v>
      </c>
      <c r="O93" s="8"/>
      <c r="P93" s="8"/>
      <c r="Q93" s="21"/>
      <c r="R93" s="4"/>
      <c r="S93" s="8"/>
      <c r="T93" s="4"/>
      <c r="U93" s="22"/>
      <c r="V93" s="22"/>
      <c r="W93" s="23"/>
      <c r="X93" s="24"/>
      <c r="Y93" s="25"/>
      <c r="Z93" s="31"/>
      <c r="AA93" s="4"/>
      <c r="AB93" s="4"/>
      <c r="AC93" s="4"/>
    </row>
    <row r="94" spans="1:29" ht="14.25" customHeight="1" x14ac:dyDescent="0.2">
      <c r="A94" s="14" t="s">
        <v>111</v>
      </c>
      <c r="B94" s="16">
        <f>Z94</f>
        <v>1.05E-8</v>
      </c>
      <c r="C94" s="3" t="s">
        <v>99</v>
      </c>
      <c r="D94" s="30" t="s">
        <v>100</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112</v>
      </c>
      <c r="B95" s="15">
        <v>0</v>
      </c>
      <c r="C95" s="3" t="s">
        <v>102</v>
      </c>
      <c r="D95" s="3" t="s">
        <v>103</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113</v>
      </c>
      <c r="B96" s="15">
        <v>0</v>
      </c>
      <c r="C96" s="3" t="s">
        <v>105</v>
      </c>
      <c r="D96" s="3" t="s">
        <v>106</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176</v>
      </c>
      <c r="B98" s="50" t="s">
        <v>181</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177</v>
      </c>
      <c r="B99" s="26">
        <f>N99</f>
        <v>2.0648572594225215E-2</v>
      </c>
      <c r="C99" s="3" t="s">
        <v>96</v>
      </c>
      <c r="D99" s="3" t="s">
        <v>110</v>
      </c>
      <c r="E99" s="4"/>
      <c r="F99" s="8">
        <v>1657</v>
      </c>
      <c r="G99" s="9" t="str">
        <f>HYPERLINK("https://www.eia.gov/outlooks/aeo/assumptions/pdf/electricity.pdf","EIA, AEO2018, Electricity Market Module, Table 2")</f>
        <v>EIA, AEO2018,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47.47</v>
      </c>
      <c r="L99" s="9" t="str">
        <f>HYPERLINK("https://www.eia.gov/outlooks/aeo/assumptions/pdf/electricity.pdf","EIA, AEO2018, Electricity Market Module, Table 2")</f>
        <v>EIA, AEO2018, Electricity Market Module, Table 2</v>
      </c>
      <c r="M99" s="28">
        <f>F99*J99+K99</f>
        <v>181.00167061791126</v>
      </c>
      <c r="N99" s="29">
        <f>M99/HOURS_PER_YEAR</f>
        <v>2.0648572594225215E-2</v>
      </c>
      <c r="O99" s="8"/>
      <c r="P99" s="8"/>
      <c r="Q99" s="21"/>
      <c r="R99" s="4"/>
      <c r="S99" s="8"/>
      <c r="T99" s="4"/>
      <c r="U99" s="22"/>
      <c r="V99" s="22"/>
      <c r="W99" s="23"/>
      <c r="X99" s="24"/>
      <c r="Y99" s="25"/>
      <c r="Z99" s="31"/>
      <c r="AA99" s="4"/>
      <c r="AB99" s="4"/>
      <c r="AC99" s="4"/>
    </row>
    <row r="100" spans="1:29" ht="14.25" customHeight="1" x14ac:dyDescent="0.2">
      <c r="A100" s="14" t="s">
        <v>178</v>
      </c>
      <c r="B100" s="16">
        <f>Z100</f>
        <v>1.05E-8</v>
      </c>
      <c r="C100" s="3" t="s">
        <v>99</v>
      </c>
      <c r="D100" s="30" t="s">
        <v>100</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179</v>
      </c>
      <c r="B101" s="15">
        <v>0</v>
      </c>
      <c r="C101" s="3" t="s">
        <v>102</v>
      </c>
      <c r="D101" s="3" t="s">
        <v>103</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180</v>
      </c>
      <c r="B102" s="15">
        <v>0</v>
      </c>
      <c r="C102" s="3" t="s">
        <v>105</v>
      </c>
      <c r="D102" s="3" t="s">
        <v>106</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114</v>
      </c>
      <c r="B104" s="26">
        <f>N104</f>
        <v>1.1841887362491711E-2</v>
      </c>
      <c r="C104" s="3" t="s">
        <v>96</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1.1841887362491711E-2</v>
      </c>
      <c r="O104" s="8"/>
      <c r="P104" s="8"/>
      <c r="Q104" s="21"/>
      <c r="R104" s="4"/>
      <c r="S104" s="8"/>
      <c r="T104" s="4"/>
      <c r="U104" s="22"/>
      <c r="V104" s="22"/>
      <c r="W104" s="23"/>
      <c r="X104" s="24"/>
      <c r="Y104" s="25"/>
      <c r="Z104" s="31"/>
      <c r="AA104" s="4"/>
      <c r="AB104" s="4"/>
      <c r="AC104" s="4"/>
    </row>
    <row r="105" spans="1:29" ht="14.25" customHeight="1" x14ac:dyDescent="0.2">
      <c r="A105" s="14" t="s">
        <v>115</v>
      </c>
      <c r="B105" s="16">
        <f>Z105</f>
        <v>3.8992074681058302E-2</v>
      </c>
      <c r="C105" s="3" t="s">
        <v>99</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V105/U105+W105/1000+Y105</f>
        <v>3.8992074681058302E-2</v>
      </c>
      <c r="AA105" s="4"/>
      <c r="AB105" s="4"/>
      <c r="AC105" s="4"/>
    </row>
    <row r="106" spans="1:29" ht="14.25" customHeight="1" x14ac:dyDescent="0.2">
      <c r="A106" s="14" t="s">
        <v>116</v>
      </c>
      <c r="B106" s="15">
        <v>0</v>
      </c>
      <c r="C106" s="3" t="s">
        <v>102</v>
      </c>
      <c r="D106" s="3" t="s">
        <v>103</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117</v>
      </c>
      <c r="B107" s="34">
        <v>0.46100000000000002</v>
      </c>
      <c r="C107" s="3" t="s">
        <v>105</v>
      </c>
      <c r="D107" s="3" t="s">
        <v>118</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119</v>
      </c>
      <c r="B109" s="26">
        <f>N109</f>
        <v>2.7271220888813726E-2</v>
      </c>
      <c r="C109" s="3" t="s">
        <v>96</v>
      </c>
      <c r="D109" s="3"/>
      <c r="E109" s="4"/>
      <c r="F109" s="8">
        <v>2175</v>
      </c>
      <c r="G109" s="9" t="str">
        <f>HYPERLINK("https://www.eia.gov/outlooks/aeo/assumptions/pdf/electricity.pdf","EIA, AEO2018, Electricity Market Module, Table 2")</f>
        <v>EIA, AEO2018,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33.75</v>
      </c>
      <c r="L109" s="9" t="str">
        <f>HYPERLINK("https://www.eia.gov/outlooks/aeo/assumptions/pdf/electricity.pdf","EIA, AEO2018, Electricity Market Module, Table 2")</f>
        <v>EIA, AEO2018, Electricity Market Module, Table 2</v>
      </c>
      <c r="M109" s="28">
        <f>F109*J109+K109</f>
        <v>239.05461349158114</v>
      </c>
      <c r="N109" s="29">
        <f>M109/HOURS_PER_YEAR</f>
        <v>2.7271220888813726E-2</v>
      </c>
      <c r="O109" s="8"/>
      <c r="P109" s="8"/>
      <c r="Q109" s="21"/>
      <c r="R109" s="4"/>
      <c r="S109" s="8"/>
      <c r="T109" s="4"/>
      <c r="U109" s="22"/>
      <c r="V109" s="22"/>
      <c r="W109" s="23"/>
      <c r="X109" s="24"/>
      <c r="Y109" s="25"/>
      <c r="Z109" s="31"/>
      <c r="AA109" s="4"/>
      <c r="AB109" s="4"/>
      <c r="AC109" s="4"/>
    </row>
    <row r="110" spans="1:29" ht="14.25" customHeight="1" x14ac:dyDescent="0.2">
      <c r="A110" s="14" t="s">
        <v>120</v>
      </c>
      <c r="B110" s="16">
        <f>Z110</f>
        <v>5.6563468785905562E-2</v>
      </c>
      <c r="C110" s="3" t="s">
        <v>99</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7493</v>
      </c>
      <c r="T110" s="9" t="str">
        <f>HYPERLINK("https://www.eia.gov/outlooks/aeo/assumptions/pdf/electricity.pdf","EIA, AEO2018, Electricity Market Module, Table 2")</f>
        <v>EIA, AEO2018, Electricity Market Module, Table 2</v>
      </c>
      <c r="U110" s="22">
        <f>1/S110*Btu_per_kWh</f>
        <v>0.4553772365044631</v>
      </c>
      <c r="V110" s="22">
        <f>(O110/MWh_per_MMBtu/1000)/U110 + P110/1000</f>
        <v>2.2478999999999999E-2</v>
      </c>
      <c r="W110" s="23">
        <v>7.2</v>
      </c>
      <c r="X110" s="9" t="str">
        <f>HYPERLINK("https://www.eia.gov/outlooks/aeo/assumptions/pdf/electricity.pdf","EIA, AEO2018, Electricity Market Module, Table 2")</f>
        <v>EIA, AEO2018, Electricity Market Module, Table 2</v>
      </c>
      <c r="Y110" s="25">
        <v>0</v>
      </c>
      <c r="Z110" s="31">
        <f>V110/U110+W110/1000+Y110</f>
        <v>5.6563468785905562E-2</v>
      </c>
      <c r="AA110" s="4"/>
      <c r="AB110" s="4"/>
      <c r="AC110" s="4"/>
    </row>
    <row r="111" spans="1:29" ht="14.25" customHeight="1" x14ac:dyDescent="0.2">
      <c r="A111" s="14" t="s">
        <v>121</v>
      </c>
      <c r="B111" s="15">
        <v>0</v>
      </c>
      <c r="C111" s="3" t="s">
        <v>102</v>
      </c>
      <c r="D111" s="3" t="s">
        <v>103</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122</v>
      </c>
      <c r="B112" s="34">
        <v>0.16700000000000001</v>
      </c>
      <c r="C112" s="3" t="s">
        <v>105</v>
      </c>
      <c r="D112" s="3" t="s">
        <v>123</v>
      </c>
      <c r="E112" s="4"/>
      <c r="F112" s="8"/>
      <c r="G112" s="3"/>
      <c r="H112" s="8"/>
      <c r="I112" s="3"/>
      <c r="J112" s="18"/>
      <c r="K112" s="8"/>
      <c r="L112" s="35"/>
      <c r="M112" s="18"/>
      <c r="N112" s="20"/>
      <c r="O112" s="8"/>
      <c r="P112" s="8"/>
      <c r="Q112" s="21"/>
      <c r="R112" s="4"/>
      <c r="S112" s="8"/>
      <c r="T112" s="4"/>
      <c r="U112" s="22"/>
      <c r="V112" s="22"/>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124</v>
      </c>
      <c r="B114" s="26">
        <f>N114</f>
        <v>6.4753901191501415E-2</v>
      </c>
      <c r="C114" s="3" t="s">
        <v>96</v>
      </c>
      <c r="D114" s="30" t="s">
        <v>125</v>
      </c>
      <c r="E114" s="4"/>
      <c r="F114" s="8">
        <v>5946</v>
      </c>
      <c r="G114" s="9" t="str">
        <f>HYPERLINK("https://www.eia.gov/outlooks/aeo/assumptions/pdf/electricity.pdf","EIA, AEO2018, Electricity Market Module, Table 2")</f>
        <v>EIA, AEO2018, Electricity Market Module, Table 2</v>
      </c>
      <c r="H114" s="8">
        <v>40</v>
      </c>
      <c r="I114" s="9" t="str">
        <f>HYPERLINK("https://www.eia.gov/todayinenergy/detail.php?id=19091","EIA, 2014; NRC, 2018")</f>
        <v>EIA, 2014; NRC, 2018</v>
      </c>
      <c r="J114" s="27">
        <f>DISCOUNT_RATE*(1+DISCOUNT_RATE)^H114/((1+DISCOUNT_RATE)^H114-1)</f>
        <v>7.5009138873610326E-2</v>
      </c>
      <c r="K114" s="8">
        <v>101.28</v>
      </c>
      <c r="L114" s="9" t="str">
        <f>HYPERLINK("https://www.eia.gov/outlooks/aeo/assumptions/pdf/electricity.pdf","EIA, AEO2018, Electricity Market Module, Table 2")</f>
        <v>EIA, AEO2018, Electricity Market Module, Table 2</v>
      </c>
      <c r="M114" s="28">
        <f>F114*J114+K114</f>
        <v>547.28433974248696</v>
      </c>
      <c r="N114" s="36">
        <f>M114/HOURS_PER_YEAR+W115/1000</f>
        <v>6.4753901191501415E-2</v>
      </c>
      <c r="O114" s="8"/>
      <c r="P114" s="8"/>
      <c r="Q114" s="21"/>
      <c r="R114" s="4"/>
      <c r="S114" s="8"/>
      <c r="T114" s="4"/>
      <c r="U114" s="22"/>
      <c r="V114" s="22"/>
      <c r="W114" s="23"/>
      <c r="X114" s="24"/>
      <c r="Y114" s="25"/>
      <c r="Z114" s="37"/>
      <c r="AA114" s="3" t="s">
        <v>126</v>
      </c>
      <c r="AB114" s="4"/>
      <c r="AC114" s="4"/>
    </row>
    <row r="115" spans="1:29" ht="14.25" customHeight="1" x14ac:dyDescent="0.2">
      <c r="A115" s="14" t="s">
        <v>127</v>
      </c>
      <c r="B115" s="16">
        <f>Z115</f>
        <v>2.2838149285310763E-2</v>
      </c>
      <c r="C115" s="3" t="s">
        <v>99</v>
      </c>
      <c r="D115" s="30" t="s">
        <v>125</v>
      </c>
      <c r="E115" s="4"/>
      <c r="F115" s="8"/>
      <c r="G115" s="3"/>
      <c r="H115" s="8"/>
      <c r="I115" s="3"/>
      <c r="J115" s="18"/>
      <c r="K115" s="8"/>
      <c r="L115" s="32"/>
      <c r="M115" s="18"/>
      <c r="N115" s="20"/>
      <c r="O115" s="8">
        <v>0</v>
      </c>
      <c r="P115" s="8">
        <v>7.45</v>
      </c>
      <c r="Q115" s="21" t="str">
        <f>IF(AND(O115&lt;&gt;0,P115&lt;&gt;0),"bad fuel cost","OK")</f>
        <v>OK</v>
      </c>
      <c r="R115" s="9" t="str">
        <f>HYPERLINK("https://www.eia.gov/electricity/annual/html/epa_08_04.html","EIA, EPA2016, Table 8.4")</f>
        <v>EIA, EPA2016, Table 8.4</v>
      </c>
      <c r="S115" s="8">
        <v>10460</v>
      </c>
      <c r="T115" s="9" t="str">
        <f>HYPERLINK("https://www.eia.gov/outlooks/aeo/assumptions/pdf/electricity.pdf","EIA, AEO2018, Electricity Market Module, Table 2")</f>
        <v>EIA, AEO2018, Electricity Market Module, Table 2</v>
      </c>
      <c r="U115" s="22">
        <f>1/S115*Btu_per_kWh</f>
        <v>0.32620856913269042</v>
      </c>
      <c r="V115" s="22">
        <f>(O115/MWh_per_MMBtu/1000)/U115 + P115/1000</f>
        <v>7.45E-3</v>
      </c>
      <c r="W115" s="23">
        <v>2.3199999999999998</v>
      </c>
      <c r="X115" s="9" t="str">
        <f>HYPERLINK("https://www.eia.gov/outlooks/aeo/assumptions/pdf/electricity.pdf","EIA, AEO2018, Electricity Market Module, Table 2")</f>
        <v>EIA, AEO2018, Electricity Market Module, Table 2</v>
      </c>
      <c r="Y115" s="25">
        <v>0</v>
      </c>
      <c r="Z115" s="37">
        <f>V115/U115+Y115</f>
        <v>2.2838149285310763E-2</v>
      </c>
      <c r="AA115" s="3" t="s">
        <v>128</v>
      </c>
      <c r="AB115" s="4"/>
      <c r="AC115" s="4"/>
    </row>
    <row r="116" spans="1:29" ht="14.25" customHeight="1" x14ac:dyDescent="0.2">
      <c r="A116" s="14" t="s">
        <v>129</v>
      </c>
      <c r="B116" s="15">
        <v>0</v>
      </c>
      <c r="C116" s="3" t="s">
        <v>102</v>
      </c>
      <c r="D116" s="3" t="s">
        <v>103</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130</v>
      </c>
      <c r="B117" s="15">
        <v>0</v>
      </c>
      <c r="C117" s="3" t="s">
        <v>105</v>
      </c>
      <c r="D117" s="3" t="s">
        <v>106</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131</v>
      </c>
      <c r="B119" s="26">
        <f>N119</f>
        <v>4.2392529406082022E-3</v>
      </c>
      <c r="C119" s="3" t="s">
        <v>132</v>
      </c>
      <c r="D119" s="3" t="s">
        <v>133</v>
      </c>
      <c r="E119" s="4"/>
      <c r="F119" s="8">
        <v>261</v>
      </c>
      <c r="G119" s="9" t="str">
        <f>HYPERLINK("http://science.sciencemag.org/content/360/6396/eaas9793/tab-pdf","Davis et al., 2018, Science")</f>
        <v>Davis et al., 2018, Science</v>
      </c>
      <c r="H119" s="8">
        <v>10</v>
      </c>
      <c r="I119" s="9" t="str">
        <f>HYPERLINK("https://www.lazard.com/media/450338/lazard-levelized-cost-of-storage-version-30.pdf","LAZARD, 2017, Appendix A")</f>
        <v>LAZARD, 2017, Appendix A</v>
      </c>
      <c r="J119" s="27">
        <f>DISCOUNT_RATE*(1+DISCOUNT_RATE)^H119/((1+DISCOUNT_RATE)^H119-1)</f>
        <v>0.14237750272736471</v>
      </c>
      <c r="K119" s="8">
        <v>0</v>
      </c>
      <c r="L119" s="32"/>
      <c r="M119" s="28">
        <f>F119*J119+K119</f>
        <v>37.160528211842191</v>
      </c>
      <c r="N119" s="29">
        <f>M119/HOURS_PER_YEAR</f>
        <v>4.2392529406082022E-3</v>
      </c>
      <c r="O119" s="8"/>
      <c r="P119" s="8"/>
      <c r="Q119" s="21"/>
      <c r="R119" s="4"/>
      <c r="S119" s="8"/>
      <c r="T119" s="4"/>
      <c r="U119" s="22"/>
      <c r="V119" s="22"/>
      <c r="W119" s="23"/>
      <c r="X119" s="24"/>
      <c r="Y119" s="25"/>
      <c r="Z119" s="20"/>
      <c r="AA119" s="4"/>
      <c r="AB119" s="4"/>
      <c r="AC119" s="4"/>
    </row>
    <row r="120" spans="1:29" ht="14.25" customHeight="1" x14ac:dyDescent="0.2">
      <c r="A120" s="14" t="s">
        <v>134</v>
      </c>
      <c r="B120" s="16">
        <f t="shared" ref="B120:B121" si="0">Z120</f>
        <v>0</v>
      </c>
      <c r="C120" s="3" t="s">
        <v>96</v>
      </c>
      <c r="D120" s="3"/>
      <c r="E120" s="4"/>
      <c r="F120" s="8"/>
      <c r="G120" s="3"/>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8"/>
    </row>
    <row r="121" spans="1:29" ht="14.25" customHeight="1" x14ac:dyDescent="0.2">
      <c r="A121" s="14" t="s">
        <v>135</v>
      </c>
      <c r="B121" s="16">
        <f t="shared" si="0"/>
        <v>0</v>
      </c>
      <c r="C121" s="3" t="s">
        <v>96</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2" t="s">
        <v>166</v>
      </c>
      <c r="B122" s="15">
        <v>0.9</v>
      </c>
      <c r="C122" s="3"/>
      <c r="D122" s="3" t="s">
        <v>136</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2" t="s">
        <v>167</v>
      </c>
      <c r="B123" s="26">
        <f>1.01^(1/HOURS_PER_YEAR)-1</f>
        <v>1.1351290010175319E-6</v>
      </c>
      <c r="C123" s="3" t="s">
        <v>137</v>
      </c>
      <c r="D123" s="3" t="s">
        <v>138</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2" t="s">
        <v>168</v>
      </c>
      <c r="B124" s="34">
        <f>1568/261</f>
        <v>6.0076628352490422</v>
      </c>
      <c r="C124" s="3" t="s">
        <v>139</v>
      </c>
      <c r="D124" s="3" t="s">
        <v>140</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184</v>
      </c>
      <c r="B126" s="26">
        <f>N126</f>
        <v>4.2392529406082022E-3</v>
      </c>
      <c r="C126" s="3" t="s">
        <v>132</v>
      </c>
      <c r="D126" s="3" t="s">
        <v>133</v>
      </c>
      <c r="E126" s="4"/>
      <c r="F126" s="8">
        <v>261</v>
      </c>
      <c r="G126" s="9" t="str">
        <f>HYPERLINK("http://science.sciencemag.org/content/360/6396/eaas9793/tab-pdf","Davis et al., 2018, Science")</f>
        <v>Davis et al., 2018, Science</v>
      </c>
      <c r="H126" s="8">
        <v>10</v>
      </c>
      <c r="I126" s="9" t="str">
        <f>HYPERLINK("https://www.lazard.com/media/450338/lazard-levelized-cost-of-storage-version-30.pdf","LAZARD, 2017, Appendix A")</f>
        <v>LAZARD, 2017, Appendix A</v>
      </c>
      <c r="J126" s="27">
        <f>DISCOUNT_RATE*(1+DISCOUNT_RATE)^H126/((1+DISCOUNT_RATE)^H126-1)</f>
        <v>0.14237750272736471</v>
      </c>
      <c r="K126" s="8">
        <v>0</v>
      </c>
      <c r="L126" s="32"/>
      <c r="M126" s="28">
        <f>F126*J126+K126</f>
        <v>37.160528211842191</v>
      </c>
      <c r="N126" s="29">
        <f>M126/HOURS_PER_YEAR</f>
        <v>4.2392529406082022E-3</v>
      </c>
      <c r="O126" s="8"/>
      <c r="P126" s="8"/>
      <c r="Q126" s="21"/>
      <c r="R126" s="4"/>
      <c r="S126" s="8"/>
      <c r="T126" s="4"/>
      <c r="U126" s="22"/>
      <c r="V126" s="22"/>
      <c r="W126" s="23"/>
      <c r="X126" s="24"/>
      <c r="Y126" s="25"/>
      <c r="Z126" s="20"/>
      <c r="AA126" s="4"/>
      <c r="AB126" s="4"/>
      <c r="AC126" s="4"/>
    </row>
    <row r="127" spans="1:29" ht="14.25" customHeight="1" x14ac:dyDescent="0.2">
      <c r="A127" s="14" t="s">
        <v>185</v>
      </c>
      <c r="B127" s="16">
        <f t="shared" ref="B127:B128" si="3">Z127</f>
        <v>0</v>
      </c>
      <c r="C127" s="3" t="s">
        <v>96</v>
      </c>
      <c r="D127" s="3"/>
      <c r="E127" s="4"/>
      <c r="F127" s="8"/>
      <c r="G127" s="3"/>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8"/>
    </row>
    <row r="128" spans="1:29" ht="14.25" customHeight="1" x14ac:dyDescent="0.2">
      <c r="A128" s="14" t="s">
        <v>186</v>
      </c>
      <c r="B128" s="16">
        <f t="shared" si="3"/>
        <v>0</v>
      </c>
      <c r="C128" s="3" t="s">
        <v>96</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2" t="s">
        <v>187</v>
      </c>
      <c r="B129" s="15">
        <v>0.9</v>
      </c>
      <c r="C129" s="3"/>
      <c r="D129" s="3" t="s">
        <v>136</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2" t="s">
        <v>188</v>
      </c>
      <c r="B130" s="26">
        <f>1.01^(1/HOURS_PER_YEAR)-1</f>
        <v>1.1351290010175319E-6</v>
      </c>
      <c r="C130" s="3" t="s">
        <v>137</v>
      </c>
      <c r="D130" s="3" t="s">
        <v>138</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2" t="s">
        <v>189</v>
      </c>
      <c r="B131" s="34">
        <f>1568/261</f>
        <v>6.0076628352490422</v>
      </c>
      <c r="C131" s="3" t="s">
        <v>139</v>
      </c>
      <c r="D131" s="3" t="s">
        <v>140</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2" t="s">
        <v>141</v>
      </c>
      <c r="B133" s="39">
        <f t="shared" ref="B133:B135" si="6">N133</f>
        <v>3.2304881600325706E-6</v>
      </c>
      <c r="C133" s="3" t="s">
        <v>132</v>
      </c>
      <c r="D133" s="3" t="s">
        <v>142</v>
      </c>
      <c r="E133" s="4"/>
      <c r="F133" s="8">
        <v>0.3</v>
      </c>
      <c r="G133" s="9" t="str">
        <f>HYPERLINK("https://prod-ng.sandia.gov/techlib-noauth/access-control.cgi/2011/114845.pdf","Schoenung, 2011, Sandia Report")</f>
        <v>Schoenung, 2011, Sandia Report</v>
      </c>
      <c r="H133" s="40">
        <v>20</v>
      </c>
      <c r="I133" s="30" t="s">
        <v>143</v>
      </c>
      <c r="J133" s="27">
        <f>DISCOUNT_RATE*(1+DISCOUNT_RATE)^H133/((1+DISCOUNT_RATE)^H133-1)</f>
        <v>9.4392925743255696E-2</v>
      </c>
      <c r="K133" s="8">
        <v>0</v>
      </c>
      <c r="L133" s="32"/>
      <c r="M133" s="28">
        <f t="shared" ref="M133:M135" si="7">F133*J133+K133</f>
        <v>2.8317877722976708E-2</v>
      </c>
      <c r="N133" s="41">
        <f>M133/HOURS_PER_YEAR</f>
        <v>3.2304881600325706E-6</v>
      </c>
      <c r="O133" s="8"/>
      <c r="P133" s="8"/>
      <c r="Q133" s="21"/>
      <c r="R133" s="4"/>
      <c r="S133" s="8"/>
      <c r="T133" s="4"/>
      <c r="U133" s="22"/>
      <c r="V133" s="22"/>
      <c r="W133" s="23"/>
      <c r="X133" s="24"/>
      <c r="Y133" s="25"/>
      <c r="Z133" s="20"/>
      <c r="AA133" s="4"/>
      <c r="AB133" s="4"/>
      <c r="AC133" s="4"/>
    </row>
    <row r="134" spans="1:29" ht="14.25" customHeight="1" x14ac:dyDescent="0.2">
      <c r="A134" s="52" t="s">
        <v>144</v>
      </c>
      <c r="B134" s="39">
        <f t="shared" si="6"/>
        <v>1.184512325345276E-2</v>
      </c>
      <c r="C134" s="3" t="s">
        <v>96</v>
      </c>
      <c r="D134" s="3"/>
      <c r="E134" s="4"/>
      <c r="F134" s="8">
        <v>1100</v>
      </c>
      <c r="G134" s="9" t="str">
        <f t="shared" ref="G134:G135" si="8">HYPERLINK("http://science.sciencemag.org/content/360/6396/eaas9793/tab-pdf","Davis et al., 2018, Science")</f>
        <v>Davis et al., 2018, Science</v>
      </c>
      <c r="H134" s="40">
        <v>20</v>
      </c>
      <c r="I134" s="30" t="s">
        <v>143</v>
      </c>
      <c r="J134" s="27">
        <f>DISCOUNT_RATE*(1+DISCOUNT_RATE)^H134/((1+DISCOUNT_RATE)^H134-1)</f>
        <v>9.4392925743255696E-2</v>
      </c>
      <c r="K134" s="8">
        <v>0</v>
      </c>
      <c r="L134" s="32"/>
      <c r="M134" s="28">
        <f t="shared" si="7"/>
        <v>103.83221831758127</v>
      </c>
      <c r="N134" s="29">
        <f>M134/HOURS_PER_YEAR</f>
        <v>1.184512325345276E-2</v>
      </c>
      <c r="O134" s="8"/>
      <c r="P134" s="8"/>
      <c r="Q134" s="21"/>
      <c r="R134" s="4"/>
      <c r="S134" s="8"/>
      <c r="T134" s="4"/>
      <c r="U134" s="22"/>
      <c r="V134" s="22"/>
      <c r="W134" s="23"/>
      <c r="X134" s="24"/>
      <c r="Y134" s="25"/>
      <c r="Z134" s="20"/>
      <c r="AA134" s="4"/>
      <c r="AB134" s="4"/>
      <c r="AC134" s="4"/>
    </row>
    <row r="135" spans="1:29" ht="14.25" customHeight="1" x14ac:dyDescent="0.2">
      <c r="A135" s="52" t="s">
        <v>145</v>
      </c>
      <c r="B135" s="39">
        <f t="shared" si="6"/>
        <v>4.9534151787166088E-2</v>
      </c>
      <c r="C135" s="3" t="s">
        <v>96</v>
      </c>
      <c r="D135" s="3"/>
      <c r="E135" s="4"/>
      <c r="F135" s="8">
        <v>4600</v>
      </c>
      <c r="G135" s="9" t="str">
        <f t="shared" si="8"/>
        <v>Davis et al., 2018, Science</v>
      </c>
      <c r="H135" s="40">
        <v>20</v>
      </c>
      <c r="I135" s="30" t="s">
        <v>143</v>
      </c>
      <c r="J135" s="27">
        <f>DISCOUNT_RATE*(1+DISCOUNT_RATE)^H135/((1+DISCOUNT_RATE)^H135-1)</f>
        <v>9.4392925743255696E-2</v>
      </c>
      <c r="K135" s="8">
        <v>0</v>
      </c>
      <c r="L135" s="32"/>
      <c r="M135" s="28">
        <f t="shared" si="7"/>
        <v>434.20745841897622</v>
      </c>
      <c r="N135" s="29">
        <f>M135/HOURS_PER_YEAR</f>
        <v>4.9534151787166088E-2</v>
      </c>
      <c r="O135" s="8"/>
      <c r="P135" s="8"/>
      <c r="Q135" s="21"/>
      <c r="R135" s="4"/>
      <c r="S135" s="8"/>
      <c r="T135" s="4"/>
      <c r="U135" s="22"/>
      <c r="V135" s="22"/>
      <c r="W135" s="23"/>
      <c r="X135" s="24"/>
      <c r="Y135" s="25"/>
      <c r="Z135" s="20"/>
      <c r="AA135" s="4"/>
      <c r="AB135" s="4"/>
      <c r="AC135" s="4"/>
    </row>
    <row r="136" spans="1:29" ht="14.25" customHeight="1" x14ac:dyDescent="0.2">
      <c r="A136" s="52" t="s">
        <v>146</v>
      </c>
      <c r="B136" s="16">
        <f t="shared" ref="B136:B137" si="9">Z136</f>
        <v>0</v>
      </c>
      <c r="C136" s="3" t="s">
        <v>96</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2" t="s">
        <v>147</v>
      </c>
      <c r="B137" s="16">
        <f t="shared" si="9"/>
        <v>0</v>
      </c>
      <c r="C137" s="3" t="s">
        <v>96</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2" t="s">
        <v>159</v>
      </c>
      <c r="B138" s="42">
        <f>1.0001^(1/HOURS_PER_YEAR)-1</f>
        <v>1.1407375488659E-8</v>
      </c>
      <c r="C138" s="3" t="s">
        <v>137</v>
      </c>
      <c r="D138" s="3" t="s">
        <v>148</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t="s">
        <v>160</v>
      </c>
      <c r="B139" s="42">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2"/>
      <c r="B140" s="42"/>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3" customFormat="1" x14ac:dyDescent="0.2">
      <c r="A141" s="52" t="s">
        <v>161</v>
      </c>
      <c r="B141" s="47" t="s">
        <v>94</v>
      </c>
      <c r="F141" s="8"/>
      <c r="H141" s="8"/>
      <c r="I141" s="3"/>
      <c r="J141" s="18"/>
      <c r="K141" s="8"/>
      <c r="L141" s="4"/>
      <c r="M141" s="18"/>
      <c r="N141" s="20"/>
      <c r="O141" s="8"/>
      <c r="P141" s="8"/>
      <c r="Q141" s="21"/>
      <c r="R141" s="4"/>
      <c r="S141" s="8"/>
      <c r="T141" s="4"/>
      <c r="U141" s="22"/>
      <c r="V141" s="22"/>
      <c r="W141" s="23"/>
      <c r="X141" s="24"/>
      <c r="Y141" s="25"/>
      <c r="Z141" s="20"/>
    </row>
    <row r="142" spans="1:29" s="53" customFormat="1" x14ac:dyDescent="0.2">
      <c r="A142" s="52" t="s">
        <v>155</v>
      </c>
      <c r="B142" s="48">
        <v>1.9528741509529837E-2</v>
      </c>
      <c r="C142" s="53" t="s">
        <v>96</v>
      </c>
      <c r="D142" s="46">
        <f>0.3*0.08/8760</f>
        <v>2.7397260273972604E-6</v>
      </c>
      <c r="E142" s="53" t="s">
        <v>162</v>
      </c>
      <c r="F142" s="8"/>
      <c r="H142" s="8"/>
      <c r="I142" s="3"/>
      <c r="J142" s="18"/>
      <c r="K142" s="8"/>
      <c r="L142" s="4"/>
      <c r="M142" s="18"/>
      <c r="N142" s="20"/>
      <c r="O142" s="8"/>
      <c r="P142" s="8"/>
      <c r="Q142" s="21"/>
      <c r="R142" s="4"/>
      <c r="S142" s="8"/>
      <c r="T142" s="4"/>
      <c r="U142" s="22"/>
      <c r="V142" s="22"/>
      <c r="W142" s="23"/>
      <c r="X142" s="24"/>
      <c r="Y142" s="25"/>
      <c r="Z142" s="20"/>
    </row>
    <row r="143" spans="1:29" s="53" customFormat="1" x14ac:dyDescent="0.2">
      <c r="A143" s="52" t="s">
        <v>156</v>
      </c>
      <c r="B143" s="48">
        <f>1100*0.08/8760</f>
        <v>1.0045662100456621E-2</v>
      </c>
      <c r="C143" s="53" t="s">
        <v>132</v>
      </c>
      <c r="E143" s="53" t="s">
        <v>163</v>
      </c>
      <c r="F143" s="8"/>
      <c r="H143" s="8"/>
      <c r="I143" s="3"/>
      <c r="J143" s="18"/>
      <c r="K143" s="8"/>
      <c r="L143" s="4"/>
      <c r="M143" s="18"/>
      <c r="N143" s="20"/>
      <c r="O143" s="8"/>
      <c r="P143" s="8"/>
      <c r="Q143" s="21"/>
      <c r="R143" s="4"/>
      <c r="S143" s="8"/>
      <c r="T143" s="4"/>
      <c r="U143" s="22"/>
      <c r="V143" s="22"/>
      <c r="W143" s="23"/>
      <c r="X143" s="24"/>
      <c r="Y143" s="25"/>
      <c r="Z143" s="20"/>
    </row>
    <row r="144" spans="1:29" s="53" customFormat="1" x14ac:dyDescent="0.2">
      <c r="A144" s="52" t="s">
        <v>157</v>
      </c>
      <c r="B144" s="49">
        <f>0.00000001</f>
        <v>1E-8</v>
      </c>
      <c r="C144" s="53" t="s">
        <v>96</v>
      </c>
      <c r="F144" s="8"/>
      <c r="H144" s="8"/>
      <c r="I144" s="3"/>
      <c r="J144" s="18"/>
      <c r="K144" s="8"/>
      <c r="L144" s="4"/>
      <c r="M144" s="18"/>
      <c r="N144" s="20"/>
      <c r="O144" s="8"/>
      <c r="P144" s="8"/>
      <c r="Q144" s="21"/>
      <c r="R144" s="4"/>
      <c r="S144" s="8"/>
      <c r="T144" s="4"/>
      <c r="U144" s="22"/>
      <c r="V144" s="22"/>
      <c r="W144" s="23"/>
      <c r="X144" s="24"/>
      <c r="Y144" s="25"/>
      <c r="Z144" s="20"/>
    </row>
    <row r="145" spans="1:26" s="53" customFormat="1" x14ac:dyDescent="0.2">
      <c r="A145" s="52" t="s">
        <v>158</v>
      </c>
      <c r="B145" s="49">
        <f>0.00000001</f>
        <v>1E-8</v>
      </c>
      <c r="C145" s="53" t="s">
        <v>96</v>
      </c>
      <c r="F145" s="8"/>
      <c r="H145" s="8"/>
      <c r="I145" s="3"/>
      <c r="J145" s="18"/>
      <c r="K145" s="8"/>
      <c r="L145" s="4"/>
      <c r="M145" s="18"/>
      <c r="N145" s="20"/>
      <c r="O145" s="8"/>
      <c r="P145" s="8"/>
      <c r="Q145" s="21"/>
      <c r="R145" s="4"/>
      <c r="S145" s="8"/>
      <c r="T145" s="4"/>
      <c r="U145" s="22"/>
      <c r="V145" s="22"/>
      <c r="W145" s="23"/>
      <c r="X145" s="24"/>
      <c r="Y145" s="25"/>
      <c r="Z145" s="20"/>
    </row>
    <row r="146" spans="1:26" s="53" customFormat="1" x14ac:dyDescent="0.2">
      <c r="A146" s="52" t="s">
        <v>164</v>
      </c>
      <c r="B146" s="47">
        <v>0.1</v>
      </c>
      <c r="C146" s="53" t="s">
        <v>137</v>
      </c>
      <c r="E146" s="53" t="s">
        <v>169</v>
      </c>
      <c r="F146" s="8"/>
      <c r="H146" s="8"/>
      <c r="I146" s="3"/>
      <c r="J146" s="18"/>
      <c r="K146" s="8"/>
      <c r="L146" s="4"/>
      <c r="M146" s="18"/>
      <c r="N146" s="20"/>
      <c r="O146" s="8"/>
      <c r="P146" s="8"/>
      <c r="Q146" s="21"/>
      <c r="R146" s="4"/>
      <c r="S146" s="8"/>
      <c r="T146" s="4"/>
      <c r="U146" s="22"/>
      <c r="V146" s="22"/>
      <c r="W146" s="23"/>
      <c r="X146" s="24"/>
      <c r="Y146" s="25"/>
      <c r="Z146" s="20"/>
    </row>
    <row r="147" spans="1:26" s="53" customFormat="1" x14ac:dyDescent="0.2">
      <c r="A147" s="52" t="s">
        <v>165</v>
      </c>
      <c r="B147" s="47">
        <v>1</v>
      </c>
      <c r="D147" s="53" t="s">
        <v>170</v>
      </c>
      <c r="F147" s="8"/>
      <c r="H147" s="8"/>
      <c r="I147" s="3"/>
      <c r="J147" s="18"/>
      <c r="K147" s="8"/>
      <c r="L147" s="4"/>
      <c r="M147" s="18"/>
      <c r="N147" s="20"/>
      <c r="O147" s="8"/>
      <c r="P147" s="8"/>
      <c r="Q147" s="21"/>
      <c r="R147" s="4"/>
      <c r="S147" s="8"/>
      <c r="T147" s="4"/>
      <c r="U147" s="22"/>
      <c r="V147" s="22"/>
      <c r="W147" s="23"/>
      <c r="X147" s="24"/>
      <c r="Y147" s="25"/>
      <c r="Z147" s="20"/>
    </row>
    <row r="148" spans="1:26" s="53" customFormat="1" x14ac:dyDescent="0.2">
      <c r="A148" s="52"/>
      <c r="B148" s="47"/>
      <c r="F148" s="8"/>
      <c r="H148" s="8"/>
      <c r="I148" s="3"/>
      <c r="J148" s="18"/>
      <c r="K148" s="8"/>
      <c r="L148" s="4"/>
      <c r="M148" s="18"/>
      <c r="N148" s="20"/>
      <c r="O148" s="8"/>
      <c r="P148" s="8"/>
      <c r="Q148" s="21"/>
      <c r="R148" s="4"/>
      <c r="S148" s="8"/>
      <c r="T148" s="4"/>
      <c r="U148" s="22"/>
      <c r="V148" s="22"/>
      <c r="W148" s="23"/>
      <c r="X148" s="24"/>
      <c r="Y148" s="25"/>
      <c r="Z148" s="20"/>
    </row>
    <row r="149" spans="1:26" s="53" customFormat="1" x14ac:dyDescent="0.2">
      <c r="A149" s="52" t="s">
        <v>199</v>
      </c>
      <c r="B149" s="67">
        <f>N149</f>
        <v>1.430010548488715E-2</v>
      </c>
      <c r="C149" s="53" t="s">
        <v>96</v>
      </c>
      <c r="F149" s="8">
        <f>850*1.83</f>
        <v>1555.5</v>
      </c>
      <c r="G149" s="53" t="s">
        <v>200</v>
      </c>
      <c r="H149" s="8">
        <v>30</v>
      </c>
      <c r="I149" s="3" t="s">
        <v>201</v>
      </c>
      <c r="J149" s="27">
        <f>DISCOUNT_RATE*(1+DISCOUNT_RATE)^H149/((1+DISCOUNT_RATE)^H149-1)</f>
        <v>8.0586403511111196E-2</v>
      </c>
      <c r="K149" s="8">
        <v>0</v>
      </c>
      <c r="L149" s="4"/>
      <c r="M149" s="28">
        <f t="shared" ref="M149:M150" si="12">F149*J149+K149</f>
        <v>125.35215066153347</v>
      </c>
      <c r="N149" s="41">
        <f>M149/HOURS_PER_YEAR</f>
        <v>1.430010548488715E-2</v>
      </c>
      <c r="O149" s="8"/>
      <c r="P149" s="8"/>
      <c r="Q149" s="21"/>
      <c r="R149" s="4"/>
      <c r="S149" s="8"/>
      <c r="T149" s="4"/>
      <c r="U149" s="22"/>
      <c r="V149" s="22"/>
      <c r="W149" s="23"/>
      <c r="X149" s="24"/>
      <c r="Y149" s="25"/>
      <c r="Z149" s="20"/>
    </row>
    <row r="150" spans="1:26" s="53" customFormat="1" x14ac:dyDescent="0.2">
      <c r="A150" s="52" t="s">
        <v>198</v>
      </c>
      <c r="B150" s="67">
        <f>N150</f>
        <v>1.6302702492146069E-2</v>
      </c>
      <c r="C150" s="53" t="s">
        <v>96</v>
      </c>
      <c r="F150" s="8">
        <f>((202+32+32)*4.6)/690*1000</f>
        <v>1773.3333333333333</v>
      </c>
      <c r="G150" s="53" t="s">
        <v>209</v>
      </c>
      <c r="H150" s="8">
        <v>30</v>
      </c>
      <c r="I150" s="3" t="s">
        <v>201</v>
      </c>
      <c r="J150" s="27">
        <f>DISCOUNT_RATE*(1+DISCOUNT_RATE)^H150/((1+DISCOUNT_RATE)^H150-1)</f>
        <v>8.0586403511111196E-2</v>
      </c>
      <c r="K150" s="8">
        <v>0</v>
      </c>
      <c r="L150" s="4"/>
      <c r="M150" s="28">
        <f t="shared" si="12"/>
        <v>142.90655555970386</v>
      </c>
      <c r="N150" s="41">
        <f>M150/HOURS_PER_YEAR</f>
        <v>1.6302702492146069E-2</v>
      </c>
      <c r="O150" s="8"/>
      <c r="P150" s="8"/>
      <c r="Q150" s="21"/>
      <c r="R150" s="4"/>
      <c r="S150" s="8"/>
      <c r="T150" s="4"/>
      <c r="U150" s="22"/>
      <c r="V150" s="22"/>
      <c r="W150" s="23"/>
      <c r="X150" s="24"/>
      <c r="Y150" s="25"/>
      <c r="Z150" s="20"/>
    </row>
    <row r="151" spans="1:26" s="53" customFormat="1" x14ac:dyDescent="0.2">
      <c r="A151" s="52" t="s">
        <v>211</v>
      </c>
      <c r="B151" s="67">
        <f>N151</f>
        <v>2.7204936137143852E-7</v>
      </c>
      <c r="C151" s="53" t="s">
        <v>99</v>
      </c>
      <c r="F151" s="8">
        <f>((33*10^6))/(973*10^9)*1000</f>
        <v>3.3915724563206573E-2</v>
      </c>
      <c r="G151" s="53" t="s">
        <v>210</v>
      </c>
      <c r="H151" s="8">
        <v>80</v>
      </c>
      <c r="I151" s="3" t="s">
        <v>201</v>
      </c>
      <c r="J151" s="27">
        <f>DISCOUNT_RATE*(1+DISCOUNT_RATE)^H151/((1+DISCOUNT_RATE)^H151-1)</f>
        <v>7.0313571760871676E-2</v>
      </c>
      <c r="K151" s="8">
        <v>0</v>
      </c>
      <c r="L151" s="4"/>
      <c r="M151" s="28">
        <f t="shared" ref="M151" si="13">F151*J151+K151</f>
        <v>2.3847357328969834E-3</v>
      </c>
      <c r="N151" s="41">
        <f>M151/HOURS_PER_YEAR</f>
        <v>2.7204936137143852E-7</v>
      </c>
      <c r="O151" s="8"/>
      <c r="P151" s="8"/>
      <c r="Q151" s="21"/>
      <c r="R151" s="4"/>
      <c r="S151" s="8"/>
      <c r="T151" s="4"/>
      <c r="U151" s="22"/>
      <c r="V151" s="22"/>
      <c r="W151" s="23"/>
      <c r="X151" s="24"/>
      <c r="Y151" s="25"/>
      <c r="Z151" s="20"/>
    </row>
    <row r="152" spans="1:26" s="53" customFormat="1" x14ac:dyDescent="0.2">
      <c r="A152" s="52" t="s">
        <v>207</v>
      </c>
      <c r="B152" s="16">
        <v>9.9999999999999995E-7</v>
      </c>
      <c r="C152" s="3" t="s">
        <v>99</v>
      </c>
      <c r="D152" s="53" t="s">
        <v>208</v>
      </c>
      <c r="F152" s="8"/>
      <c r="H152" s="8"/>
      <c r="I152" s="3"/>
      <c r="J152" s="18"/>
      <c r="K152" s="8"/>
      <c r="L152" s="4"/>
      <c r="M152" s="18"/>
      <c r="N152" s="20"/>
      <c r="O152" s="8"/>
      <c r="P152" s="8"/>
      <c r="Q152" s="21"/>
      <c r="R152" s="4"/>
      <c r="S152" s="8"/>
      <c r="T152" s="4"/>
      <c r="U152" s="22"/>
      <c r="V152" s="22"/>
      <c r="W152" s="23"/>
      <c r="X152" s="24"/>
      <c r="Y152" s="25"/>
      <c r="Z152" s="31"/>
    </row>
    <row r="153" spans="1:26" s="53" customFormat="1" x14ac:dyDescent="0.2">
      <c r="A153" s="52" t="s">
        <v>202</v>
      </c>
      <c r="B153" s="16">
        <f>Z153</f>
        <v>6.9107241876284586E-2</v>
      </c>
      <c r="C153" s="3" t="s">
        <v>99</v>
      </c>
      <c r="F153" s="8"/>
      <c r="H153" s="8"/>
      <c r="I153" s="3"/>
      <c r="J153" s="18"/>
      <c r="K153" s="8"/>
      <c r="L153" s="4"/>
      <c r="M153" s="18"/>
      <c r="N153" s="20"/>
      <c r="O153" s="8">
        <v>0</v>
      </c>
      <c r="P153" s="8">
        <v>0</v>
      </c>
      <c r="Q153" s="21" t="str">
        <f>IF(AND(O153&lt;&gt;0,P153&lt;&gt;0),"bad fuel cost","OK")</f>
        <v>OK</v>
      </c>
      <c r="R153" s="4"/>
      <c r="S153" s="8"/>
      <c r="T153" s="4"/>
      <c r="U153" s="22">
        <v>0.65900000000000003</v>
      </c>
      <c r="V153" s="22">
        <v>0</v>
      </c>
      <c r="W153" s="23">
        <f>18.62*(0.069+0.038+0.016+0.001)/(MMBtu_per_Gallon_Gasoline*MWh_per_MMBtu)</f>
        <v>69.10724187628459</v>
      </c>
      <c r="X153" s="24" t="s">
        <v>203</v>
      </c>
      <c r="Y153" s="25"/>
      <c r="Z153" s="31">
        <f>V153/U153+W153/1000+Y153</f>
        <v>6.9107241876284586E-2</v>
      </c>
    </row>
    <row r="154" spans="1:26" s="53" customFormat="1" x14ac:dyDescent="0.2">
      <c r="A154" s="52" t="s">
        <v>206</v>
      </c>
      <c r="B154" s="49">
        <f>D154*(236/690)/1000</f>
        <v>1.7101449275362317E-2</v>
      </c>
      <c r="C154" s="53" t="s">
        <v>99</v>
      </c>
      <c r="D154" s="68">
        <v>50</v>
      </c>
      <c r="E154" s="53" t="s">
        <v>196</v>
      </c>
      <c r="F154" s="8"/>
      <c r="H154" s="8"/>
      <c r="I154" s="3"/>
      <c r="J154" s="18"/>
      <c r="K154" s="8"/>
      <c r="L154" s="4"/>
      <c r="M154" s="18"/>
      <c r="N154" s="20"/>
      <c r="O154" s="8"/>
      <c r="P154" s="8"/>
      <c r="Q154" s="21"/>
      <c r="R154" s="4"/>
      <c r="S154" s="8"/>
      <c r="T154" s="4"/>
      <c r="U154" s="22"/>
      <c r="V154" s="22"/>
      <c r="W154" s="23"/>
      <c r="X154" s="24"/>
      <c r="Y154" s="25"/>
      <c r="Z154" s="20"/>
    </row>
    <row r="155" spans="1:26" s="53" customFormat="1" x14ac:dyDescent="0.2">
      <c r="A155" s="52" t="s">
        <v>213</v>
      </c>
      <c r="B155" s="47">
        <f>0.446/B156</f>
        <v>0.67678300455235207</v>
      </c>
      <c r="C155" s="3"/>
      <c r="D155" s="53" t="s">
        <v>204</v>
      </c>
      <c r="F155" s="8"/>
      <c r="H155" s="8"/>
      <c r="I155" s="3"/>
      <c r="J155" s="18"/>
      <c r="K155" s="8"/>
      <c r="L155" s="4"/>
      <c r="M155" s="18"/>
      <c r="N155" s="20"/>
      <c r="O155" s="8"/>
      <c r="P155" s="8"/>
      <c r="Q155" s="21"/>
      <c r="R155" s="4"/>
      <c r="S155" s="8"/>
      <c r="T155" s="4"/>
      <c r="U155" s="22"/>
      <c r="V155" s="22"/>
      <c r="W155" s="23"/>
      <c r="X155" s="24"/>
      <c r="Y155" s="25"/>
      <c r="Z155" s="20"/>
    </row>
    <row r="156" spans="1:26" s="53" customFormat="1" x14ac:dyDescent="0.2">
      <c r="A156" s="52" t="s">
        <v>214</v>
      </c>
      <c r="B156" s="47">
        <v>0.65900000000000003</v>
      </c>
      <c r="C156" s="3"/>
      <c r="D156" s="53" t="s">
        <v>205</v>
      </c>
      <c r="F156" s="8"/>
      <c r="H156" s="8"/>
      <c r="I156" s="3"/>
      <c r="J156" s="18"/>
      <c r="K156" s="8"/>
      <c r="L156" s="4"/>
      <c r="M156" s="18"/>
      <c r="N156" s="20"/>
      <c r="O156" s="8"/>
      <c r="P156" s="8"/>
      <c r="Q156" s="21"/>
      <c r="R156" s="4"/>
      <c r="S156" s="8"/>
      <c r="T156" s="4"/>
      <c r="U156" s="22"/>
      <c r="V156" s="22"/>
      <c r="W156" s="23"/>
      <c r="X156" s="24"/>
      <c r="Y156" s="25"/>
      <c r="Z156" s="20"/>
    </row>
    <row r="157" spans="1:26" s="53" customFormat="1" x14ac:dyDescent="0.2">
      <c r="A157" s="52" t="s">
        <v>212</v>
      </c>
      <c r="B157" s="49">
        <f>B138</f>
        <v>1.1407375488659E-8</v>
      </c>
      <c r="C157" s="3" t="s">
        <v>137</v>
      </c>
      <c r="D157" s="3" t="s">
        <v>148</v>
      </c>
      <c r="E157" s="9" t="str">
        <f>HYPERLINK("http://juser.fz-juelich.de/record/135790/files/Energie%26Umwelt_78-04.pdf","Crotogino et al., 2010, p43")</f>
        <v>Crotogino et al., 2010, p43</v>
      </c>
      <c r="F157" s="8"/>
      <c r="H157" s="8"/>
      <c r="I157" s="3"/>
      <c r="J157" s="18"/>
      <c r="K157" s="8"/>
      <c r="L157" s="4"/>
      <c r="M157" s="18"/>
      <c r="N157" s="20"/>
      <c r="O157" s="8"/>
      <c r="P157" s="8"/>
      <c r="Q157" s="21"/>
      <c r="R157" s="4"/>
      <c r="S157" s="8"/>
      <c r="T157" s="4"/>
      <c r="U157" s="22"/>
      <c r="V157" s="22"/>
      <c r="W157" s="23"/>
      <c r="X157" s="24"/>
      <c r="Y157" s="25"/>
      <c r="Z157" s="20"/>
    </row>
    <row r="158" spans="1:26" s="53" customFormat="1" x14ac:dyDescent="0.2">
      <c r="A158" s="52" t="s">
        <v>193</v>
      </c>
      <c r="B158" s="49">
        <f>D158/(MMBtu_per_Gallon_Gasoline*MWh_per_MMBtu*1000)</f>
        <v>2.9931066957262647E-2</v>
      </c>
      <c r="C158" s="53" t="s">
        <v>99</v>
      </c>
      <c r="D158" s="68">
        <v>1</v>
      </c>
      <c r="E158" s="3" t="s">
        <v>194</v>
      </c>
      <c r="F158" s="8"/>
      <c r="H158" s="8"/>
      <c r="I158" s="3"/>
      <c r="J158" s="18"/>
      <c r="K158" s="8"/>
      <c r="L158" s="4"/>
      <c r="M158" s="18"/>
      <c r="N158" s="20"/>
      <c r="O158" s="8"/>
      <c r="P158" s="8"/>
      <c r="Q158" s="21"/>
      <c r="R158" s="4"/>
      <c r="S158" s="8"/>
      <c r="T158" s="4"/>
      <c r="U158" s="22"/>
      <c r="V158" s="22"/>
      <c r="W158" s="23"/>
      <c r="X158" s="24"/>
      <c r="Y158" s="25"/>
      <c r="Z158" s="20"/>
    </row>
    <row r="159" spans="1:26" s="53" customFormat="1" x14ac:dyDescent="0.2">
      <c r="A159" s="52"/>
      <c r="B159" s="47"/>
      <c r="F159" s="8"/>
      <c r="H159" s="8"/>
      <c r="I159" s="3"/>
      <c r="J159" s="18"/>
      <c r="K159" s="8"/>
      <c r="L159" s="4"/>
      <c r="M159" s="18"/>
      <c r="N159" s="20"/>
      <c r="O159" s="8"/>
      <c r="P159" s="8"/>
      <c r="Q159" s="21"/>
      <c r="R159" s="4"/>
      <c r="S159" s="8"/>
      <c r="T159" s="4"/>
      <c r="U159" s="22"/>
      <c r="V159" s="22"/>
      <c r="W159" s="23"/>
      <c r="X159" s="24"/>
      <c r="Y159" s="25"/>
      <c r="Z159" s="20"/>
    </row>
    <row r="160" spans="1:26" s="53" customFormat="1" x14ac:dyDescent="0.2">
      <c r="A160" s="52"/>
      <c r="B160" s="47"/>
      <c r="F160" s="8"/>
      <c r="H160" s="8"/>
      <c r="I160" s="3"/>
      <c r="J160" s="18"/>
      <c r="K160" s="8"/>
      <c r="L160" s="4"/>
      <c r="M160" s="18"/>
      <c r="N160" s="20"/>
      <c r="O160" s="8"/>
      <c r="P160" s="8"/>
      <c r="Q160" s="21"/>
      <c r="R160" s="4"/>
      <c r="S160" s="8"/>
      <c r="T160" s="4"/>
      <c r="U160" s="22"/>
      <c r="V160" s="22"/>
      <c r="W160" s="23"/>
      <c r="X160" s="24"/>
      <c r="Y160" s="25"/>
      <c r="Z160" s="20"/>
    </row>
    <row r="161" spans="1:43" ht="14.25" customHeight="1" x14ac:dyDescent="0.2">
      <c r="A161" s="14" t="s">
        <v>149</v>
      </c>
      <c r="B161" s="15">
        <v>10</v>
      </c>
      <c r="C161" s="3" t="s">
        <v>96</v>
      </c>
      <c r="D161" s="3"/>
      <c r="E161" s="4"/>
      <c r="F161" s="8"/>
      <c r="G161" s="3"/>
      <c r="H161" s="8"/>
      <c r="I161" s="3"/>
      <c r="J161" s="18"/>
      <c r="K161" s="8"/>
      <c r="L161" s="4"/>
      <c r="M161" s="18"/>
      <c r="N161" s="20"/>
      <c r="O161" s="8"/>
      <c r="P161" s="8"/>
      <c r="Q161" s="21"/>
      <c r="R161" s="4"/>
      <c r="S161" s="8"/>
      <c r="T161" s="4"/>
      <c r="U161" s="22"/>
      <c r="V161" s="22"/>
      <c r="W161" s="23"/>
      <c r="X161" s="24"/>
      <c r="Y161" s="25"/>
      <c r="Z161" s="20"/>
      <c r="AA161" s="4"/>
      <c r="AB161" s="4"/>
      <c r="AC161" s="4"/>
    </row>
    <row r="162" spans="1:43" ht="14.25" customHeight="1" x14ac:dyDescent="0.2">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43" ht="14.25" customHeight="1" x14ac:dyDescent="0.2">
      <c r="A163" s="3"/>
      <c r="B163" s="4"/>
      <c r="C163" s="3" t="s">
        <v>150</v>
      </c>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43" ht="14.25" customHeight="1" x14ac:dyDescent="0.2">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3" s="54" customFormat="1" x14ac:dyDescent="0.2">
      <c r="A165" s="54" t="s">
        <v>151</v>
      </c>
      <c r="B165" s="43" t="s">
        <v>152</v>
      </c>
    </row>
    <row r="166" spans="1:43" s="44" customFormat="1" ht="48" x14ac:dyDescent="0.2">
      <c r="A166" s="44" t="s">
        <v>153</v>
      </c>
      <c r="B166" s="51" t="s">
        <v>81</v>
      </c>
      <c r="C166" s="51" t="s">
        <v>83</v>
      </c>
      <c r="D166" s="51" t="s">
        <v>86</v>
      </c>
      <c r="E166" s="51" t="s">
        <v>87</v>
      </c>
      <c r="F166" s="51" t="s">
        <v>95</v>
      </c>
      <c r="G166" s="51" t="s">
        <v>98</v>
      </c>
      <c r="H166" s="51" t="s">
        <v>172</v>
      </c>
      <c r="I166" s="51" t="s">
        <v>173</v>
      </c>
      <c r="J166" s="51" t="s">
        <v>109</v>
      </c>
      <c r="K166" s="51" t="s">
        <v>111</v>
      </c>
      <c r="L166" s="51" t="s">
        <v>177</v>
      </c>
      <c r="M166" s="51" t="s">
        <v>178</v>
      </c>
      <c r="N166" s="51" t="s">
        <v>114</v>
      </c>
      <c r="O166" s="51" t="s">
        <v>115</v>
      </c>
      <c r="P166" s="51" t="s">
        <v>119</v>
      </c>
      <c r="Q166" s="51" t="s">
        <v>120</v>
      </c>
      <c r="R166" s="51" t="s">
        <v>124</v>
      </c>
      <c r="S166" s="51" t="s">
        <v>127</v>
      </c>
      <c r="T166" s="51" t="s">
        <v>183</v>
      </c>
      <c r="U166" s="51" t="s">
        <v>131</v>
      </c>
      <c r="V166" s="51" t="s">
        <v>134</v>
      </c>
      <c r="W166" s="51" t="s">
        <v>135</v>
      </c>
      <c r="X166" s="51" t="s">
        <v>166</v>
      </c>
      <c r="Y166" s="51" t="s">
        <v>184</v>
      </c>
      <c r="Z166" s="51" t="s">
        <v>185</v>
      </c>
      <c r="AA166" s="51" t="s">
        <v>186</v>
      </c>
      <c r="AB166" s="51" t="s">
        <v>187</v>
      </c>
      <c r="AC166" s="51" t="s">
        <v>141</v>
      </c>
      <c r="AD166" s="51" t="s">
        <v>144</v>
      </c>
      <c r="AE166" s="51" t="s">
        <v>144</v>
      </c>
      <c r="AF166" s="51" t="s">
        <v>145</v>
      </c>
      <c r="AG166" s="51" t="s">
        <v>146</v>
      </c>
      <c r="AH166" s="51" t="s">
        <v>147</v>
      </c>
      <c r="AI166" s="51" t="s">
        <v>155</v>
      </c>
      <c r="AJ166" s="51" t="s">
        <v>156</v>
      </c>
      <c r="AK166" s="51" t="s">
        <v>157</v>
      </c>
      <c r="AL166" s="51" t="s">
        <v>158</v>
      </c>
      <c r="AM166" s="51" t="s">
        <v>149</v>
      </c>
      <c r="AN166" s="51" t="s">
        <v>191</v>
      </c>
      <c r="AO166" s="51" t="s">
        <v>158</v>
      </c>
      <c r="AP166" s="51" t="s">
        <v>149</v>
      </c>
    </row>
    <row r="167" spans="1:43" s="53" customFormat="1" x14ac:dyDescent="0.2">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row>
    <row r="168" spans="1:43" s="59" customFormat="1" x14ac:dyDescent="0.2">
      <c r="A168" s="56" t="s">
        <v>192</v>
      </c>
      <c r="B168" s="57">
        <v>2016</v>
      </c>
      <c r="C168" s="57">
        <v>1</v>
      </c>
      <c r="D168" s="57">
        <v>2016</v>
      </c>
      <c r="E168" s="57">
        <v>1</v>
      </c>
      <c r="F168" s="57">
        <v>1</v>
      </c>
      <c r="G168" s="57">
        <v>1</v>
      </c>
      <c r="H168" s="57">
        <v>-1</v>
      </c>
      <c r="I168" s="57">
        <v>1</v>
      </c>
      <c r="J168" s="57">
        <v>1</v>
      </c>
      <c r="K168" s="57">
        <v>1</v>
      </c>
      <c r="L168" s="57">
        <v>-1</v>
      </c>
      <c r="M168" s="57">
        <v>1</v>
      </c>
      <c r="N168" s="57">
        <v>-1</v>
      </c>
      <c r="O168" s="57">
        <v>1</v>
      </c>
      <c r="P168" s="57">
        <v>-1</v>
      </c>
      <c r="Q168" s="57">
        <v>1</v>
      </c>
      <c r="R168" s="57">
        <v>1</v>
      </c>
      <c r="S168" s="57">
        <v>1</v>
      </c>
      <c r="T168" s="57">
        <v>-1</v>
      </c>
      <c r="U168" s="57">
        <v>-1</v>
      </c>
      <c r="V168" s="57">
        <v>1</v>
      </c>
      <c r="W168" s="57">
        <v>1</v>
      </c>
      <c r="X168" s="57">
        <v>0.9</v>
      </c>
      <c r="Y168" s="58">
        <v>-1</v>
      </c>
      <c r="Z168" s="58">
        <v>-1</v>
      </c>
      <c r="AA168" s="57">
        <v>0.3</v>
      </c>
      <c r="AB168" s="57">
        <v>0.1</v>
      </c>
      <c r="AC168" s="57">
        <v>-1</v>
      </c>
      <c r="AD168" s="58">
        <v>1</v>
      </c>
      <c r="AE168" s="58">
        <v>1</v>
      </c>
      <c r="AF168" s="57">
        <v>1</v>
      </c>
      <c r="AG168" s="57">
        <v>-1</v>
      </c>
      <c r="AH168" s="57">
        <v>1</v>
      </c>
      <c r="AI168" s="57">
        <v>-1</v>
      </c>
      <c r="AJ168" s="57">
        <v>1</v>
      </c>
      <c r="AK168" s="57">
        <v>1</v>
      </c>
      <c r="AL168" s="57">
        <v>1</v>
      </c>
      <c r="AM168" s="57">
        <v>1</v>
      </c>
      <c r="AN168" s="57">
        <v>1</v>
      </c>
      <c r="AO168" s="57">
        <v>-1</v>
      </c>
      <c r="AP168" s="57">
        <v>1</v>
      </c>
      <c r="AQ168" s="56"/>
    </row>
    <row r="169" spans="1:43" s="53" customFormat="1" x14ac:dyDescent="0.2">
      <c r="B169" s="45"/>
    </row>
    <row r="170" spans="1:43" s="54" customFormat="1" x14ac:dyDescent="0.2">
      <c r="A170" s="54" t="s">
        <v>154</v>
      </c>
      <c r="B170" s="43"/>
    </row>
    <row r="171" spans="1:43" ht="14.25" customHeight="1" x14ac:dyDescent="0.2">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43" ht="14.25" customHeight="1" x14ac:dyDescent="0.2">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43"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3"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3"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3"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2019-08-29T23:26:12Z</dcterms:modified>
</cp:coreProperties>
</file>