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truggles/SEM-1.2_HOME/"/>
    </mc:Choice>
  </mc:AlternateContent>
  <xr:revisionPtr revIDLastSave="0" documentId="8_{8059CFA1-DF9B-4B42-8060-A9B428631D07}" xr6:coauthVersionLast="45" xr6:coauthVersionMax="45" xr10:uidLastSave="{00000000-0000-0000-0000-000000000000}"/>
  <bookViews>
    <workbookView xWindow="1960" yWindow="460" windowWidth="27060" windowHeight="1306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MBtu_per_Gallon_Gasoline">case_input_test_190726!$B$49</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1" i="1" l="1"/>
  <c r="B49" i="1" l="1"/>
  <c r="B154" i="1"/>
  <c r="F150" i="1"/>
  <c r="E157" i="1" l="1"/>
  <c r="J150" i="1"/>
  <c r="M150" i="1" s="1"/>
  <c r="J149" i="1" l="1"/>
  <c r="F149" i="1"/>
  <c r="M149" i="1" l="1"/>
  <c r="Q153" i="1"/>
  <c r="Q137" i="1"/>
  <c r="J151" i="1"/>
  <c r="M151" i="1" s="1"/>
  <c r="B124" i="1" l="1"/>
  <c r="E123" i="1"/>
  <c r="Z121" i="1"/>
  <c r="B121" i="1" s="1"/>
  <c r="Q121" i="1"/>
  <c r="Z120" i="1"/>
  <c r="B120" i="1" s="1"/>
  <c r="Q120" i="1"/>
  <c r="J119" i="1"/>
  <c r="M119" i="1" s="1"/>
  <c r="I119" i="1"/>
  <c r="G119" i="1"/>
  <c r="X88" i="1" l="1"/>
  <c r="T88" i="1"/>
  <c r="Q88" i="1"/>
  <c r="L87" i="1"/>
  <c r="J87" i="1"/>
  <c r="M87" i="1" s="1"/>
  <c r="I87" i="1"/>
  <c r="G87" i="1"/>
  <c r="X100" i="1" l="1"/>
  <c r="T100" i="1"/>
  <c r="Q100" i="1"/>
  <c r="L99" i="1"/>
  <c r="J99" i="1"/>
  <c r="M99" i="1" s="1"/>
  <c r="I99" i="1"/>
  <c r="G99" i="1"/>
  <c r="X94" i="1" l="1"/>
  <c r="T94" i="1"/>
  <c r="Q94" i="1"/>
  <c r="L93" i="1"/>
  <c r="J93" i="1"/>
  <c r="M93" i="1" s="1"/>
  <c r="I93" i="1"/>
  <c r="G93" i="1"/>
  <c r="X82" i="1"/>
  <c r="T82" i="1"/>
  <c r="Q82" i="1"/>
  <c r="L81" i="1"/>
  <c r="J81" i="1"/>
  <c r="M81" i="1" s="1"/>
  <c r="I81" i="1"/>
  <c r="G81" i="1"/>
  <c r="B145" i="1" l="1"/>
  <c r="B144" i="1"/>
  <c r="B143" i="1"/>
  <c r="D142" i="1"/>
  <c r="D139" i="1" l="1"/>
  <c r="E138" i="1"/>
  <c r="Z137" i="1"/>
  <c r="B137" i="1" s="1"/>
  <c r="Z136" i="1"/>
  <c r="B136" i="1" s="1"/>
  <c r="Q136" i="1"/>
  <c r="J135" i="1"/>
  <c r="M135" i="1" s="1"/>
  <c r="G135" i="1"/>
  <c r="J134" i="1"/>
  <c r="M134" i="1" s="1"/>
  <c r="G134" i="1"/>
  <c r="J133" i="1"/>
  <c r="M133" i="1" s="1"/>
  <c r="G133" i="1"/>
  <c r="B131" i="1"/>
  <c r="E130" i="1"/>
  <c r="Z128" i="1"/>
  <c r="B128" i="1" s="1"/>
  <c r="Q128" i="1"/>
  <c r="Z127" i="1"/>
  <c r="B127" i="1" s="1"/>
  <c r="Q127" i="1"/>
  <c r="J126" i="1"/>
  <c r="M126" i="1" s="1"/>
  <c r="I126" i="1"/>
  <c r="G126" i="1"/>
  <c r="X115" i="1"/>
  <c r="T115" i="1"/>
  <c r="R115" i="1"/>
  <c r="Q115" i="1"/>
  <c r="L114" i="1"/>
  <c r="J114" i="1"/>
  <c r="M114" i="1" s="1"/>
  <c r="I114" i="1"/>
  <c r="G114" i="1"/>
  <c r="X110" i="1"/>
  <c r="T110" i="1"/>
  <c r="R110" i="1"/>
  <c r="Q110" i="1"/>
  <c r="L109" i="1"/>
  <c r="J109" i="1"/>
  <c r="M109" i="1" s="1"/>
  <c r="I109" i="1"/>
  <c r="G109" i="1"/>
  <c r="X105" i="1"/>
  <c r="T105" i="1"/>
  <c r="R105" i="1"/>
  <c r="Q105" i="1"/>
  <c r="L104" i="1"/>
  <c r="J104" i="1"/>
  <c r="M104" i="1" s="1"/>
  <c r="I104" i="1"/>
  <c r="G104" i="1"/>
  <c r="B48" i="1"/>
  <c r="C46" i="1"/>
  <c r="N150" i="1"/>
  <c r="B150" i="1" s="1"/>
  <c r="B158" i="1" l="1"/>
  <c r="W153" i="1"/>
  <c r="Z153" i="1" s="1"/>
  <c r="B153" i="1" s="1"/>
  <c r="N149" i="1"/>
  <c r="B149" i="1" s="1"/>
  <c r="N151" i="1"/>
  <c r="B151" i="1" s="1"/>
  <c r="B47" i="1"/>
  <c r="U100" i="1" s="1"/>
  <c r="V100" i="1" s="1"/>
  <c r="Z100" i="1" s="1"/>
  <c r="B100" i="1" s="1"/>
  <c r="B123" i="1"/>
  <c r="N119" i="1"/>
  <c r="B119" i="1" s="1"/>
  <c r="N99" i="1"/>
  <c r="B99" i="1" s="1"/>
  <c r="N87" i="1"/>
  <c r="B87" i="1" s="1"/>
  <c r="N81" i="1"/>
  <c r="B81" i="1" s="1"/>
  <c r="N93" i="1"/>
  <c r="B93" i="1" s="1"/>
  <c r="N134" i="1"/>
  <c r="B134" i="1" s="1"/>
  <c r="N114" i="1"/>
  <c r="B114" i="1" s="1"/>
  <c r="N109" i="1"/>
  <c r="B109" i="1" s="1"/>
  <c r="N126" i="1"/>
  <c r="B126" i="1" s="1"/>
  <c r="N104" i="1"/>
  <c r="B104" i="1" s="1"/>
  <c r="N135" i="1"/>
  <c r="B135" i="1" s="1"/>
  <c r="N133" i="1"/>
  <c r="B133" i="1" s="1"/>
  <c r="B130" i="1"/>
  <c r="B138" i="1"/>
  <c r="B157" i="1" s="1"/>
  <c r="U110" i="1"/>
  <c r="V110" i="1" s="1"/>
  <c r="Z110" i="1" s="1"/>
  <c r="B110" i="1" s="1"/>
  <c r="D160" i="1" l="1"/>
  <c r="U88" i="1"/>
  <c r="V88" i="1" s="1"/>
  <c r="Z88" i="1" s="1"/>
  <c r="B88" i="1" s="1"/>
  <c r="U115" i="1"/>
  <c r="V115" i="1" s="1"/>
  <c r="Z115" i="1" s="1"/>
  <c r="B115" i="1" s="1"/>
  <c r="U94" i="1"/>
  <c r="V94" i="1" s="1"/>
  <c r="Z94" i="1" s="1"/>
  <c r="B94" i="1" s="1"/>
  <c r="U105" i="1"/>
  <c r="V105" i="1" s="1"/>
  <c r="Z105" i="1" s="1"/>
  <c r="B105" i="1" s="1"/>
  <c r="U82" i="1"/>
  <c r="V82" i="1" s="1"/>
  <c r="Z82" i="1" s="1"/>
  <c r="B82" i="1" s="1"/>
</calcChain>
</file>

<file path=xl/sharedStrings.xml><?xml version="1.0" encoding="utf-8"?>
<sst xmlns="http://schemas.openxmlformats.org/spreadsheetml/2006/main" count="346" uniqueCount="215">
  <si>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</si>
  <si>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</si>
  <si>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</si>
  <si>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</si>
  <si>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</si>
  <si>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</si>
  <si>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</si>
  <si>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</si>
  <si>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</si>
  <si>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</si>
  <si>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</si>
  <si>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</si>
  <si>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</si>
  <si>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</si>
  <si>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</si>
  <si>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</si>
  <si>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</si>
  <si>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</si>
  <si>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</si>
  <si>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</si>
  <si>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</si>
  <si>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</si>
  <si>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</si>
  <si>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</si>
  <si>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</si>
  <si>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</si>
  <si>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</si>
  <si>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</si>
  <si>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</si>
  <si>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</si>
  <si>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</si>
  <si>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</si>
  <si>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</si>
  <si>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</si>
  <si>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</si>
  <si>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</si>
  <si>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</si>
  <si>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</si>
  <si>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</si>
  <si>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</si>
  <si>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</si>
  <si>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</si>
  <si>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</si>
  <si>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</si>
  <si>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</si>
  <si>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</si>
  <si>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</si>
  <si>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</si>
  <si>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</si>
  <si>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</si>
  <si>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</si>
  <si>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</si>
  <si>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</si>
  <si>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</si>
  <si>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</si>
  <si>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</si>
  <si>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</si>
  <si>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</si>
  <si>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</si>
  <si>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</si>
  <si>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</si>
  <si>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</si>
  <si>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</si>
  <si>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</si>
  <si>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</si>
  <si>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</si>
  <si>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</si>
  <si>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</si>
  <si>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</si>
  <si>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</si>
  <si>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</si>
  <si>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</si>
  <si>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</si>
  <si>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</si>
  <si>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</si>
  <si>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</si>
  <si>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</si>
  <si>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</si>
  <si>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</si>
  <si>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</si>
  <si>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</si>
  <si>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</si>
  <si>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</si>
  <si>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</si>
  <si>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</si>
  <si>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</si>
  <si>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</si>
  <si>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</si>
  <si>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</si>
  <si>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</si>
  <si>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</si>
  <si>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</si>
  <si>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</si>
  <si>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</si>
  <si>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</si>
  <si>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</si>
  <si>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</si>
  <si>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</si>
  <si>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</si>
  <si>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</si>
  <si>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</si>
  <si>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</si>
  <si>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</si>
  <si>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</si>
  <si>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</si>
  <si>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</si>
  <si>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</si>
  <si>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</si>
  <si>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</si>
  <si>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</si>
  <si>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</si>
  <si>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</si>
  <si>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</si>
  <si>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</si>
  <si>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</si>
  <si>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</si>
  <si>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</si>
  <si>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</si>
  <si>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</si>
  <si>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</si>
  <si>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</si>
  <si>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</si>
  <si>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</si>
  <si>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</si>
  <si>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</si>
  <si>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</si>
  <si>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</si>
  <si>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</si>
  <si>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</si>
  <si>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</si>
  <si>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</si>
  <si>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</si>
  <si>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</si>
  <si>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</si>
  <si>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</si>
  <si>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</si>
  <si>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</si>
  <si>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</si>
  <si>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</si>
  <si>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</si>
  <si>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</si>
  <si>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</si>
  <si>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</si>
  <si>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</si>
  <si>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</si>
  <si>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</si>
  <si>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</si>
  <si>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</si>
  <si>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</si>
  <si>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</si>
  <si>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</si>
  <si>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</si>
  <si>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</si>
  <si>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</si>
  <si>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</si>
  <si>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</si>
  <si>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</si>
  <si>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</si>
  <si>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</si>
  <si>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</si>
  <si>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</si>
  <si>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</si>
  <si>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</si>
  <si>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</si>
  <si>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</si>
  <si>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</si>
  <si>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</si>
  <si>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</si>
  <si>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</si>
  <si>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</si>
  <si>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</si>
  <si>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</si>
  <si>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</si>
  <si>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</si>
  <si>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</si>
  <si>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</si>
  <si>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</si>
  <si>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CAPACITY_STORAGE</t>
  </si>
  <si>
    <t>FIXED_COST_STORAGE2</t>
  </si>
  <si>
    <t>VAR_COST_TO_STORAGE2</t>
  </si>
  <si>
    <t>VAR_COST_FROM_STORAGE2</t>
  </si>
  <si>
    <t>CHARGING_EFFICIENCY_STORAGE2</t>
  </si>
  <si>
    <t>DECAY_RATE_STORAGE2</t>
  </si>
  <si>
    <t>CHARGING_TIME_STORAGE2</t>
  </si>
  <si>
    <t>FuelTest</t>
  </si>
  <si>
    <t>FUEL_VALUE</t>
  </si>
  <si>
    <t>$/Gallon</t>
  </si>
  <si>
    <t>MMBtu/Gallon Gasoline</t>
  </si>
  <si>
    <t>$/metric ton CO2</t>
  </si>
  <si>
    <t>Btu/GGE "Fuel Economy Impact Analysis of RFG". United States Environmental Protection Agency. August 14, 2007. Retrieved Aug 27, 2019.</t>
  </si>
  <si>
    <t>FIXED_COST_FUEL_CHEM_PLANT</t>
  </si>
  <si>
    <t>FIXED_COST_FUEL_ELECTROLYZER</t>
  </si>
  <si>
    <t>$850/kW*1.83 from table 3, cap ex for H2 electrolyzer * scale factor, D.H. König et al. / Fuel 159 (2015) 289–297</t>
  </si>
  <si>
    <t>D.H. König et al. / Fuel 159 (2015) 289–297, pg 293</t>
  </si>
  <si>
    <t>VAR_COST_FUEL_CHEM_PLANT</t>
  </si>
  <si>
    <t>Fig 4, cost break down of $/GGE, excluding electrolyzer and cap annual, D.H. König et al. / Fuel 159 (2015) 289–297</t>
  </si>
  <si>
    <t>table 2, eta_PtL / eta_plant = power to liquid efficiency (total eff) / chem plant efficiency, D.H. König et al. / Fuel 159 (2015) 289–297</t>
  </si>
  <si>
    <t>VAR_COST_FUEL_CO2</t>
  </si>
  <si>
    <t>VAR_COST_FUEL_ELECTROLYZER</t>
  </si>
  <si>
    <t>*Small, but non-zero value</t>
  </si>
  <si>
    <t>($202+32+32)*4.6/690MW of liquid fuel produced for FT, Hydrocracker, RWGS, Cavern) = fixex costs = cap ex*multiplier, Table 3 chem plant, D.H. König et al. / Fuel 159 (2015) 289–297</t>
  </si>
  <si>
    <t>(33)*4.6/690MW of liquid fuel produced for FT, Hydrocracker, RWGS, Cavern) = fixex costs = cap ex*multiplier, Table 3 chem plant, D.H. König et al. / Fuel 159 (2015) 289–297</t>
  </si>
  <si>
    <t>FIXED_COST_FUEL_H2_STORAGE</t>
  </si>
  <si>
    <t>DECAY_RATE_FUEL_H2_STORAGE</t>
  </si>
  <si>
    <t>EFFICIENCY_FUEL_ELECTROLYZER</t>
  </si>
  <si>
    <t>Input_Data/SEM_TEMOA</t>
  </si>
  <si>
    <t>SEM_TEMOA_demand.csv</t>
  </si>
  <si>
    <t>SEM_TEMOA_solar.csv</t>
  </si>
  <si>
    <t>SEM_TEMOA_wind.csv</t>
  </si>
  <si>
    <t>FUEL_DEMAND</t>
  </si>
  <si>
    <t>MWh</t>
  </si>
  <si>
    <t>test_190829_v6</t>
  </si>
  <si>
    <t>Estimated $/kWh for fuel… FIXME</t>
  </si>
  <si>
    <t>EFFICIENCY_FUEL_CHEM_CONVERSION</t>
  </si>
  <si>
    <t>table 2, eta_CCE, D.H. König et al. / Fuel 159 (2015) 289–297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</si>
</sst>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9" x14ac:knownFonts="1">
    <font>
      <sz val="11"/>
      <color rgb="FF000000"/>
      <name val="Calibri"/>
    </font>
    <font>
      <b/>
      <sz val="11"/>
      <color rgb="FF000000"/>
      <name val="Calibri"/>
      <family val="2"/>
    </font>
    <font>
      <u/>
      <sz val="11"/>
      <color rgb="FF0563C1"/>
      <name val="Calibri"/>
      <family val="2"/>
    </font>
    <font>
      <sz val="11"/>
      <color rgb="FFFF0000"/>
      <name val="Calibri"/>
      <family val="2"/>
    </font>
    <font>
      <u/>
      <sz val="11"/>
      <color rgb="FF0563C1"/>
      <name val="Calibri"/>
      <family val="2"/>
    </font>
    <font>
      <sz val="11"/>
      <name val="Calibri"/>
      <family val="2"/>
    </font>
    <font>
      <sz val="11"/>
      <color rgb="FF000000"/>
      <name val="Calibri"/>
      <family val="2"/>
    </font>
    <font>
      <sz val="11"/>
      <color theme="1"/>
      <name val="Calibri"/>
      <family val="2"/>
    </font>
    <font>
      <sz val="11"/>
      <color rgb="FF000000"/>
      <name val="Calibri"/>
      <family val="2"/>
    </font>
  </fonts>
  <fills count="15">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C000"/>
        <bgColor indexed="64"/>
      </patternFill>
    </fill>
  </fills>
  <borders count="2">
    <border>
      <left/>
      <right/>
      <top/>
      <bottom/>
      <diagonal/>
    </border>
    <border>
      <left/>
      <right/>
      <top/>
      <bottom/>
      <diagonal/>
    </border>
  </borders>
  <cellStyleXfs count="2">
    <xf numFmtId="0" fontId="0" fillId="0" borderId="0"/>
    <xf numFmtId="0" fontId="6" fillId="0" borderId="1"/>
  </cellStyleXfs>
  <cellXfs count="75">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0" fontId="0" fillId="0" borderId="0" xfId="0" applyFont="1" applyAlignment="1">
      <alignment wrapText="1"/>
    </xf>
    <xf numFmtId="168" fontId="0" fillId="12" borderId="0" xfId="0" applyNumberFormat="1" applyFill="1" applyAlignment="1">
      <alignment horizontal="right"/>
    </xf>
    <xf numFmtId="0" fontId="0" fillId="13" borderId="0" xfId="0" applyFill="1" applyAlignment="1"/>
    <xf numFmtId="0" fontId="0" fillId="0" borderId="0" xfId="0" applyFill="1" applyAlignment="1"/>
    <xf numFmtId="0" fontId="7" fillId="14" borderId="0" xfId="0" applyFont="1" applyFill="1" applyAlignment="1"/>
    <xf numFmtId="168" fontId="0" fillId="14" borderId="0" xfId="0" applyNumberFormat="1" applyFont="1" applyFill="1" applyAlignment="1">
      <alignment horizontal="right"/>
    </xf>
    <xf numFmtId="0" fontId="8" fillId="0" borderId="0" xfId="0" applyFont="1" applyAlignment="1"/>
    <xf numFmtId="0" fontId="6" fillId="11" borderId="0" xfId="0" applyFont="1" applyFill="1" applyAlignment="1"/>
    <xf numFmtId="0" fontId="6" fillId="0" borderId="0" xfId="0" applyFont="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30"/>
  <sheetViews>
    <sheetView tabSelected="1" topLeftCell="A143" zoomScale="120" zoomScaleNormal="120" workbookViewId="0">
      <pane xSplit="1" topLeftCell="B1" activePane="topRight" state="frozen"/>
      <selection activeCell="A146" sqref="A146"/>
      <selection pane="topRight" activeCell="C148" sqref="C148"/>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3"/>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v>8760</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5" t="s">
        <v>187</v>
      </c>
      <c r="B49" s="8">
        <f>114000/10^6</f>
        <v>0.114</v>
      </c>
      <c r="C49" s="53" t="s">
        <v>189</v>
      </c>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3"/>
      <c r="B50" s="4"/>
      <c r="C50" s="3"/>
      <c r="D50" s="4"/>
      <c r="E50" s="3"/>
      <c r="F50" s="4"/>
      <c r="G50" s="3"/>
      <c r="H50" s="4"/>
      <c r="I50" s="4"/>
      <c r="J50" s="4"/>
      <c r="K50" s="4"/>
      <c r="L50" s="4"/>
      <c r="M50" s="4"/>
      <c r="N50" s="4"/>
      <c r="O50" s="4"/>
      <c r="P50" s="4"/>
      <c r="Q50" s="4"/>
      <c r="R50" s="4"/>
      <c r="S50" s="4"/>
      <c r="T50" s="4"/>
      <c r="U50" s="4"/>
      <c r="V50" s="4"/>
      <c r="W50" s="4"/>
      <c r="X50" s="4"/>
      <c r="Y50" s="4"/>
      <c r="Z50" s="4"/>
      <c r="AA50" s="4"/>
      <c r="AB50" s="4"/>
      <c r="AC50" s="4"/>
    </row>
    <row r="51" spans="1:29" ht="14.25" customHeight="1" x14ac:dyDescent="0.2">
      <c r="A51" s="12" t="s">
        <v>31</v>
      </c>
      <c r="B51" s="12" t="s">
        <v>32</v>
      </c>
      <c r="C51" s="12"/>
      <c r="D51" s="13"/>
      <c r="E51" s="12"/>
      <c r="F51" s="13"/>
      <c r="G51" s="12"/>
      <c r="H51" s="13"/>
      <c r="I51" s="13"/>
      <c r="J51" s="13"/>
      <c r="K51" s="13"/>
      <c r="L51" s="13"/>
      <c r="M51" s="13"/>
      <c r="N51" s="13"/>
      <c r="O51" s="13"/>
      <c r="P51" s="13"/>
      <c r="Q51" s="13"/>
      <c r="R51" s="13"/>
      <c r="S51" s="13"/>
      <c r="T51" s="13"/>
      <c r="U51" s="13"/>
      <c r="V51" s="13"/>
      <c r="W51" s="13"/>
      <c r="X51" s="13"/>
      <c r="Y51" s="13"/>
      <c r="Z51" s="13"/>
      <c r="AA51" s="13"/>
      <c r="AB51" s="13"/>
      <c r="AC51" s="13"/>
    </row>
    <row r="52" spans="1:29" ht="14.25" customHeight="1" x14ac:dyDescent="0.2">
      <c r="A52" s="3"/>
      <c r="B52" s="4"/>
      <c r="C52" s="3"/>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33</v>
      </c>
      <c r="B53" s="15" t="s">
        <v>211</v>
      </c>
      <c r="C53" s="3" t="s">
        <v>34</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35</v>
      </c>
      <c r="B54" s="15" t="s">
        <v>205</v>
      </c>
      <c r="C54" s="3" t="s">
        <v>36</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t="s">
        <v>37</v>
      </c>
      <c r="B55" s="15" t="s">
        <v>38</v>
      </c>
      <c r="C55" s="3" t="s">
        <v>39</v>
      </c>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c r="B56" s="15"/>
      <c r="C56" s="3"/>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40</v>
      </c>
      <c r="B57" s="15" t="b">
        <v>1</v>
      </c>
      <c r="C57" s="3" t="s">
        <v>41</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42</v>
      </c>
      <c r="B58" s="15" t="b">
        <v>0</v>
      </c>
      <c r="C58" s="3" t="s">
        <v>43</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14" t="s">
        <v>44</v>
      </c>
      <c r="B59" s="15" t="b">
        <v>1</v>
      </c>
      <c r="C59" s="3" t="s">
        <v>45</v>
      </c>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3"/>
      <c r="B60" s="4"/>
      <c r="C60" s="3"/>
      <c r="D60" s="4"/>
      <c r="E60" s="3"/>
      <c r="F60" s="4"/>
      <c r="G60" s="3"/>
      <c r="H60" s="4"/>
      <c r="I60" s="4"/>
      <c r="J60" s="4"/>
      <c r="K60" s="4"/>
      <c r="L60" s="4"/>
      <c r="M60" s="4"/>
      <c r="N60" s="4"/>
      <c r="O60" s="4"/>
      <c r="P60" s="4"/>
      <c r="Q60" s="4"/>
      <c r="R60" s="4"/>
      <c r="S60" s="4"/>
      <c r="T60" s="4"/>
      <c r="U60" s="4"/>
      <c r="V60" s="4"/>
      <c r="W60" s="4"/>
      <c r="X60" s="4"/>
      <c r="Y60" s="4"/>
      <c r="Z60" s="4"/>
      <c r="AA60" s="4"/>
      <c r="AB60" s="4"/>
      <c r="AC60" s="4"/>
    </row>
    <row r="61" spans="1:29" ht="14.25" customHeight="1" x14ac:dyDescent="0.2">
      <c r="A61" s="12" t="s">
        <v>46</v>
      </c>
      <c r="B61" s="12" t="s">
        <v>47</v>
      </c>
      <c r="C61" s="12"/>
      <c r="D61" s="13"/>
      <c r="E61" s="12"/>
      <c r="F61" s="13"/>
      <c r="G61" s="12"/>
      <c r="H61" s="13"/>
      <c r="I61" s="13"/>
      <c r="J61" s="13"/>
      <c r="K61" s="13"/>
      <c r="L61" s="13"/>
      <c r="M61" s="13"/>
      <c r="N61" s="13"/>
      <c r="O61" s="13"/>
      <c r="P61" s="13"/>
      <c r="Q61" s="13"/>
      <c r="R61" s="13"/>
      <c r="S61" s="13"/>
      <c r="T61" s="13"/>
      <c r="U61" s="13"/>
      <c r="V61" s="13"/>
      <c r="W61" s="13"/>
      <c r="X61" s="13"/>
      <c r="Y61" s="13"/>
      <c r="Z61" s="13"/>
      <c r="AA61" s="13"/>
      <c r="AB61" s="13"/>
      <c r="AC61" s="13"/>
    </row>
    <row r="62" spans="1:29" s="66" customFormat="1" ht="115" customHeight="1" x14ac:dyDescent="0.2">
      <c r="A62" s="60"/>
      <c r="B62" s="61" t="s">
        <v>48</v>
      </c>
      <c r="C62" s="60" t="s">
        <v>49</v>
      </c>
      <c r="D62" s="61" t="s">
        <v>50</v>
      </c>
      <c r="E62" s="61"/>
      <c r="F62" s="62" t="s">
        <v>51</v>
      </c>
      <c r="G62" s="61" t="s">
        <v>52</v>
      </c>
      <c r="H62" s="62" t="s">
        <v>53</v>
      </c>
      <c r="I62" s="61" t="s">
        <v>54</v>
      </c>
      <c r="J62" s="63" t="s">
        <v>55</v>
      </c>
      <c r="K62" s="62" t="s">
        <v>56</v>
      </c>
      <c r="L62" s="61" t="s">
        <v>57</v>
      </c>
      <c r="M62" s="63" t="s">
        <v>58</v>
      </c>
      <c r="N62" s="64" t="s">
        <v>59</v>
      </c>
      <c r="O62" s="62" t="s">
        <v>60</v>
      </c>
      <c r="P62" s="62" t="s">
        <v>61</v>
      </c>
      <c r="Q62" s="65" t="s">
        <v>62</v>
      </c>
      <c r="R62" s="61" t="s">
        <v>63</v>
      </c>
      <c r="S62" s="62" t="s">
        <v>64</v>
      </c>
      <c r="T62" s="61" t="s">
        <v>65</v>
      </c>
      <c r="U62" s="63" t="s">
        <v>66</v>
      </c>
      <c r="V62" s="63" t="s">
        <v>67</v>
      </c>
      <c r="W62" s="62" t="s">
        <v>68</v>
      </c>
      <c r="X62" s="61" t="s">
        <v>69</v>
      </c>
      <c r="Y62" s="62" t="s">
        <v>70</v>
      </c>
      <c r="Z62" s="64" t="s">
        <v>71</v>
      </c>
      <c r="AA62" s="61"/>
      <c r="AB62" s="61"/>
      <c r="AC62" s="61"/>
    </row>
    <row r="63" spans="1:29" ht="14.25" customHeight="1" x14ac:dyDescent="0.2">
      <c r="A63" s="14" t="s">
        <v>72</v>
      </c>
      <c r="B63" s="16">
        <v>1000000000000</v>
      </c>
      <c r="C63" s="17"/>
      <c r="D63" s="3" t="s">
        <v>73</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t="s">
        <v>74</v>
      </c>
      <c r="B64" s="16">
        <v>1000000000000</v>
      </c>
      <c r="C64" s="17"/>
      <c r="D64" s="3" t="s">
        <v>75</v>
      </c>
      <c r="E64" s="4"/>
      <c r="F64" s="8"/>
      <c r="G64" s="3"/>
      <c r="H64" s="8"/>
      <c r="I64" s="3"/>
      <c r="J64" s="18"/>
      <c r="K64" s="8"/>
      <c r="L64" s="19"/>
      <c r="M64" s="18"/>
      <c r="N64" s="20"/>
      <c r="O64" s="8"/>
      <c r="P64" s="8"/>
      <c r="Q64" s="21"/>
      <c r="R64" s="4"/>
      <c r="S64" s="8"/>
      <c r="T64" s="4"/>
      <c r="U64" s="18"/>
      <c r="V64" s="18"/>
      <c r="W64" s="18"/>
      <c r="X64" s="4"/>
      <c r="Y64" s="8"/>
      <c r="Z64" s="20"/>
      <c r="AA64" s="4"/>
      <c r="AB64" s="4"/>
      <c r="AC64" s="4"/>
    </row>
    <row r="65" spans="1:29" ht="14.25" customHeight="1" x14ac:dyDescent="0.2">
      <c r="A65" s="14"/>
      <c r="B65" s="15"/>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76</v>
      </c>
      <c r="B66" s="15" t="s">
        <v>206</v>
      </c>
      <c r="C66" s="3"/>
      <c r="D66" s="4"/>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t="s">
        <v>77</v>
      </c>
      <c r="B67" s="15" t="b">
        <v>1</v>
      </c>
      <c r="C67" s="3"/>
      <c r="D67" s="3" t="s">
        <v>78</v>
      </c>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c r="B68" s="15"/>
      <c r="C68" s="3"/>
      <c r="D68" s="4"/>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79</v>
      </c>
      <c r="B69" s="15">
        <v>2015</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81</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82</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83</v>
      </c>
      <c r="B72" s="15">
        <v>1</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84</v>
      </c>
      <c r="B73" s="15">
        <v>2015</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85</v>
      </c>
      <c r="B74" s="15">
        <v>12</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86</v>
      </c>
      <c r="B75" s="15">
        <v>31</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t="s">
        <v>87</v>
      </c>
      <c r="B76" s="15">
        <v>24</v>
      </c>
      <c r="C76" s="3"/>
      <c r="D76" s="3" t="s">
        <v>80</v>
      </c>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c r="B77" s="15"/>
      <c r="C77" s="3"/>
      <c r="D77" s="4"/>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t="s">
        <v>88</v>
      </c>
      <c r="B78" s="15">
        <v>0</v>
      </c>
      <c r="C78" s="3" t="s">
        <v>89</v>
      </c>
      <c r="D78" s="3" t="s">
        <v>90</v>
      </c>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c r="B79" s="15"/>
      <c r="C79" s="3"/>
      <c r="D79" s="4"/>
      <c r="E79" s="4"/>
      <c r="F79" s="8"/>
      <c r="G79" s="3"/>
      <c r="H79" s="8"/>
      <c r="I79" s="3"/>
      <c r="J79" s="18"/>
      <c r="K79" s="8"/>
      <c r="L79" s="4"/>
      <c r="M79" s="18"/>
      <c r="N79" s="20"/>
      <c r="O79" s="8"/>
      <c r="P79" s="8"/>
      <c r="Q79" s="21"/>
      <c r="R79" s="4"/>
      <c r="S79" s="8"/>
      <c r="T79" s="4"/>
      <c r="U79" s="18"/>
      <c r="V79" s="18"/>
      <c r="W79" s="18"/>
      <c r="X79" s="4"/>
      <c r="Y79" s="8"/>
      <c r="Z79" s="20"/>
      <c r="AA79" s="4"/>
      <c r="AB79" s="4"/>
      <c r="AC79" s="4"/>
    </row>
    <row r="80" spans="1:29" ht="14.25" customHeight="1" x14ac:dyDescent="0.2">
      <c r="A80" s="14" t="s">
        <v>91</v>
      </c>
      <c r="B80" s="50" t="s">
        <v>207</v>
      </c>
      <c r="C80" s="3"/>
      <c r="D80" s="4"/>
      <c r="E80" s="4"/>
      <c r="F80" s="8"/>
      <c r="G80" s="3"/>
      <c r="H80" s="8"/>
      <c r="I80" s="3"/>
      <c r="J80" s="18"/>
      <c r="K80" s="8"/>
      <c r="L80" s="4"/>
      <c r="M80" s="18"/>
      <c r="N80" s="20"/>
      <c r="O80" s="8"/>
      <c r="P80" s="8"/>
      <c r="Q80" s="21"/>
      <c r="R80" s="4"/>
      <c r="S80" s="8"/>
      <c r="T80" s="4"/>
      <c r="U80" s="22"/>
      <c r="V80" s="22"/>
      <c r="W80" s="23"/>
      <c r="X80" s="24"/>
      <c r="Y80" s="25"/>
      <c r="Z80" s="20"/>
      <c r="AA80" s="4"/>
      <c r="AB80" s="4"/>
      <c r="AC80" s="4"/>
    </row>
    <row r="81" spans="1:29" ht="14.25" customHeight="1" x14ac:dyDescent="0.2">
      <c r="A81" s="14" t="s">
        <v>92</v>
      </c>
      <c r="B81" s="26">
        <f>N81</f>
        <v>1.954171608436836E-2</v>
      </c>
      <c r="C81" s="3" t="s">
        <v>93</v>
      </c>
      <c r="D81" s="3" t="s">
        <v>94</v>
      </c>
      <c r="E81" s="4"/>
      <c r="F81" s="8">
        <v>1851</v>
      </c>
      <c r="G81" s="9" t="str">
        <f>HYPERLINK("https://www.eia.gov/outlooks/aeo/assumptions/pdf/electricity.pdf","EIA, AEO2018, Electricity Market Module, Table 2")</f>
        <v>EIA, AEO2018, Electricity Market Module, Table 2</v>
      </c>
      <c r="H81" s="8">
        <v>30</v>
      </c>
      <c r="I81" s="9" t="str">
        <f>HYPERLINK("https://www.eia.gov/outlooks/aeo/assumptions/pdf/commercial.pdf","EIA, AEO2018, Commercial Demand Module, Table 3")</f>
        <v>EIA, AEO2018, Commercial Demand Module, Table 3</v>
      </c>
      <c r="J81" s="27">
        <f>DISCOUNT_RATE*(1+DISCOUNT_RATE)^H81/((1+DISCOUNT_RATE)^H81-1)</f>
        <v>8.0586403511111196E-2</v>
      </c>
      <c r="K81" s="8">
        <v>22.02</v>
      </c>
      <c r="L81" s="9" t="str">
        <f>HYPERLINK("https://www.eia.gov/outlooks/aeo/assumptions/pdf/electricity.pdf","EIA, AEO2018, Electricity Market Module, Table 2")</f>
        <v>EIA, AEO2018, Electricity Market Module, Table 2</v>
      </c>
      <c r="M81" s="28">
        <f>F81*J81+K81</f>
        <v>171.18543289906683</v>
      </c>
      <c r="N81" s="29">
        <f>M81/HOURS_PER_YEAR</f>
        <v>1.954171608436836E-2</v>
      </c>
      <c r="O81" s="8"/>
      <c r="P81" s="8"/>
      <c r="Q81" s="21"/>
      <c r="R81" s="4"/>
      <c r="S81" s="8"/>
      <c r="T81" s="4"/>
      <c r="U81" s="22"/>
      <c r="V81" s="22"/>
      <c r="W81" s="23"/>
      <c r="X81" s="24"/>
      <c r="Y81" s="25"/>
      <c r="Z81" s="20"/>
      <c r="AA81" s="4"/>
      <c r="AB81" s="4"/>
      <c r="AC81" s="4"/>
    </row>
    <row r="82" spans="1:29" ht="14.25" customHeight="1" x14ac:dyDescent="0.2">
      <c r="A82" s="14" t="s">
        <v>95</v>
      </c>
      <c r="B82" s="16">
        <f>Z82</f>
        <v>1E-8</v>
      </c>
      <c r="C82" s="3" t="s">
        <v>96</v>
      </c>
      <c r="D82" s="30" t="s">
        <v>97</v>
      </c>
      <c r="E82" s="4"/>
      <c r="F82" s="8"/>
      <c r="G82" s="3"/>
      <c r="H82" s="8"/>
      <c r="I82" s="3"/>
      <c r="J82" s="18"/>
      <c r="K82" s="8"/>
      <c r="L82" s="19"/>
      <c r="M82" s="18"/>
      <c r="N82" s="20"/>
      <c r="O82" s="8">
        <v>0</v>
      </c>
      <c r="P82" s="8">
        <v>0</v>
      </c>
      <c r="Q82" s="21" t="str">
        <f>IF(AND(O82&lt;&gt;0,P82&lt;&gt;0),"bad fuel cost","OK")</f>
        <v>OK</v>
      </c>
      <c r="R82" s="4"/>
      <c r="S82" s="8">
        <v>9271</v>
      </c>
      <c r="T82" s="9" t="str">
        <f>HYPERLINK("https://www.eia.gov/outlooks/aeo/assumptions/pdf/electricity.pdf","EIA, AEO2018, Electricity Market Module, Table 2")</f>
        <v>EIA, AEO2018, Electricity Market Module, Table 2</v>
      </c>
      <c r="U82" s="22">
        <f>1/S82*Btu_per_kWh</f>
        <v>0.36804461580497705</v>
      </c>
      <c r="V82" s="22">
        <f>(O82/MWh_per_MMBtu/1000)/U82 + P82/1000</f>
        <v>0</v>
      </c>
      <c r="W82" s="23">
        <v>0</v>
      </c>
      <c r="X82" s="9" t="str">
        <f>HYPERLINK("https://www.eia.gov/outlooks/aeo/assumptions/pdf/electricity.pdf","EIA, AEO2018, Electricity Market Module, Table 2")</f>
        <v>EIA, AEO2018, Electricity Market Module, Table 2</v>
      </c>
      <c r="Y82" s="25">
        <v>1E-8</v>
      </c>
      <c r="Z82" s="31">
        <f>V82/U82+W82/1000+Y82</f>
        <v>1E-8</v>
      </c>
      <c r="AA82" s="4"/>
      <c r="AB82" s="4"/>
      <c r="AC82" s="4"/>
    </row>
    <row r="83" spans="1:29" ht="14.25" customHeight="1" x14ac:dyDescent="0.2">
      <c r="A83" s="14" t="s">
        <v>98</v>
      </c>
      <c r="B83" s="15">
        <v>0</v>
      </c>
      <c r="C83" s="3" t="s">
        <v>99</v>
      </c>
      <c r="D83" t="s">
        <v>100</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t="s">
        <v>101</v>
      </c>
      <c r="B84" s="15">
        <v>0</v>
      </c>
      <c r="C84" s="3" t="s">
        <v>102</v>
      </c>
      <c r="D84" t="s">
        <v>103</v>
      </c>
      <c r="E84" s="4"/>
      <c r="F84" s="8"/>
      <c r="G84" s="3"/>
      <c r="H84" s="8"/>
      <c r="I84" s="3"/>
      <c r="J84" s="18"/>
      <c r="K84" s="8"/>
      <c r="L84" s="19"/>
      <c r="M84" s="18"/>
      <c r="N84" s="20"/>
      <c r="O84" s="8"/>
      <c r="P84" s="8"/>
      <c r="Q84" s="21"/>
      <c r="R84" s="4"/>
      <c r="S84" s="8"/>
      <c r="T84" s="4"/>
      <c r="U84" s="22"/>
      <c r="V84" s="22"/>
      <c r="W84" s="23"/>
      <c r="X84" s="24"/>
      <c r="Y84" s="25"/>
      <c r="Z84" s="31"/>
      <c r="AA84" s="4"/>
      <c r="AB84" s="4"/>
      <c r="AC84" s="4"/>
    </row>
    <row r="85" spans="1:29" ht="14.25" customHeight="1" x14ac:dyDescent="0.2">
      <c r="A85" s="14"/>
      <c r="B85" s="15"/>
      <c r="C85" s="3"/>
      <c r="D85" s="3"/>
      <c r="E85" s="4"/>
      <c r="F85" s="8"/>
      <c r="G85" s="3"/>
      <c r="H85" s="8"/>
      <c r="I85" s="3"/>
      <c r="J85" s="18"/>
      <c r="K85" s="8"/>
      <c r="L85" s="4"/>
      <c r="M85" s="18"/>
      <c r="N85" s="20"/>
      <c r="O85" s="8"/>
      <c r="P85" s="8"/>
      <c r="Q85" s="21"/>
      <c r="R85" s="4"/>
      <c r="S85" s="8"/>
      <c r="T85" s="4"/>
      <c r="U85" s="22"/>
      <c r="V85" s="22"/>
      <c r="W85" s="23"/>
      <c r="X85" s="24"/>
      <c r="Y85" s="25"/>
      <c r="Z85" s="31"/>
      <c r="AA85" s="4"/>
      <c r="AB85" s="4"/>
      <c r="AC85" s="4"/>
    </row>
    <row r="86" spans="1:29" ht="14.25" customHeight="1" x14ac:dyDescent="0.2">
      <c r="A86" s="14" t="s">
        <v>167</v>
      </c>
      <c r="B86" s="50" t="s">
        <v>207</v>
      </c>
      <c r="C86" s="3"/>
      <c r="D86" s="4"/>
      <c r="E86" s="4"/>
      <c r="F86" s="8"/>
      <c r="G86" s="3"/>
      <c r="H86" s="8"/>
      <c r="I86" s="3"/>
      <c r="J86" s="18"/>
      <c r="K86" s="8"/>
      <c r="L86" s="4"/>
      <c r="M86" s="18"/>
      <c r="N86" s="20"/>
      <c r="O86" s="8"/>
      <c r="P86" s="8"/>
      <c r="Q86" s="21"/>
      <c r="R86" s="4"/>
      <c r="S86" s="8"/>
      <c r="T86" s="4"/>
      <c r="U86" s="22"/>
      <c r="V86" s="22"/>
      <c r="W86" s="23"/>
      <c r="X86" s="24"/>
      <c r="Y86" s="25"/>
      <c r="Z86" s="20"/>
      <c r="AA86" s="4"/>
      <c r="AB86" s="4"/>
      <c r="AC86" s="4"/>
    </row>
    <row r="87" spans="1:29" ht="14.25" customHeight="1" x14ac:dyDescent="0.2">
      <c r="A87" s="14" t="s">
        <v>168</v>
      </c>
      <c r="B87" s="26">
        <f>N87</f>
        <v>1.954171608436836E-2</v>
      </c>
      <c r="C87" s="3" t="s">
        <v>93</v>
      </c>
      <c r="D87" s="3" t="s">
        <v>94</v>
      </c>
      <c r="E87" s="4"/>
      <c r="F87" s="8">
        <v>1851</v>
      </c>
      <c r="G87" s="9" t="str">
        <f>HYPERLINK("https://www.eia.gov/outlooks/aeo/assumptions/pdf/electricity.pdf","EIA, AEO2018, Electricity Market Module, Table 2")</f>
        <v>EIA, AEO2018, Electricity Market Module, Table 2</v>
      </c>
      <c r="H87" s="8">
        <v>30</v>
      </c>
      <c r="I87" s="9" t="str">
        <f>HYPERLINK("https://www.eia.gov/outlooks/aeo/assumptions/pdf/commercial.pdf","EIA, AEO2018, Commercial Demand Module, Table 3")</f>
        <v>EIA, AEO2018, Commercial Demand Module, Table 3</v>
      </c>
      <c r="J87" s="27">
        <f>DISCOUNT_RATE*(1+DISCOUNT_RATE)^H87/((1+DISCOUNT_RATE)^H87-1)</f>
        <v>8.0586403511111196E-2</v>
      </c>
      <c r="K87" s="8">
        <v>22.02</v>
      </c>
      <c r="L87" s="9" t="str">
        <f>HYPERLINK("https://www.eia.gov/outlooks/aeo/assumptions/pdf/electricity.pdf","EIA, AEO2018, Electricity Market Module, Table 2")</f>
        <v>EIA, AEO2018, Electricity Market Module, Table 2</v>
      </c>
      <c r="M87" s="28">
        <f>F87*J87+K87</f>
        <v>171.18543289906683</v>
      </c>
      <c r="N87" s="29">
        <f>M87/HOURS_PER_YEAR</f>
        <v>1.954171608436836E-2</v>
      </c>
      <c r="O87" s="8"/>
      <c r="P87" s="8"/>
      <c r="Q87" s="21"/>
      <c r="R87" s="4"/>
      <c r="S87" s="8"/>
      <c r="T87" s="4"/>
      <c r="U87" s="22"/>
      <c r="V87" s="22"/>
      <c r="W87" s="23"/>
      <c r="X87" s="24"/>
      <c r="Y87" s="25"/>
      <c r="Z87" s="20"/>
      <c r="AA87" s="4"/>
      <c r="AB87" s="4"/>
      <c r="AC87" s="4"/>
    </row>
    <row r="88" spans="1:29" ht="14.25" customHeight="1" x14ac:dyDescent="0.2">
      <c r="A88" s="14" t="s">
        <v>169</v>
      </c>
      <c r="B88" s="16">
        <f>Z88</f>
        <v>1E-8</v>
      </c>
      <c r="C88" s="3" t="s">
        <v>96</v>
      </c>
      <c r="D88" s="30" t="s">
        <v>97</v>
      </c>
      <c r="E88" s="4"/>
      <c r="F88" s="8"/>
      <c r="G88" s="3"/>
      <c r="H88" s="8"/>
      <c r="I88" s="3"/>
      <c r="J88" s="18"/>
      <c r="K88" s="8"/>
      <c r="L88" s="19"/>
      <c r="M88" s="18"/>
      <c r="N88" s="20"/>
      <c r="O88" s="8">
        <v>0</v>
      </c>
      <c r="P88" s="8">
        <v>0</v>
      </c>
      <c r="Q88" s="21" t="str">
        <f>IF(AND(O88&lt;&gt;0,P88&lt;&gt;0),"bad fuel cost","OK")</f>
        <v>OK</v>
      </c>
      <c r="R88" s="4"/>
      <c r="S88" s="8">
        <v>9271</v>
      </c>
      <c r="T88" s="9" t="str">
        <f>HYPERLINK("https://www.eia.gov/outlooks/aeo/assumptions/pdf/electricity.pdf","EIA, AEO2018, Electricity Market Module, Table 2")</f>
        <v>EIA, AEO2018, Electricity Market Module, Table 2</v>
      </c>
      <c r="U88" s="22">
        <f>1/S88*Btu_per_kWh</f>
        <v>0.36804461580497705</v>
      </c>
      <c r="V88" s="22">
        <f>(O88/MWh_per_MMBtu/1000)/U88 + P88/1000</f>
        <v>0</v>
      </c>
      <c r="W88" s="23">
        <v>0</v>
      </c>
      <c r="X88" s="9" t="str">
        <f>HYPERLINK("https://www.eia.gov/outlooks/aeo/assumptions/pdf/electricity.pdf","EIA, AEO2018, Electricity Market Module, Table 2")</f>
        <v>EIA, AEO2018, Electricity Market Module, Table 2</v>
      </c>
      <c r="Y88" s="25">
        <v>1E-8</v>
      </c>
      <c r="Z88" s="31">
        <f>V88/U88+W88/1000+Y88</f>
        <v>1E-8</v>
      </c>
      <c r="AA88" s="4"/>
      <c r="AB88" s="4"/>
      <c r="AC88" s="4"/>
    </row>
    <row r="89" spans="1:29" ht="14.25" customHeight="1" x14ac:dyDescent="0.2">
      <c r="A89" s="14" t="s">
        <v>170</v>
      </c>
      <c r="B89" s="15">
        <v>0</v>
      </c>
      <c r="C89" s="3" t="s">
        <v>99</v>
      </c>
      <c r="D89" t="s">
        <v>100</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t="s">
        <v>171</v>
      </c>
      <c r="B90" s="15">
        <v>0</v>
      </c>
      <c r="C90" s="3" t="s">
        <v>102</v>
      </c>
      <c r="D90" t="s">
        <v>103</v>
      </c>
      <c r="E90" s="4"/>
      <c r="F90" s="8"/>
      <c r="G90" s="3"/>
      <c r="H90" s="8"/>
      <c r="I90" s="3"/>
      <c r="J90" s="18"/>
      <c r="K90" s="8"/>
      <c r="L90" s="19"/>
      <c r="M90" s="18"/>
      <c r="N90" s="20"/>
      <c r="O90" s="8"/>
      <c r="P90" s="8"/>
      <c r="Q90" s="21"/>
      <c r="R90" s="4"/>
      <c r="S90" s="8"/>
      <c r="T90" s="4"/>
      <c r="U90" s="22"/>
      <c r="V90" s="22"/>
      <c r="W90" s="23"/>
      <c r="X90" s="24"/>
      <c r="Y90" s="25"/>
      <c r="Z90" s="31"/>
      <c r="AA90" s="4"/>
      <c r="AB90" s="4"/>
      <c r="AC90" s="4"/>
    </row>
    <row r="91" spans="1:29" ht="14.25" customHeight="1" x14ac:dyDescent="0.2">
      <c r="A91" s="14"/>
      <c r="B91" s="15"/>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104</v>
      </c>
      <c r="B92" s="50" t="s">
        <v>208</v>
      </c>
      <c r="C92" s="3"/>
      <c r="D92" s="3"/>
      <c r="E92" s="4"/>
      <c r="F92" s="8"/>
      <c r="G92" s="3"/>
      <c r="H92" s="8"/>
      <c r="I92" s="3"/>
      <c r="J92" s="18"/>
      <c r="K92" s="8"/>
      <c r="L92" s="4"/>
      <c r="M92" s="18"/>
      <c r="N92" s="20"/>
      <c r="O92" s="8"/>
      <c r="P92" s="8"/>
      <c r="Q92" s="21"/>
      <c r="R92" s="4"/>
      <c r="S92" s="8"/>
      <c r="T92" s="4"/>
      <c r="U92" s="22"/>
      <c r="V92" s="22"/>
      <c r="W92" s="23"/>
      <c r="X92" s="24"/>
      <c r="Y92" s="25"/>
      <c r="Z92" s="31"/>
      <c r="AA92" s="4"/>
      <c r="AB92" s="4"/>
      <c r="AC92" s="4"/>
    </row>
    <row r="93" spans="1:29" ht="14.25" customHeight="1" x14ac:dyDescent="0.2">
      <c r="A93" s="14" t="s">
        <v>105</v>
      </c>
      <c r="B93" s="26">
        <f>N93</f>
        <v>2.0662291166428225E-2</v>
      </c>
      <c r="C93" s="3" t="s">
        <v>93</v>
      </c>
      <c r="D93" s="3" t="s">
        <v>106</v>
      </c>
      <c r="E93" s="4"/>
      <c r="F93" s="8">
        <v>1657</v>
      </c>
      <c r="G93" s="9" t="str">
        <f>HYPERLINK("https://www.eia.gov/outlooks/aeo/assumptions/pdf/electricity.pdf","EIA, AEO2018, Electricity Market Module, Table 2")</f>
        <v>EIA, AEO2018, Electricity Market Module, Table 2</v>
      </c>
      <c r="H93" s="8">
        <v>30</v>
      </c>
      <c r="I93" s="9" t="str">
        <f>HYPERLINK("https://www.eia.gov/outlooks/aeo/assumptions/pdf/commercial.pdf","EIA, AEO2018, Commercial Demand Module, Table 3")</f>
        <v>EIA, AEO2018, Commercial Demand Module, Table 3</v>
      </c>
      <c r="J93" s="27">
        <f>DISCOUNT_RATE*(1+DISCOUNT_RATE)^H93/((1+DISCOUNT_RATE)^H93-1)</f>
        <v>8.0586403511111196E-2</v>
      </c>
      <c r="K93" s="8">
        <v>47.47</v>
      </c>
      <c r="L93" s="9" t="str">
        <f>HYPERLINK("https://www.eia.gov/outlooks/aeo/assumptions/pdf/electricity.pdf","EIA, AEO2018, Electricity Market Module, Table 2")</f>
        <v>EIA, AEO2018, Electricity Market Module, Table 2</v>
      </c>
      <c r="M93" s="28">
        <f>F93*J93+K93</f>
        <v>181.00167061791126</v>
      </c>
      <c r="N93" s="29">
        <f>M93/HOURS_PER_YEAR</f>
        <v>2.0662291166428225E-2</v>
      </c>
      <c r="O93" s="8"/>
      <c r="P93" s="8"/>
      <c r="Q93" s="21"/>
      <c r="R93" s="4"/>
      <c r="S93" s="8"/>
      <c r="T93" s="4"/>
      <c r="U93" s="22"/>
      <c r="V93" s="22"/>
      <c r="W93" s="23"/>
      <c r="X93" s="24"/>
      <c r="Y93" s="25"/>
      <c r="Z93" s="31"/>
      <c r="AA93" s="4"/>
      <c r="AB93" s="4"/>
      <c r="AC93" s="4"/>
    </row>
    <row r="94" spans="1:29" ht="14.25" customHeight="1" x14ac:dyDescent="0.2">
      <c r="A94" s="14" t="s">
        <v>107</v>
      </c>
      <c r="B94" s="16">
        <f>Z94</f>
        <v>1.05E-8</v>
      </c>
      <c r="C94" s="3" t="s">
        <v>96</v>
      </c>
      <c r="D94" s="30" t="s">
        <v>97</v>
      </c>
      <c r="E94" s="4"/>
      <c r="F94" s="8"/>
      <c r="G94" s="3"/>
      <c r="H94" s="8"/>
      <c r="I94" s="3"/>
      <c r="J94" s="18"/>
      <c r="K94" s="8"/>
      <c r="L94" s="19"/>
      <c r="M94" s="18"/>
      <c r="N94" s="20"/>
      <c r="O94" s="8">
        <v>0</v>
      </c>
      <c r="P94" s="8">
        <v>0</v>
      </c>
      <c r="Q94" s="21" t="str">
        <f>IF(AND(O94&lt;&gt;0,P94&lt;&gt;0),"bad fuel cost","OK")</f>
        <v>OK</v>
      </c>
      <c r="R94" s="4"/>
      <c r="S94" s="8">
        <v>9271</v>
      </c>
      <c r="T94" s="9" t="str">
        <f>HYPERLINK("https://www.eia.gov/outlooks/aeo/assumptions/pdf/electricity.pdf","EIA, AEO2018, Electricity Market Module, Table 2")</f>
        <v>EIA, AEO2018, Electricity Market Module, Table 2</v>
      </c>
      <c r="U94" s="22">
        <f>1/S94*Btu_per_kWh</f>
        <v>0.36804461580497705</v>
      </c>
      <c r="V94" s="22">
        <f>(O94/MWh_per_MMBtu/1000)/U94 + P94/1000</f>
        <v>0</v>
      </c>
      <c r="W94" s="23">
        <v>0</v>
      </c>
      <c r="X94" s="9" t="str">
        <f>HYPERLINK("https://www.eia.gov/outlooks/aeo/assumptions/pdf/electricity.pdf","EIA, AEO2018, Electricity Market Module, Table 2")</f>
        <v>EIA, AEO2018, Electricity Market Module, Table 2</v>
      </c>
      <c r="Y94" s="25">
        <v>1.05E-8</v>
      </c>
      <c r="Z94" s="31">
        <f>V94/U94+W94/1000+Y94</f>
        <v>1.05E-8</v>
      </c>
      <c r="AA94" s="4"/>
      <c r="AB94" s="4"/>
      <c r="AC94" s="4"/>
    </row>
    <row r="95" spans="1:29" ht="14.25" customHeight="1" x14ac:dyDescent="0.2">
      <c r="A95" s="14" t="s">
        <v>108</v>
      </c>
      <c r="B95" s="15">
        <v>0</v>
      </c>
      <c r="C95" s="3" t="s">
        <v>99</v>
      </c>
      <c r="D95" s="3" t="s">
        <v>100</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t="s">
        <v>109</v>
      </c>
      <c r="B96" s="15">
        <v>0</v>
      </c>
      <c r="C96" s="3" t="s">
        <v>102</v>
      </c>
      <c r="D96" s="3" t="s">
        <v>103</v>
      </c>
      <c r="E96" s="4"/>
      <c r="F96" s="8"/>
      <c r="G96" s="3"/>
      <c r="H96" s="8"/>
      <c r="I96" s="3"/>
      <c r="J96" s="18"/>
      <c r="K96" s="8"/>
      <c r="L96" s="19"/>
      <c r="M96" s="18"/>
      <c r="N96" s="20"/>
      <c r="O96" s="8"/>
      <c r="P96" s="8"/>
      <c r="Q96" s="21"/>
      <c r="R96" s="4"/>
      <c r="S96" s="8"/>
      <c r="T96" s="4"/>
      <c r="U96" s="22"/>
      <c r="V96" s="22"/>
      <c r="W96" s="23"/>
      <c r="X96" s="24"/>
      <c r="Y96" s="25"/>
      <c r="Z96" s="31"/>
      <c r="AA96" s="4"/>
      <c r="AB96" s="4"/>
      <c r="AC96" s="4"/>
    </row>
    <row r="97" spans="1:29" ht="14.25" customHeight="1" x14ac:dyDescent="0.2">
      <c r="A97" s="14"/>
      <c r="B97" s="15"/>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172</v>
      </c>
      <c r="B98" s="50" t="s">
        <v>208</v>
      </c>
      <c r="C98" s="3"/>
      <c r="D98" s="3"/>
      <c r="E98" s="4"/>
      <c r="F98" s="8"/>
      <c r="G98" s="3"/>
      <c r="H98" s="8"/>
      <c r="I98" s="3"/>
      <c r="J98" s="18"/>
      <c r="K98" s="8"/>
      <c r="L98" s="4"/>
      <c r="M98" s="18"/>
      <c r="N98" s="20"/>
      <c r="O98" s="8"/>
      <c r="P98" s="8"/>
      <c r="Q98" s="21"/>
      <c r="R98" s="4"/>
      <c r="S98" s="8"/>
      <c r="T98" s="4"/>
      <c r="U98" s="22"/>
      <c r="V98" s="22"/>
      <c r="W98" s="23"/>
      <c r="X98" s="24"/>
      <c r="Y98" s="25"/>
      <c r="Z98" s="31"/>
      <c r="AA98" s="4"/>
      <c r="AB98" s="4"/>
      <c r="AC98" s="4"/>
    </row>
    <row r="99" spans="1:29" ht="14.25" customHeight="1" x14ac:dyDescent="0.2">
      <c r="A99" s="14" t="s">
        <v>173</v>
      </c>
      <c r="B99" s="26">
        <f>N99</f>
        <v>2.0662291166428225E-2</v>
      </c>
      <c r="C99" s="3" t="s">
        <v>93</v>
      </c>
      <c r="D99" s="3" t="s">
        <v>106</v>
      </c>
      <c r="E99" s="4"/>
      <c r="F99" s="8">
        <v>1657</v>
      </c>
      <c r="G99" s="9" t="str">
        <f>HYPERLINK("https://www.eia.gov/outlooks/aeo/assumptions/pdf/electricity.pdf","EIA, AEO2018, Electricity Market Module, Table 2")</f>
        <v>EIA, AEO2018, Electricity Market Module, Table 2</v>
      </c>
      <c r="H99" s="8">
        <v>30</v>
      </c>
      <c r="I99" s="9" t="str">
        <f>HYPERLINK("https://www.eia.gov/outlooks/aeo/assumptions/pdf/commercial.pdf","EIA, AEO2018, Commercial Demand Module, Table 3")</f>
        <v>EIA, AEO2018, Commercial Demand Module, Table 3</v>
      </c>
      <c r="J99" s="27">
        <f>DISCOUNT_RATE*(1+DISCOUNT_RATE)^H99/((1+DISCOUNT_RATE)^H99-1)</f>
        <v>8.0586403511111196E-2</v>
      </c>
      <c r="K99" s="8">
        <v>47.47</v>
      </c>
      <c r="L99" s="9" t="str">
        <f>HYPERLINK("https://www.eia.gov/outlooks/aeo/assumptions/pdf/electricity.pdf","EIA, AEO2018, Electricity Market Module, Table 2")</f>
        <v>EIA, AEO2018, Electricity Market Module, Table 2</v>
      </c>
      <c r="M99" s="28">
        <f>F99*J99+K99</f>
        <v>181.00167061791126</v>
      </c>
      <c r="N99" s="29">
        <f>M99/HOURS_PER_YEAR</f>
        <v>2.0662291166428225E-2</v>
      </c>
      <c r="O99" s="8"/>
      <c r="P99" s="8"/>
      <c r="Q99" s="21"/>
      <c r="R99" s="4"/>
      <c r="S99" s="8"/>
      <c r="T99" s="4"/>
      <c r="U99" s="22"/>
      <c r="V99" s="22"/>
      <c r="W99" s="23"/>
      <c r="X99" s="24"/>
      <c r="Y99" s="25"/>
      <c r="Z99" s="31"/>
      <c r="AA99" s="4"/>
      <c r="AB99" s="4"/>
      <c r="AC99" s="4"/>
    </row>
    <row r="100" spans="1:29" ht="14.25" customHeight="1" x14ac:dyDescent="0.2">
      <c r="A100" s="14" t="s">
        <v>174</v>
      </c>
      <c r="B100" s="16">
        <f>Z100</f>
        <v>1.05E-8</v>
      </c>
      <c r="C100" s="3" t="s">
        <v>96</v>
      </c>
      <c r="D100" s="30" t="s">
        <v>97</v>
      </c>
      <c r="E100" s="4"/>
      <c r="F100" s="8"/>
      <c r="G100" s="3"/>
      <c r="H100" s="8"/>
      <c r="I100" s="3"/>
      <c r="J100" s="18"/>
      <c r="K100" s="8"/>
      <c r="L100" s="19"/>
      <c r="M100" s="18"/>
      <c r="N100" s="20"/>
      <c r="O100" s="8">
        <v>0</v>
      </c>
      <c r="P100" s="8">
        <v>0</v>
      </c>
      <c r="Q100" s="21" t="str">
        <f>IF(AND(O100&lt;&gt;0,P100&lt;&gt;0),"bad fuel cost","OK")</f>
        <v>OK</v>
      </c>
      <c r="R100" s="4"/>
      <c r="S100" s="8">
        <v>9271</v>
      </c>
      <c r="T100" s="9" t="str">
        <f>HYPERLINK("https://www.eia.gov/outlooks/aeo/assumptions/pdf/electricity.pdf","EIA, AEO2018, Electricity Market Module, Table 2")</f>
        <v>EIA, AEO2018, Electricity Market Module, Table 2</v>
      </c>
      <c r="U100" s="22">
        <f>1/S100*Btu_per_kWh</f>
        <v>0.36804461580497705</v>
      </c>
      <c r="V100" s="22">
        <f>(O100/MWh_per_MMBtu/1000)/U100 + P100/1000</f>
        <v>0</v>
      </c>
      <c r="W100" s="23">
        <v>0</v>
      </c>
      <c r="X100" s="9" t="str">
        <f>HYPERLINK("https://www.eia.gov/outlooks/aeo/assumptions/pdf/electricity.pdf","EIA, AEO2018, Electricity Market Module, Table 2")</f>
        <v>EIA, AEO2018, Electricity Market Module, Table 2</v>
      </c>
      <c r="Y100" s="25">
        <v>1.05E-8</v>
      </c>
      <c r="Z100" s="31">
        <f>V100/U100+W100/1000+Y100</f>
        <v>1.05E-8</v>
      </c>
      <c r="AA100" s="4"/>
      <c r="AB100" s="4"/>
      <c r="AC100" s="4"/>
    </row>
    <row r="101" spans="1:29" ht="14.25" customHeight="1" x14ac:dyDescent="0.2">
      <c r="A101" s="14" t="s">
        <v>175</v>
      </c>
      <c r="B101" s="15">
        <v>0</v>
      </c>
      <c r="C101" s="3" t="s">
        <v>99</v>
      </c>
      <c r="D101" s="3" t="s">
        <v>100</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t="s">
        <v>176</v>
      </c>
      <c r="B102" s="15">
        <v>0</v>
      </c>
      <c r="C102" s="3" t="s">
        <v>102</v>
      </c>
      <c r="D102" s="3" t="s">
        <v>103</v>
      </c>
      <c r="E102" s="4"/>
      <c r="F102" s="8"/>
      <c r="G102" s="3"/>
      <c r="H102" s="8"/>
      <c r="I102" s="3"/>
      <c r="J102" s="18"/>
      <c r="K102" s="8"/>
      <c r="L102" s="19"/>
      <c r="M102" s="18"/>
      <c r="N102" s="20"/>
      <c r="O102" s="8"/>
      <c r="P102" s="8"/>
      <c r="Q102" s="21"/>
      <c r="R102" s="4"/>
      <c r="S102" s="8"/>
      <c r="T102" s="4"/>
      <c r="U102" s="22"/>
      <c r="V102" s="22"/>
      <c r="W102" s="23"/>
      <c r="X102" s="24"/>
      <c r="Y102" s="25"/>
      <c r="Z102" s="31"/>
      <c r="AA102" s="4"/>
      <c r="AB102" s="4"/>
      <c r="AC102" s="4"/>
    </row>
    <row r="103" spans="1:29" ht="14.25" customHeight="1" x14ac:dyDescent="0.2">
      <c r="A103" s="14"/>
      <c r="B103" s="15"/>
      <c r="C103" s="3"/>
      <c r="D103" s="3"/>
      <c r="E103" s="4"/>
      <c r="F103" s="8"/>
      <c r="G103" s="3"/>
      <c r="H103" s="8"/>
      <c r="I103" s="3"/>
      <c r="J103" s="18"/>
      <c r="K103" s="8"/>
      <c r="L103" s="4"/>
      <c r="M103" s="18"/>
      <c r="N103" s="20"/>
      <c r="O103" s="8"/>
      <c r="P103" s="8"/>
      <c r="Q103" s="21"/>
      <c r="R103" s="4"/>
      <c r="S103" s="8"/>
      <c r="T103" s="4"/>
      <c r="U103" s="22"/>
      <c r="V103" s="22"/>
      <c r="W103" s="23"/>
      <c r="X103" s="24"/>
      <c r="Y103" s="25"/>
      <c r="Z103" s="31"/>
      <c r="AA103" s="4"/>
      <c r="AB103" s="4"/>
      <c r="AC103" s="4"/>
    </row>
    <row r="104" spans="1:29" ht="14.25" customHeight="1" x14ac:dyDescent="0.2">
      <c r="A104" s="14" t="s">
        <v>110</v>
      </c>
      <c r="B104" s="26">
        <f>N104</f>
        <v>1.1849754917794188E-2</v>
      </c>
      <c r="C104" s="3" t="s">
        <v>93</v>
      </c>
      <c r="D104" s="3"/>
      <c r="E104" s="4"/>
      <c r="F104" s="8">
        <v>982</v>
      </c>
      <c r="G104" s="9" t="str">
        <f>HYPERLINK("https://www.eia.gov/outlooks/aeo/assumptions/pdf/electricity.pdf","EIA, AEO2018, Electricity Market Module, Table 2")</f>
        <v>EIA, AEO2018, Electricity Market Module, Table 2</v>
      </c>
      <c r="H104" s="8">
        <v>20</v>
      </c>
      <c r="I104" s="9" t="str">
        <f>HYPERLINK("https://www.eia.gov/outlooks/aeo/assumptions/pdf/commercial.pdf","EIA, AEO2018, Commercial Demand Module, Table 3")</f>
        <v>EIA, AEO2018, Commercial Demand Module, Table 3</v>
      </c>
      <c r="J104" s="27">
        <f>DISCOUNT_RATE*(1+DISCOUNT_RATE)^H104/((1+DISCOUNT_RATE)^H104-1)</f>
        <v>9.4392925743255696E-2</v>
      </c>
      <c r="K104" s="8">
        <v>11.11</v>
      </c>
      <c r="L104" s="9" t="str">
        <f>HYPERLINK("https://www.eia.gov/outlooks/aeo/assumptions/pdf/electricity.pdf","EIA, AEO2018, Electricity Market Module, Table 2")</f>
        <v>EIA, AEO2018, Electricity Market Module, Table 2</v>
      </c>
      <c r="M104" s="28">
        <f>F104*J104+K104</f>
        <v>103.80385307987709</v>
      </c>
      <c r="N104" s="29">
        <f>M104/HOURS_PER_YEAR</f>
        <v>1.1849754917794188E-2</v>
      </c>
      <c r="O104" s="8"/>
      <c r="P104" s="8"/>
      <c r="Q104" s="21"/>
      <c r="R104" s="4"/>
      <c r="S104" s="8"/>
      <c r="T104" s="4"/>
      <c r="U104" s="22"/>
      <c r="V104" s="22"/>
      <c r="W104" s="23"/>
      <c r="X104" s="24"/>
      <c r="Y104" s="25"/>
      <c r="Z104" s="31"/>
      <c r="AA104" s="4"/>
      <c r="AB104" s="4"/>
      <c r="AC104" s="4"/>
    </row>
    <row r="105" spans="1:29" ht="14.25" customHeight="1" x14ac:dyDescent="0.2">
      <c r="A105" s="14" t="s">
        <v>111</v>
      </c>
      <c r="B105" s="16">
        <f>Z105</f>
        <v>3.8992074681058302E-2</v>
      </c>
      <c r="C105" s="3" t="s">
        <v>96</v>
      </c>
      <c r="D105" s="3"/>
      <c r="E105" s="4"/>
      <c r="F105" s="8"/>
      <c r="G105" s="3"/>
      <c r="H105" s="8"/>
      <c r="I105" s="3"/>
      <c r="J105" s="18"/>
      <c r="K105" s="8"/>
      <c r="L105" s="32"/>
      <c r="M105" s="18"/>
      <c r="N105" s="20"/>
      <c r="O105" s="8">
        <v>3</v>
      </c>
      <c r="P105" s="8">
        <v>0</v>
      </c>
      <c r="Q105" s="21" t="str">
        <f>IF(AND(O105&lt;&gt;0,P105&lt;&gt;0),"bad fuel cost","OK")</f>
        <v>OK</v>
      </c>
      <c r="R105" s="33" t="str">
        <f>HYPERLINK("https://www.eia.gov/electricity/annual/html/epa_07_20.html","EIA, EPA2016, Table 7.20")</f>
        <v>EIA, EPA2016, Table 7.20</v>
      </c>
      <c r="S105" s="8">
        <v>6350</v>
      </c>
      <c r="T105" s="9" t="str">
        <f>HYPERLINK("https://www.eia.gov/outlooks/aeo/assumptions/pdf/electricity.pdf","EIA, AEO2018, Electricity Market Module, Table 2")</f>
        <v>EIA, AEO2018, Electricity Market Module, Table 2</v>
      </c>
      <c r="U105" s="22">
        <f>1/S105*Btu_per_kWh</f>
        <v>0.53734513907526638</v>
      </c>
      <c r="V105" s="22">
        <f>(O105/MWh_per_MMBtu/1000)/U105 + P105/1000</f>
        <v>1.9050000000000001E-2</v>
      </c>
      <c r="W105" s="23">
        <v>3.54</v>
      </c>
      <c r="X105" s="9" t="str">
        <f>HYPERLINK("https://www.eia.gov/outlooks/aeo/assumptions/pdf/electricity.pdf","EIA, AEO2018, Electricity Market Module, Table 2")</f>
        <v>EIA, AEO2018, Electricity Market Module, Table 2</v>
      </c>
      <c r="Y105" s="25">
        <v>0</v>
      </c>
      <c r="Z105" s="31">
        <f>V105/U105+W105/1000+Y105</f>
        <v>3.8992074681058302E-2</v>
      </c>
      <c r="AA105" s="4"/>
      <c r="AB105" s="4"/>
      <c r="AC105" s="4"/>
    </row>
    <row r="106" spans="1:29" ht="14.25" customHeight="1" x14ac:dyDescent="0.2">
      <c r="A106" s="14" t="s">
        <v>112</v>
      </c>
      <c r="B106" s="15">
        <v>0</v>
      </c>
      <c r="C106" s="3" t="s">
        <v>99</v>
      </c>
      <c r="D106" s="3" t="s">
        <v>100</v>
      </c>
      <c r="E106" s="4"/>
      <c r="F106" s="8"/>
      <c r="G106" s="3"/>
      <c r="H106" s="8"/>
      <c r="I106" s="3"/>
      <c r="J106" s="18"/>
      <c r="K106" s="8"/>
      <c r="L106" s="19"/>
      <c r="M106" s="18"/>
      <c r="N106" s="20"/>
      <c r="O106" s="8"/>
      <c r="P106" s="8"/>
      <c r="Q106" s="21"/>
      <c r="R106" s="4"/>
      <c r="S106" s="8"/>
      <c r="T106" s="4"/>
      <c r="U106" s="22"/>
      <c r="V106" s="22"/>
      <c r="W106" s="23"/>
      <c r="X106" s="24"/>
      <c r="Y106" s="25"/>
      <c r="Z106" s="31"/>
      <c r="AA106" s="4"/>
      <c r="AB106" s="4"/>
      <c r="AC106" s="4"/>
    </row>
    <row r="107" spans="1:29" ht="14.25" customHeight="1" x14ac:dyDescent="0.2">
      <c r="A107" s="14" t="s">
        <v>113</v>
      </c>
      <c r="B107" s="34">
        <v>0.46100000000000002</v>
      </c>
      <c r="C107" s="3" t="s">
        <v>102</v>
      </c>
      <c r="D107" s="3" t="s">
        <v>114</v>
      </c>
      <c r="E107" s="4"/>
      <c r="F107" s="8"/>
      <c r="G107" s="3"/>
      <c r="H107" s="8"/>
      <c r="I107" s="3"/>
      <c r="J107" s="18"/>
      <c r="K107" s="8"/>
      <c r="L107" s="35"/>
      <c r="M107" s="18"/>
      <c r="N107" s="20"/>
      <c r="O107" s="8"/>
      <c r="P107" s="8"/>
      <c r="Q107" s="21"/>
      <c r="R107" s="4"/>
      <c r="S107" s="8"/>
      <c r="T107" s="4"/>
      <c r="U107" s="22"/>
      <c r="V107" s="22"/>
      <c r="W107" s="23"/>
      <c r="X107" s="24"/>
      <c r="Y107" s="25"/>
      <c r="Z107" s="31"/>
      <c r="AA107" s="4"/>
      <c r="AB107" s="4"/>
      <c r="AC107" s="4"/>
    </row>
    <row r="108" spans="1:29" ht="14.25" customHeight="1" x14ac:dyDescent="0.2">
      <c r="A108" s="14"/>
      <c r="B108" s="15"/>
      <c r="C108" s="3"/>
      <c r="D108" s="3"/>
      <c r="E108" s="4"/>
      <c r="F108" s="8"/>
      <c r="G108" s="3"/>
      <c r="H108" s="8"/>
      <c r="I108" s="3"/>
      <c r="J108" s="18"/>
      <c r="K108" s="8"/>
      <c r="L108" s="4"/>
      <c r="M108" s="18"/>
      <c r="N108" s="20"/>
      <c r="O108" s="8"/>
      <c r="P108" s="8"/>
      <c r="Q108" s="21"/>
      <c r="R108" s="4"/>
      <c r="S108" s="8"/>
      <c r="T108" s="4"/>
      <c r="U108" s="22"/>
      <c r="V108" s="22"/>
      <c r="W108" s="23"/>
      <c r="X108" s="24"/>
      <c r="Y108" s="25"/>
      <c r="Z108" s="31"/>
      <c r="AA108" s="4"/>
      <c r="AB108" s="4"/>
      <c r="AC108" s="4"/>
    </row>
    <row r="109" spans="1:29" ht="14.25" customHeight="1" x14ac:dyDescent="0.2">
      <c r="A109" s="14" t="s">
        <v>115</v>
      </c>
      <c r="B109" s="26">
        <f>N109</f>
        <v>2.7289339439678213E-2</v>
      </c>
      <c r="C109" s="3" t="s">
        <v>93</v>
      </c>
      <c r="D109" s="3"/>
      <c r="E109" s="4"/>
      <c r="F109" s="8">
        <v>2175</v>
      </c>
      <c r="G109" s="9" t="str">
        <f>HYPERLINK("https://www.eia.gov/outlooks/aeo/assumptions/pdf/electricity.pdf","EIA, AEO2018, Electricity Market Module, Table 2")</f>
        <v>EIA, AEO2018, Electricity Market Module, Table 2</v>
      </c>
      <c r="H109" s="8">
        <v>20</v>
      </c>
      <c r="I109" s="9" t="str">
        <f>HYPERLINK("https://www.eia.gov/outlooks/aeo/assumptions/pdf/commercial.pdf","EIA, AEO2018, Commercial Demand Module, Table 3")</f>
        <v>EIA, AEO2018, Commercial Demand Module, Table 3</v>
      </c>
      <c r="J109" s="27">
        <f>DISCOUNT_RATE*(1+DISCOUNT_RATE)^H109/((1+DISCOUNT_RATE)^H109-1)</f>
        <v>9.4392925743255696E-2</v>
      </c>
      <c r="K109" s="8">
        <v>33.75</v>
      </c>
      <c r="L109" s="9" t="str">
        <f>HYPERLINK("https://www.eia.gov/outlooks/aeo/assumptions/pdf/electricity.pdf","EIA, AEO2018, Electricity Market Module, Table 2")</f>
        <v>EIA, AEO2018, Electricity Market Module, Table 2</v>
      </c>
      <c r="M109" s="28">
        <f>F109*J109+K109</f>
        <v>239.05461349158114</v>
      </c>
      <c r="N109" s="29">
        <f>M109/HOURS_PER_YEAR</f>
        <v>2.7289339439678213E-2</v>
      </c>
      <c r="O109" s="8"/>
      <c r="P109" s="8"/>
      <c r="Q109" s="21"/>
      <c r="R109" s="4"/>
      <c r="S109" s="8"/>
      <c r="T109" s="4"/>
      <c r="U109" s="22"/>
      <c r="V109" s="22"/>
      <c r="W109" s="23"/>
      <c r="X109" s="24"/>
      <c r="Y109" s="25"/>
      <c r="Z109" s="31"/>
      <c r="AA109" s="4"/>
      <c r="AB109" s="4"/>
      <c r="AC109" s="4"/>
    </row>
    <row r="110" spans="1:29" ht="14.25" customHeight="1" x14ac:dyDescent="0.2">
      <c r="A110" s="14" t="s">
        <v>116</v>
      </c>
      <c r="B110" s="16">
        <f>Z110</f>
        <v>5.6563468785905562E-2</v>
      </c>
      <c r="C110" s="3" t="s">
        <v>96</v>
      </c>
      <c r="D110" s="3"/>
      <c r="E110" s="4"/>
      <c r="F110" s="8"/>
      <c r="G110" s="3"/>
      <c r="H110" s="8"/>
      <c r="I110" s="3"/>
      <c r="J110" s="18"/>
      <c r="K110" s="8"/>
      <c r="L110" s="32"/>
      <c r="M110" s="18"/>
      <c r="N110" s="20"/>
      <c r="O110" s="8">
        <v>3</v>
      </c>
      <c r="P110" s="8">
        <v>0</v>
      </c>
      <c r="Q110" s="21" t="str">
        <f>IF(AND(O110&lt;&gt;0,P110&lt;&gt;0),"bad fuel cost","OK")</f>
        <v>OK</v>
      </c>
      <c r="R110" s="33" t="str">
        <f>HYPERLINK("https://www.eia.gov/electricity/annual/html/epa_07_20.html","EIA, EPA2016, Table 7.20")</f>
        <v>EIA, EPA2016, Table 7.20</v>
      </c>
      <c r="S110" s="8">
        <v>7493</v>
      </c>
      <c r="T110" s="9" t="str">
        <f>HYPERLINK("https://www.eia.gov/outlooks/aeo/assumptions/pdf/electricity.pdf","EIA, AEO2018, Electricity Market Module, Table 2")</f>
        <v>EIA, AEO2018, Electricity Market Module, Table 2</v>
      </c>
      <c r="U110" s="22">
        <f>1/S110*Btu_per_kWh</f>
        <v>0.4553772365044631</v>
      </c>
      <c r="V110" s="22">
        <f>(O110/MWh_per_MMBtu/1000)/U110 + P110/1000</f>
        <v>2.2478999999999999E-2</v>
      </c>
      <c r="W110" s="23">
        <v>7.2</v>
      </c>
      <c r="X110" s="9" t="str">
        <f>HYPERLINK("https://www.eia.gov/outlooks/aeo/assumptions/pdf/electricity.pdf","EIA, AEO2018, Electricity Market Module, Table 2")</f>
        <v>EIA, AEO2018, Electricity Market Module, Table 2</v>
      </c>
      <c r="Y110" s="25">
        <v>0</v>
      </c>
      <c r="Z110" s="31">
        <f>V110/U110+W110/1000+Y110</f>
        <v>5.6563468785905562E-2</v>
      </c>
      <c r="AA110" s="4"/>
      <c r="AB110" s="4"/>
      <c r="AC110" s="4"/>
    </row>
    <row r="111" spans="1:29" ht="14.25" customHeight="1" x14ac:dyDescent="0.2">
      <c r="A111" s="14" t="s">
        <v>117</v>
      </c>
      <c r="B111" s="15">
        <v>0</v>
      </c>
      <c r="C111" s="3" t="s">
        <v>99</v>
      </c>
      <c r="D111" s="3" t="s">
        <v>100</v>
      </c>
      <c r="E111" s="4"/>
      <c r="F111" s="8"/>
      <c r="G111" s="3"/>
      <c r="H111" s="8"/>
      <c r="I111" s="3"/>
      <c r="J111" s="18"/>
      <c r="K111" s="8"/>
      <c r="L111" s="19"/>
      <c r="M111" s="18"/>
      <c r="N111" s="20"/>
      <c r="O111" s="8"/>
      <c r="P111" s="8"/>
      <c r="Q111" s="21"/>
      <c r="R111" s="4"/>
      <c r="S111" s="8"/>
      <c r="T111" s="4"/>
      <c r="U111" s="22"/>
      <c r="V111" s="22"/>
      <c r="W111" s="23"/>
      <c r="X111" s="24"/>
      <c r="Y111" s="25"/>
      <c r="Z111" s="31"/>
      <c r="AA111" s="4"/>
      <c r="AB111" s="4"/>
      <c r="AC111" s="4"/>
    </row>
    <row r="112" spans="1:29" ht="14.25" customHeight="1" x14ac:dyDescent="0.2">
      <c r="A112" s="14" t="s">
        <v>118</v>
      </c>
      <c r="B112" s="34">
        <v>0.16700000000000001</v>
      </c>
      <c r="C112" s="3" t="s">
        <v>102</v>
      </c>
      <c r="D112" s="3" t="s">
        <v>119</v>
      </c>
      <c r="E112" s="4"/>
      <c r="F112" s="8"/>
      <c r="G112" s="3"/>
      <c r="H112" s="8"/>
      <c r="I112" s="3"/>
      <c r="J112" s="18"/>
      <c r="K112" s="8"/>
      <c r="L112" s="35"/>
      <c r="M112" s="18"/>
      <c r="N112" s="20"/>
      <c r="O112" s="8"/>
      <c r="P112" s="8"/>
      <c r="Q112" s="21"/>
      <c r="R112" s="4"/>
      <c r="S112" s="8"/>
      <c r="T112" s="4"/>
      <c r="U112" s="22"/>
      <c r="V112" s="22"/>
      <c r="W112" s="23"/>
      <c r="X112" s="24"/>
      <c r="Y112" s="25"/>
      <c r="Z112" s="31"/>
      <c r="AA112" s="4"/>
      <c r="AB112" s="4"/>
      <c r="AC112" s="4"/>
    </row>
    <row r="113" spans="1:29" ht="14.25" customHeight="1" x14ac:dyDescent="0.2">
      <c r="A113" s="14"/>
      <c r="B113" s="15"/>
      <c r="C113" s="3"/>
      <c r="D113" s="3"/>
      <c r="E113" s="4"/>
      <c r="F113" s="8"/>
      <c r="G113" s="3"/>
      <c r="H113" s="8"/>
      <c r="I113" s="3"/>
      <c r="J113" s="18"/>
      <c r="K113" s="8"/>
      <c r="L113" s="4"/>
      <c r="M113" s="18"/>
      <c r="N113" s="20"/>
      <c r="O113" s="8"/>
      <c r="P113" s="8"/>
      <c r="Q113" s="21"/>
      <c r="R113" s="4"/>
      <c r="S113" s="8"/>
      <c r="T113" s="4"/>
      <c r="U113" s="22"/>
      <c r="V113" s="22"/>
      <c r="W113" s="23"/>
      <c r="X113" s="24"/>
      <c r="Y113" s="25"/>
      <c r="Z113" s="31"/>
      <c r="AA113" s="4"/>
      <c r="AB113" s="4"/>
      <c r="AC113" s="4"/>
    </row>
    <row r="114" spans="1:29" ht="14.25" customHeight="1" x14ac:dyDescent="0.2">
      <c r="A114" s="14" t="s">
        <v>120</v>
      </c>
      <c r="B114" s="26">
        <f>N114</f>
        <v>6.4795381249142345E-2</v>
      </c>
      <c r="C114" s="3" t="s">
        <v>93</v>
      </c>
      <c r="D114" s="30" t="s">
        <v>121</v>
      </c>
      <c r="E114" s="4"/>
      <c r="F114" s="8">
        <v>5946</v>
      </c>
      <c r="G114" s="9" t="str">
        <f>HYPERLINK("https://www.eia.gov/outlooks/aeo/assumptions/pdf/electricity.pdf","EIA, AEO2018, Electricity Market Module, Table 2")</f>
        <v>EIA, AEO2018, Electricity Market Module, Table 2</v>
      </c>
      <c r="H114" s="8">
        <v>40</v>
      </c>
      <c r="I114" s="9" t="str">
        <f>HYPERLINK("https://www.eia.gov/todayinenergy/detail.php?id=19091","EIA, 2014; NRC, 2018")</f>
        <v>EIA, 2014; NRC, 2018</v>
      </c>
      <c r="J114" s="27">
        <f>DISCOUNT_RATE*(1+DISCOUNT_RATE)^H114/((1+DISCOUNT_RATE)^H114-1)</f>
        <v>7.5009138873610326E-2</v>
      </c>
      <c r="K114" s="8">
        <v>101.28</v>
      </c>
      <c r="L114" s="9" t="str">
        <f>HYPERLINK("https://www.eia.gov/outlooks/aeo/assumptions/pdf/electricity.pdf","EIA, AEO2018, Electricity Market Module, Table 2")</f>
        <v>EIA, AEO2018, Electricity Market Module, Table 2</v>
      </c>
      <c r="M114" s="28">
        <f>F114*J114+K114</f>
        <v>547.28433974248696</v>
      </c>
      <c r="N114" s="36">
        <f>M114/HOURS_PER_YEAR+W115/1000</f>
        <v>6.4795381249142345E-2</v>
      </c>
      <c r="O114" s="8"/>
      <c r="P114" s="8"/>
      <c r="Q114" s="21"/>
      <c r="R114" s="4"/>
      <c r="S114" s="8"/>
      <c r="T114" s="4"/>
      <c r="U114" s="22"/>
      <c r="V114" s="22"/>
      <c r="W114" s="23"/>
      <c r="X114" s="24"/>
      <c r="Y114" s="25"/>
      <c r="Z114" s="37"/>
      <c r="AA114" s="3" t="s">
        <v>122</v>
      </c>
      <c r="AB114" s="4"/>
      <c r="AC114" s="4"/>
    </row>
    <row r="115" spans="1:29" ht="14.25" customHeight="1" x14ac:dyDescent="0.2">
      <c r="A115" s="14" t="s">
        <v>123</v>
      </c>
      <c r="B115" s="16">
        <f>Z115</f>
        <v>2.2838149285310763E-2</v>
      </c>
      <c r="C115" s="3" t="s">
        <v>96</v>
      </c>
      <c r="D115" s="30" t="s">
        <v>121</v>
      </c>
      <c r="E115" s="4"/>
      <c r="F115" s="8"/>
      <c r="G115" s="3"/>
      <c r="H115" s="8"/>
      <c r="I115" s="3"/>
      <c r="J115" s="18"/>
      <c r="K115" s="8"/>
      <c r="L115" s="32"/>
      <c r="M115" s="18"/>
      <c r="N115" s="20"/>
      <c r="O115" s="8">
        <v>0</v>
      </c>
      <c r="P115" s="8">
        <v>7.45</v>
      </c>
      <c r="Q115" s="21" t="str">
        <f>IF(AND(O115&lt;&gt;0,P115&lt;&gt;0),"bad fuel cost","OK")</f>
        <v>OK</v>
      </c>
      <c r="R115" s="9" t="str">
        <f>HYPERLINK("https://www.eia.gov/electricity/annual/html/epa_08_04.html","EIA, EPA2016, Table 8.4")</f>
        <v>EIA, EPA2016, Table 8.4</v>
      </c>
      <c r="S115" s="8">
        <v>10460</v>
      </c>
      <c r="T115" s="9" t="str">
        <f>HYPERLINK("https://www.eia.gov/outlooks/aeo/assumptions/pdf/electricity.pdf","EIA, AEO2018, Electricity Market Module, Table 2")</f>
        <v>EIA, AEO2018, Electricity Market Module, Table 2</v>
      </c>
      <c r="U115" s="22">
        <f>1/S115*Btu_per_kWh</f>
        <v>0.32620856913269042</v>
      </c>
      <c r="V115" s="22">
        <f>(O115/MWh_per_MMBtu/1000)/U115 + P115/1000</f>
        <v>7.45E-3</v>
      </c>
      <c r="W115" s="23">
        <v>2.3199999999999998</v>
      </c>
      <c r="X115" s="9" t="str">
        <f>HYPERLINK("https://www.eia.gov/outlooks/aeo/assumptions/pdf/electricity.pdf","EIA, AEO2018, Electricity Market Module, Table 2")</f>
        <v>EIA, AEO2018, Electricity Market Module, Table 2</v>
      </c>
      <c r="Y115" s="25">
        <v>0</v>
      </c>
      <c r="Z115" s="37">
        <f>V115/U115+Y115</f>
        <v>2.2838149285310763E-2</v>
      </c>
      <c r="AA115" s="3" t="s">
        <v>124</v>
      </c>
      <c r="AB115" s="4"/>
      <c r="AC115" s="4"/>
    </row>
    <row r="116" spans="1:29" ht="14.25" customHeight="1" x14ac:dyDescent="0.2">
      <c r="A116" s="14" t="s">
        <v>125</v>
      </c>
      <c r="B116" s="15">
        <v>0</v>
      </c>
      <c r="C116" s="3" t="s">
        <v>99</v>
      </c>
      <c r="D116" s="3" t="s">
        <v>100</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t="s">
        <v>126</v>
      </c>
      <c r="B117" s="15">
        <v>0</v>
      </c>
      <c r="C117" s="3" t="s">
        <v>102</v>
      </c>
      <c r="D117" s="3" t="s">
        <v>103</v>
      </c>
      <c r="E117" s="4"/>
      <c r="F117" s="8"/>
      <c r="G117" s="3"/>
      <c r="H117" s="8"/>
      <c r="I117" s="3"/>
      <c r="J117" s="18"/>
      <c r="K117" s="8"/>
      <c r="L117" s="19"/>
      <c r="M117" s="18"/>
      <c r="N117" s="20"/>
      <c r="O117" s="8"/>
      <c r="P117" s="8"/>
      <c r="Q117" s="21"/>
      <c r="R117" s="4"/>
      <c r="S117" s="8"/>
      <c r="T117" s="4"/>
      <c r="U117" s="22"/>
      <c r="V117" s="22"/>
      <c r="W117" s="23"/>
      <c r="X117" s="24"/>
      <c r="Y117" s="25"/>
      <c r="Z117" s="20"/>
      <c r="AA117" s="4"/>
      <c r="AB117" s="4"/>
      <c r="AC117" s="4"/>
    </row>
    <row r="118" spans="1:29" ht="14.25" customHeight="1" x14ac:dyDescent="0.2">
      <c r="A118" s="14"/>
      <c r="B118" s="15"/>
      <c r="C118" s="3"/>
      <c r="D118" s="3"/>
      <c r="E118" s="4"/>
      <c r="F118" s="8"/>
      <c r="G118" s="3"/>
      <c r="H118" s="8"/>
      <c r="I118" s="3"/>
      <c r="J118" s="18"/>
      <c r="K118" s="8"/>
      <c r="L118" s="4"/>
      <c r="M118" s="18"/>
      <c r="N118" s="20"/>
      <c r="O118" s="8"/>
      <c r="P118" s="8"/>
      <c r="Q118" s="21"/>
      <c r="R118" s="4"/>
      <c r="S118" s="8"/>
      <c r="T118" s="4"/>
      <c r="U118" s="22"/>
      <c r="V118" s="22"/>
      <c r="W118" s="23"/>
      <c r="X118" s="24"/>
      <c r="Y118" s="25"/>
      <c r="Z118" s="20"/>
      <c r="AA118" s="4"/>
      <c r="AB118" s="4"/>
      <c r="AC118" s="4"/>
    </row>
    <row r="119" spans="1:29" ht="14.25" customHeight="1" x14ac:dyDescent="0.2">
      <c r="A119" s="14" t="s">
        <v>127</v>
      </c>
      <c r="B119" s="26">
        <f>N119</f>
        <v>4.2420694305755928E-3</v>
      </c>
      <c r="C119" s="3" t="s">
        <v>128</v>
      </c>
      <c r="D119" s="3" t="s">
        <v>129</v>
      </c>
      <c r="E119" s="4"/>
      <c r="F119" s="8">
        <v>261</v>
      </c>
      <c r="G119" s="9" t="str">
        <f>HYPERLINK("http://science.sciencemag.org/content/360/6396/eaas9793/tab-pdf","Davis et al., 2018, Science")</f>
        <v>Davis et al., 2018, Science</v>
      </c>
      <c r="H119" s="8">
        <v>10</v>
      </c>
      <c r="I119" s="9" t="str">
        <f>HYPERLINK("https://www.lazard.com/media/450338/lazard-levelized-cost-of-storage-version-30.pdf","LAZARD, 2017, Appendix A")</f>
        <v>LAZARD, 2017, Appendix A</v>
      </c>
      <c r="J119" s="27">
        <f>DISCOUNT_RATE*(1+DISCOUNT_RATE)^H119/((1+DISCOUNT_RATE)^H119-1)</f>
        <v>0.14237750272736471</v>
      </c>
      <c r="K119" s="8">
        <v>0</v>
      </c>
      <c r="L119" s="32"/>
      <c r="M119" s="28">
        <f>F119*J119+K119</f>
        <v>37.160528211842191</v>
      </c>
      <c r="N119" s="29">
        <f>M119/HOURS_PER_YEAR</f>
        <v>4.2420694305755928E-3</v>
      </c>
      <c r="O119" s="8"/>
      <c r="P119" s="8"/>
      <c r="Q119" s="21"/>
      <c r="R119" s="4"/>
      <c r="S119" s="8"/>
      <c r="T119" s="4"/>
      <c r="U119" s="22"/>
      <c r="V119" s="22"/>
      <c r="W119" s="23"/>
      <c r="X119" s="24"/>
      <c r="Y119" s="25"/>
      <c r="Z119" s="20"/>
      <c r="AA119" s="4"/>
      <c r="AB119" s="4"/>
      <c r="AC119" s="4"/>
    </row>
    <row r="120" spans="1:29" ht="14.25" customHeight="1" x14ac:dyDescent="0.2">
      <c r="A120" s="14" t="s">
        <v>130</v>
      </c>
      <c r="B120" s="16">
        <f t="shared" ref="B120:B121" si="0">Z120</f>
        <v>0</v>
      </c>
      <c r="C120" s="3" t="s">
        <v>93</v>
      </c>
      <c r="D120" s="3"/>
      <c r="E120" s="4"/>
      <c r="F120" s="8"/>
      <c r="G120" s="3"/>
      <c r="H120" s="8"/>
      <c r="I120" s="3"/>
      <c r="J120" s="18"/>
      <c r="K120" s="8"/>
      <c r="L120" s="4"/>
      <c r="M120" s="18"/>
      <c r="N120" s="20"/>
      <c r="O120" s="8">
        <v>0</v>
      </c>
      <c r="P120" s="8">
        <v>0</v>
      </c>
      <c r="Q120" s="21" t="str">
        <f t="shared" ref="Q120:Q121" si="1">IF(AND(O120&lt;&gt;0,P120&lt;&gt;0),"bad fuel cost","OK")</f>
        <v>OK</v>
      </c>
      <c r="R120" s="4"/>
      <c r="S120" s="8">
        <v>0</v>
      </c>
      <c r="T120" s="4"/>
      <c r="U120" s="22">
        <v>1</v>
      </c>
      <c r="V120" s="22"/>
      <c r="W120" s="23">
        <v>0</v>
      </c>
      <c r="X120" s="24"/>
      <c r="Y120" s="25"/>
      <c r="Z120" s="31">
        <f t="shared" ref="Z120:Z121" si="2">V120/U120+W120/1000+Y120</f>
        <v>0</v>
      </c>
      <c r="AA120" s="4"/>
      <c r="AB120" s="4"/>
      <c r="AC120" s="38"/>
    </row>
    <row r="121" spans="1:29" ht="14.25" customHeight="1" x14ac:dyDescent="0.2">
      <c r="A121" s="14" t="s">
        <v>131</v>
      </c>
      <c r="B121" s="16">
        <f t="shared" si="0"/>
        <v>0</v>
      </c>
      <c r="C121" s="3" t="s">
        <v>93</v>
      </c>
      <c r="D121" s="3"/>
      <c r="E121" s="4"/>
      <c r="F121" s="8"/>
      <c r="G121" s="3"/>
      <c r="H121" s="8"/>
      <c r="I121" s="3"/>
      <c r="J121" s="18"/>
      <c r="K121" s="8"/>
      <c r="L121" s="4"/>
      <c r="M121" s="18"/>
      <c r="N121" s="20"/>
      <c r="O121" s="8">
        <v>0</v>
      </c>
      <c r="P121" s="8">
        <v>0</v>
      </c>
      <c r="Q121" s="21" t="str">
        <f t="shared" si="1"/>
        <v>OK</v>
      </c>
      <c r="R121" s="4"/>
      <c r="S121" s="8">
        <v>0</v>
      </c>
      <c r="T121" s="4"/>
      <c r="U121" s="22">
        <v>1</v>
      </c>
      <c r="V121" s="22"/>
      <c r="W121" s="23">
        <v>0</v>
      </c>
      <c r="X121" s="24"/>
      <c r="Y121" s="25"/>
      <c r="Z121" s="31">
        <f t="shared" si="2"/>
        <v>0</v>
      </c>
      <c r="AA121" s="4"/>
      <c r="AB121" s="4"/>
      <c r="AC121" s="4"/>
    </row>
    <row r="122" spans="1:29" ht="14.25" customHeight="1" x14ac:dyDescent="0.2">
      <c r="A122" s="52" t="s">
        <v>162</v>
      </c>
      <c r="B122" s="15">
        <v>0.9</v>
      </c>
      <c r="C122" s="3"/>
      <c r="D122" s="3" t="s">
        <v>132</v>
      </c>
      <c r="E122" s="4"/>
      <c r="F122" s="8"/>
      <c r="G122" s="3"/>
      <c r="H122" s="8"/>
      <c r="I122" s="3"/>
      <c r="J122" s="18"/>
      <c r="K122" s="8"/>
      <c r="L122" s="4"/>
      <c r="M122" s="18"/>
      <c r="N122" s="20"/>
      <c r="O122" s="8"/>
      <c r="P122" s="8"/>
      <c r="Q122" s="21"/>
      <c r="R122" s="4"/>
      <c r="S122" s="8"/>
      <c r="T122" s="4"/>
      <c r="U122" s="22"/>
      <c r="V122" s="22"/>
      <c r="W122" s="23"/>
      <c r="X122" s="24"/>
      <c r="Y122" s="25"/>
      <c r="Z122" s="20"/>
      <c r="AA122" s="4"/>
      <c r="AB122" s="4"/>
      <c r="AC122" s="4"/>
    </row>
    <row r="123" spans="1:29" ht="14.25" customHeight="1" x14ac:dyDescent="0.2">
      <c r="A123" s="52" t="s">
        <v>163</v>
      </c>
      <c r="B123" s="26">
        <f>1.01^(1/HOURS_PER_YEAR)-1</f>
        <v>1.1358831626395727E-6</v>
      </c>
      <c r="C123" s="3" t="s">
        <v>133</v>
      </c>
      <c r="D123" s="3" t="s">
        <v>134</v>
      </c>
      <c r="E123" s="9" t="str">
        <f>HYPERLINK("https://batteryuniversity.com/learn/article/elevating_self_discharge","Buchmann, 2018, Battery University")</f>
        <v>Buchmann, 2018, Battery University</v>
      </c>
      <c r="F123" s="8"/>
      <c r="G123" s="3"/>
      <c r="H123" s="8"/>
      <c r="I123" s="3"/>
      <c r="J123" s="18"/>
      <c r="K123" s="8"/>
      <c r="L123" s="32"/>
      <c r="M123" s="18"/>
      <c r="N123" s="20"/>
      <c r="O123" s="8"/>
      <c r="P123" s="8"/>
      <c r="Q123" s="21"/>
      <c r="R123" s="4"/>
      <c r="S123" s="8"/>
      <c r="T123" s="4"/>
      <c r="U123" s="22"/>
      <c r="V123" s="22"/>
      <c r="W123" s="23"/>
      <c r="X123" s="24"/>
      <c r="Y123" s="25"/>
      <c r="Z123" s="20"/>
      <c r="AA123" s="4"/>
      <c r="AB123" s="4"/>
      <c r="AC123" s="4"/>
    </row>
    <row r="124" spans="1:29" ht="14.25" customHeight="1" x14ac:dyDescent="0.2">
      <c r="A124" s="52" t="s">
        <v>164</v>
      </c>
      <c r="B124" s="34">
        <f>1568/261</f>
        <v>6.0076628352490422</v>
      </c>
      <c r="C124" s="3" t="s">
        <v>135</v>
      </c>
      <c r="D124" s="3" t="s">
        <v>136</v>
      </c>
      <c r="E124" s="4"/>
      <c r="F124" s="8"/>
      <c r="G124" s="9"/>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c r="B125" s="15"/>
      <c r="C125" s="3"/>
      <c r="D125" s="3"/>
      <c r="E125" s="4"/>
      <c r="F125" s="8"/>
      <c r="G125" s="3"/>
      <c r="H125" s="8"/>
      <c r="I125" s="3"/>
      <c r="J125" s="18"/>
      <c r="K125" s="8"/>
      <c r="L125" s="4"/>
      <c r="M125" s="18"/>
      <c r="N125" s="20"/>
      <c r="O125" s="8"/>
      <c r="P125" s="8"/>
      <c r="Q125" s="21"/>
      <c r="R125" s="4"/>
      <c r="S125" s="8"/>
      <c r="T125" s="4"/>
      <c r="U125" s="22"/>
      <c r="V125" s="22"/>
      <c r="W125" s="23"/>
      <c r="X125" s="24"/>
      <c r="Y125" s="25"/>
      <c r="Z125" s="20"/>
      <c r="AA125" s="4"/>
      <c r="AB125" s="4"/>
      <c r="AC125" s="4"/>
    </row>
    <row r="126" spans="1:29" ht="14.25" customHeight="1" x14ac:dyDescent="0.2">
      <c r="A126" s="14" t="s">
        <v>178</v>
      </c>
      <c r="B126" s="26">
        <f>N126</f>
        <v>4.2420694305755928E-3</v>
      </c>
      <c r="C126" s="3" t="s">
        <v>128</v>
      </c>
      <c r="D126" s="3" t="s">
        <v>129</v>
      </c>
      <c r="E126" s="4"/>
      <c r="F126" s="8">
        <v>261</v>
      </c>
      <c r="G126" s="9" t="str">
        <f>HYPERLINK("http://science.sciencemag.org/content/360/6396/eaas9793/tab-pdf","Davis et al., 2018, Science")</f>
        <v>Davis et al., 2018, Science</v>
      </c>
      <c r="H126" s="8">
        <v>10</v>
      </c>
      <c r="I126" s="9" t="str">
        <f>HYPERLINK("https://www.lazard.com/media/450338/lazard-levelized-cost-of-storage-version-30.pdf","LAZARD, 2017, Appendix A")</f>
        <v>LAZARD, 2017, Appendix A</v>
      </c>
      <c r="J126" s="27">
        <f>DISCOUNT_RATE*(1+DISCOUNT_RATE)^H126/((1+DISCOUNT_RATE)^H126-1)</f>
        <v>0.14237750272736471</v>
      </c>
      <c r="K126" s="8">
        <v>0</v>
      </c>
      <c r="L126" s="32"/>
      <c r="M126" s="28">
        <f>F126*J126+K126</f>
        <v>37.160528211842191</v>
      </c>
      <c r="N126" s="29">
        <f>M126/HOURS_PER_YEAR</f>
        <v>4.2420694305755928E-3</v>
      </c>
      <c r="O126" s="8"/>
      <c r="P126" s="8"/>
      <c r="Q126" s="21"/>
      <c r="R126" s="4"/>
      <c r="S126" s="8"/>
      <c r="T126" s="4"/>
      <c r="U126" s="22"/>
      <c r="V126" s="22"/>
      <c r="W126" s="23"/>
      <c r="X126" s="24"/>
      <c r="Y126" s="25"/>
      <c r="Z126" s="20"/>
      <c r="AA126" s="4"/>
      <c r="AB126" s="4"/>
      <c r="AC126" s="4"/>
    </row>
    <row r="127" spans="1:29" ht="14.25" customHeight="1" x14ac:dyDescent="0.2">
      <c r="A127" s="14" t="s">
        <v>179</v>
      </c>
      <c r="B127" s="16">
        <f t="shared" ref="B127:B128" si="3">Z127</f>
        <v>0</v>
      </c>
      <c r="C127" s="3" t="s">
        <v>93</v>
      </c>
      <c r="D127" s="3"/>
      <c r="E127" s="4"/>
      <c r="F127" s="8"/>
      <c r="G127" s="3"/>
      <c r="H127" s="8"/>
      <c r="I127" s="3"/>
      <c r="J127" s="18"/>
      <c r="K127" s="8"/>
      <c r="L127" s="4"/>
      <c r="M127" s="18"/>
      <c r="N127" s="20"/>
      <c r="O127" s="8">
        <v>0</v>
      </c>
      <c r="P127" s="8">
        <v>0</v>
      </c>
      <c r="Q127" s="21" t="str">
        <f t="shared" ref="Q127:Q128" si="4">IF(AND(O127&lt;&gt;0,P127&lt;&gt;0),"bad fuel cost","OK")</f>
        <v>OK</v>
      </c>
      <c r="R127" s="4"/>
      <c r="S127" s="8">
        <v>0</v>
      </c>
      <c r="T127" s="4"/>
      <c r="U127" s="22">
        <v>1</v>
      </c>
      <c r="V127" s="22"/>
      <c r="W127" s="23">
        <v>0</v>
      </c>
      <c r="X127" s="24"/>
      <c r="Y127" s="25"/>
      <c r="Z127" s="31">
        <f t="shared" ref="Z127:Z128" si="5">V127/U127+W127/1000+Y127</f>
        <v>0</v>
      </c>
      <c r="AA127" s="4"/>
      <c r="AB127" s="4"/>
      <c r="AC127" s="38"/>
    </row>
    <row r="128" spans="1:29" ht="14.25" customHeight="1" x14ac:dyDescent="0.2">
      <c r="A128" s="14" t="s">
        <v>180</v>
      </c>
      <c r="B128" s="16">
        <f t="shared" si="3"/>
        <v>0</v>
      </c>
      <c r="C128" s="3" t="s">
        <v>93</v>
      </c>
      <c r="D128" s="3"/>
      <c r="E128" s="4"/>
      <c r="F128" s="8"/>
      <c r="G128" s="3"/>
      <c r="H128" s="8"/>
      <c r="I128" s="3"/>
      <c r="J128" s="18"/>
      <c r="K128" s="8"/>
      <c r="L128" s="4"/>
      <c r="M128" s="18"/>
      <c r="N128" s="20"/>
      <c r="O128" s="8">
        <v>0</v>
      </c>
      <c r="P128" s="8">
        <v>0</v>
      </c>
      <c r="Q128" s="21" t="str">
        <f t="shared" si="4"/>
        <v>OK</v>
      </c>
      <c r="R128" s="4"/>
      <c r="S128" s="8">
        <v>0</v>
      </c>
      <c r="T128" s="4"/>
      <c r="U128" s="22">
        <v>1</v>
      </c>
      <c r="V128" s="22"/>
      <c r="W128" s="23">
        <v>0</v>
      </c>
      <c r="X128" s="24"/>
      <c r="Y128" s="25"/>
      <c r="Z128" s="31">
        <f t="shared" si="5"/>
        <v>0</v>
      </c>
      <c r="AA128" s="4"/>
      <c r="AB128" s="4"/>
      <c r="AC128" s="4"/>
    </row>
    <row r="129" spans="1:29" ht="14.25" customHeight="1" x14ac:dyDescent="0.2">
      <c r="A129" s="52" t="s">
        <v>181</v>
      </c>
      <c r="B129" s="15">
        <v>0.9</v>
      </c>
      <c r="C129" s="3"/>
      <c r="D129" s="3" t="s">
        <v>132</v>
      </c>
      <c r="E129" s="4"/>
      <c r="F129" s="8"/>
      <c r="G129" s="3"/>
      <c r="H129" s="8"/>
      <c r="I129" s="3"/>
      <c r="J129" s="18"/>
      <c r="K129" s="8"/>
      <c r="L129" s="4"/>
      <c r="M129" s="18"/>
      <c r="N129" s="20"/>
      <c r="O129" s="8"/>
      <c r="P129" s="8"/>
      <c r="Q129" s="21"/>
      <c r="R129" s="4"/>
      <c r="S129" s="8"/>
      <c r="T129" s="4"/>
      <c r="U129" s="22"/>
      <c r="V129" s="22"/>
      <c r="W129" s="23"/>
      <c r="X129" s="24"/>
      <c r="Y129" s="25"/>
      <c r="Z129" s="20"/>
      <c r="AA129" s="4"/>
      <c r="AB129" s="4"/>
      <c r="AC129" s="4"/>
    </row>
    <row r="130" spans="1:29" ht="14.25" customHeight="1" x14ac:dyDescent="0.2">
      <c r="A130" s="52" t="s">
        <v>182</v>
      </c>
      <c r="B130" s="26">
        <f>1.01^(1/HOURS_PER_YEAR)-1</f>
        <v>1.1358831626395727E-6</v>
      </c>
      <c r="C130" s="3" t="s">
        <v>133</v>
      </c>
      <c r="D130" s="3" t="s">
        <v>134</v>
      </c>
      <c r="E130" s="9" t="str">
        <f>HYPERLINK("https://batteryuniversity.com/learn/article/elevating_self_discharge","Buchmann, 2018, Battery University")</f>
        <v>Buchmann, 2018, Battery University</v>
      </c>
      <c r="F130" s="8"/>
      <c r="G130" s="3"/>
      <c r="H130" s="8"/>
      <c r="I130" s="3"/>
      <c r="J130" s="18"/>
      <c r="K130" s="8"/>
      <c r="L130" s="32"/>
      <c r="M130" s="18"/>
      <c r="N130" s="20"/>
      <c r="O130" s="8"/>
      <c r="P130" s="8"/>
      <c r="Q130" s="21"/>
      <c r="R130" s="4"/>
      <c r="S130" s="8"/>
      <c r="T130" s="4"/>
      <c r="U130" s="22"/>
      <c r="V130" s="22"/>
      <c r="W130" s="23"/>
      <c r="X130" s="24"/>
      <c r="Y130" s="25"/>
      <c r="Z130" s="20"/>
      <c r="AA130" s="4"/>
      <c r="AB130" s="4"/>
      <c r="AC130" s="4"/>
    </row>
    <row r="131" spans="1:29" ht="14.25" customHeight="1" x14ac:dyDescent="0.2">
      <c r="A131" s="52" t="s">
        <v>183</v>
      </c>
      <c r="B131" s="34">
        <f>1568/261</f>
        <v>6.0076628352490422</v>
      </c>
      <c r="C131" s="3" t="s">
        <v>135</v>
      </c>
      <c r="D131" s="3" t="s">
        <v>136</v>
      </c>
      <c r="E131" s="4"/>
      <c r="F131" s="8"/>
      <c r="G131" s="9"/>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14"/>
      <c r="B132" s="15"/>
      <c r="C132" s="3"/>
      <c r="D132" s="3"/>
      <c r="E132" s="4"/>
      <c r="F132" s="8"/>
      <c r="G132" s="3"/>
      <c r="H132" s="8"/>
      <c r="I132" s="3"/>
      <c r="J132" s="18"/>
      <c r="K132" s="8"/>
      <c r="L132" s="4"/>
      <c r="M132" s="18"/>
      <c r="N132" s="20"/>
      <c r="O132" s="8"/>
      <c r="P132" s="8"/>
      <c r="Q132" s="21"/>
      <c r="R132" s="4"/>
      <c r="S132" s="8"/>
      <c r="T132" s="4"/>
      <c r="U132" s="22"/>
      <c r="V132" s="22"/>
      <c r="W132" s="23"/>
      <c r="X132" s="24"/>
      <c r="Y132" s="25"/>
      <c r="Z132" s="20"/>
      <c r="AA132" s="4"/>
      <c r="AB132" s="4"/>
      <c r="AC132" s="4"/>
    </row>
    <row r="133" spans="1:29" ht="14.25" customHeight="1" x14ac:dyDescent="0.2">
      <c r="A133" s="52" t="s">
        <v>137</v>
      </c>
      <c r="B133" s="39">
        <f t="shared" ref="B133:B135" si="6">N133</f>
        <v>3.2326344432621811E-6</v>
      </c>
      <c r="C133" s="3" t="s">
        <v>128</v>
      </c>
      <c r="D133" s="3" t="s">
        <v>138</v>
      </c>
      <c r="E133" s="4"/>
      <c r="F133" s="8">
        <v>0.3</v>
      </c>
      <c r="G133" s="9" t="str">
        <f>HYPERLINK("https://prod-ng.sandia.gov/techlib-noauth/access-control.cgi/2011/114845.pdf","Schoenung, 2011, Sandia Report")</f>
        <v>Schoenung, 2011, Sandia Report</v>
      </c>
      <c r="H133" s="40">
        <v>20</v>
      </c>
      <c r="I133" s="30" t="s">
        <v>139</v>
      </c>
      <c r="J133" s="27">
        <f>DISCOUNT_RATE*(1+DISCOUNT_RATE)^H133/((1+DISCOUNT_RATE)^H133-1)</f>
        <v>9.4392925743255696E-2</v>
      </c>
      <c r="K133" s="8">
        <v>0</v>
      </c>
      <c r="L133" s="32"/>
      <c r="M133" s="28">
        <f t="shared" ref="M133:M135" si="7">F133*J133+K133</f>
        <v>2.8317877722976708E-2</v>
      </c>
      <c r="N133" s="41">
        <f>M133/HOURS_PER_YEAR</f>
        <v>3.2326344432621811E-6</v>
      </c>
      <c r="O133" s="8"/>
      <c r="P133" s="8"/>
      <c r="Q133" s="21"/>
      <c r="R133" s="4"/>
      <c r="S133" s="8"/>
      <c r="T133" s="4"/>
      <c r="U133" s="22"/>
      <c r="V133" s="22"/>
      <c r="W133" s="23"/>
      <c r="X133" s="24"/>
      <c r="Y133" s="25"/>
      <c r="Z133" s="20"/>
      <c r="AA133" s="4"/>
      <c r="AB133" s="4"/>
      <c r="AC133" s="4"/>
    </row>
    <row r="134" spans="1:29" ht="14.25" customHeight="1" x14ac:dyDescent="0.2">
      <c r="A134" s="52" t="s">
        <v>140</v>
      </c>
      <c r="B134" s="39">
        <f t="shared" si="6"/>
        <v>1.1852992958627998E-2</v>
      </c>
      <c r="C134" s="3" t="s">
        <v>93</v>
      </c>
      <c r="D134" s="3"/>
      <c r="E134" s="4"/>
      <c r="F134" s="8">
        <v>1100</v>
      </c>
      <c r="G134" s="9" t="str">
        <f t="shared" ref="G134:G135" si="8">HYPERLINK("http://science.sciencemag.org/content/360/6396/eaas9793/tab-pdf","Davis et al., 2018, Science")</f>
        <v>Davis et al., 2018, Science</v>
      </c>
      <c r="H134" s="40">
        <v>20</v>
      </c>
      <c r="I134" s="30" t="s">
        <v>139</v>
      </c>
      <c r="J134" s="27">
        <f>DISCOUNT_RATE*(1+DISCOUNT_RATE)^H134/((1+DISCOUNT_RATE)^H134-1)</f>
        <v>9.4392925743255696E-2</v>
      </c>
      <c r="K134" s="8">
        <v>0</v>
      </c>
      <c r="L134" s="32"/>
      <c r="M134" s="28">
        <f t="shared" si="7"/>
        <v>103.83221831758127</v>
      </c>
      <c r="N134" s="29">
        <f>M134/HOURS_PER_YEAR</f>
        <v>1.1852992958627998E-2</v>
      </c>
      <c r="O134" s="8"/>
      <c r="P134" s="8"/>
      <c r="Q134" s="21"/>
      <c r="R134" s="4"/>
      <c r="S134" s="8"/>
      <c r="T134" s="4"/>
      <c r="U134" s="22"/>
      <c r="V134" s="22"/>
      <c r="W134" s="23"/>
      <c r="X134" s="24"/>
      <c r="Y134" s="25"/>
      <c r="Z134" s="20"/>
      <c r="AA134" s="4"/>
      <c r="AB134" s="4"/>
      <c r="AC134" s="4"/>
    </row>
    <row r="135" spans="1:29" ht="14.25" customHeight="1" x14ac:dyDescent="0.2">
      <c r="A135" s="52" t="s">
        <v>141</v>
      </c>
      <c r="B135" s="39">
        <f t="shared" si="6"/>
        <v>4.9567061463353448E-2</v>
      </c>
      <c r="C135" s="3" t="s">
        <v>93</v>
      </c>
      <c r="D135" s="3"/>
      <c r="E135" s="4"/>
      <c r="F135" s="8">
        <v>4600</v>
      </c>
      <c r="G135" s="9" t="str">
        <f t="shared" si="8"/>
        <v>Davis et al., 2018, Science</v>
      </c>
      <c r="H135" s="40">
        <v>20</v>
      </c>
      <c r="I135" s="30" t="s">
        <v>139</v>
      </c>
      <c r="J135" s="27">
        <f>DISCOUNT_RATE*(1+DISCOUNT_RATE)^H135/((1+DISCOUNT_RATE)^H135-1)</f>
        <v>9.4392925743255696E-2</v>
      </c>
      <c r="K135" s="8">
        <v>0</v>
      </c>
      <c r="L135" s="32"/>
      <c r="M135" s="28">
        <f t="shared" si="7"/>
        <v>434.20745841897622</v>
      </c>
      <c r="N135" s="29">
        <f>M135/HOURS_PER_YEAR</f>
        <v>4.9567061463353448E-2</v>
      </c>
      <c r="O135" s="8"/>
      <c r="P135" s="8"/>
      <c r="Q135" s="21"/>
      <c r="R135" s="4"/>
      <c r="S135" s="8"/>
      <c r="T135" s="4"/>
      <c r="U135" s="22"/>
      <c r="V135" s="22"/>
      <c r="W135" s="23"/>
      <c r="X135" s="24"/>
      <c r="Y135" s="25"/>
      <c r="Z135" s="20"/>
      <c r="AA135" s="4"/>
      <c r="AB135" s="4"/>
      <c r="AC135" s="4"/>
    </row>
    <row r="136" spans="1:29" ht="14.25" customHeight="1" x14ac:dyDescent="0.2">
      <c r="A136" s="52" t="s">
        <v>142</v>
      </c>
      <c r="B136" s="16">
        <f t="shared" ref="B136:B137" si="9">Z136</f>
        <v>0</v>
      </c>
      <c r="C136" s="3" t="s">
        <v>93</v>
      </c>
      <c r="D136" s="3"/>
      <c r="E136" s="4"/>
      <c r="F136" s="8"/>
      <c r="G136" s="3"/>
      <c r="H136" s="8"/>
      <c r="I136" s="3"/>
      <c r="J136" s="18"/>
      <c r="K136" s="8"/>
      <c r="L136" s="4"/>
      <c r="M136" s="18"/>
      <c r="N136" s="20"/>
      <c r="O136" s="8">
        <v>0</v>
      </c>
      <c r="P136" s="8">
        <v>0</v>
      </c>
      <c r="Q136" s="21" t="str">
        <f t="shared" ref="Q136" si="10">IF(AND(O136&lt;&gt;0,P136&lt;&gt;0),"bad fuel cost","OK")</f>
        <v>OK</v>
      </c>
      <c r="R136" s="4"/>
      <c r="S136" s="8">
        <v>0</v>
      </c>
      <c r="T136" s="4"/>
      <c r="U136" s="22">
        <v>1</v>
      </c>
      <c r="V136" s="22"/>
      <c r="W136" s="23">
        <v>0</v>
      </c>
      <c r="X136" s="24"/>
      <c r="Y136" s="25"/>
      <c r="Z136" s="31">
        <f t="shared" ref="Z136:Z137" si="11">V136/U136+W136/1000+Y136</f>
        <v>0</v>
      </c>
      <c r="AA136" s="4"/>
      <c r="AB136" s="4"/>
      <c r="AC136" s="4"/>
    </row>
    <row r="137" spans="1:29" ht="14.25" customHeight="1" x14ac:dyDescent="0.2">
      <c r="A137" s="52" t="s">
        <v>143</v>
      </c>
      <c r="B137" s="16">
        <f t="shared" si="9"/>
        <v>0</v>
      </c>
      <c r="C137" s="3" t="s">
        <v>93</v>
      </c>
      <c r="D137" s="3"/>
      <c r="E137" s="4"/>
      <c r="F137" s="8"/>
      <c r="G137" s="3"/>
      <c r="H137" s="8"/>
      <c r="I137" s="3"/>
      <c r="J137" s="18"/>
      <c r="K137" s="8"/>
      <c r="L137" s="4"/>
      <c r="M137" s="18"/>
      <c r="N137" s="20"/>
      <c r="O137" s="8">
        <v>0</v>
      </c>
      <c r="P137" s="8">
        <v>0</v>
      </c>
      <c r="Q137" s="21" t="str">
        <f>IF(AND(O137&lt;&gt;0,P137&lt;&gt;0),"bad fuel cost","OK")</f>
        <v>OK</v>
      </c>
      <c r="R137" s="4"/>
      <c r="S137" s="8">
        <v>0</v>
      </c>
      <c r="T137" s="4"/>
      <c r="U137" s="22">
        <v>1</v>
      </c>
      <c r="V137" s="22"/>
      <c r="W137" s="23">
        <v>0</v>
      </c>
      <c r="X137" s="24"/>
      <c r="Y137" s="25"/>
      <c r="Z137" s="31">
        <f t="shared" si="11"/>
        <v>0</v>
      </c>
      <c r="AA137" s="4"/>
      <c r="AB137" s="4"/>
      <c r="AC137" s="4"/>
    </row>
    <row r="138" spans="1:29" ht="14.25" customHeight="1" x14ac:dyDescent="0.2">
      <c r="A138" s="52" t="s">
        <v>155</v>
      </c>
      <c r="B138" s="42">
        <f>1.0001^(1/HOURS_PER_YEAR)-1</f>
        <v>1.1414954537158906E-8</v>
      </c>
      <c r="C138" s="3" t="s">
        <v>133</v>
      </c>
      <c r="D138" s="3" t="s">
        <v>144</v>
      </c>
      <c r="E138" s="9" t="str">
        <f>HYPERLINK("http://juser.fz-juelich.de/record/135790/files/Energie%26Umwelt_78-04.pdf","Crotogino et al., 2010, p43")</f>
        <v>Crotogino et al., 2010, p43</v>
      </c>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2" t="s">
        <v>156</v>
      </c>
      <c r="B139" s="42">
        <v>0.3</v>
      </c>
      <c r="C139" s="3"/>
      <c r="D139" s="9" t="str">
        <f>HYPERLINK("https://pubs.rsc.org/en/content/articlepdf/2015/ee/c4ee04041d","Pellow et al., 2015, Energy Environ. Sci.")</f>
        <v>Pellow et al., 2015, Energy Environ. Sci.</v>
      </c>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ht="14.25" customHeight="1" x14ac:dyDescent="0.2">
      <c r="A140" s="52"/>
      <c r="B140" s="42"/>
      <c r="C140" s="3"/>
      <c r="D140" s="9"/>
      <c r="E140" s="4"/>
      <c r="F140" s="8"/>
      <c r="G140" s="3"/>
      <c r="H140" s="8"/>
      <c r="I140" s="3"/>
      <c r="J140" s="18"/>
      <c r="K140" s="8"/>
      <c r="L140" s="4"/>
      <c r="M140" s="18"/>
      <c r="N140" s="20"/>
      <c r="O140" s="8"/>
      <c r="P140" s="8"/>
      <c r="Q140" s="21"/>
      <c r="R140" s="4"/>
      <c r="S140" s="8"/>
      <c r="T140" s="4"/>
      <c r="U140" s="22"/>
      <c r="V140" s="22"/>
      <c r="W140" s="23"/>
      <c r="X140" s="24"/>
      <c r="Y140" s="25"/>
      <c r="Z140" s="20"/>
      <c r="AA140" s="4"/>
      <c r="AB140" s="4"/>
      <c r="AC140" s="4"/>
    </row>
    <row r="141" spans="1:29" s="53" customFormat="1" x14ac:dyDescent="0.2">
      <c r="A141" s="52" t="s">
        <v>157</v>
      </c>
      <c r="B141" s="47" t="s">
        <v>207</v>
      </c>
      <c r="F141" s="8"/>
      <c r="H141" s="8"/>
      <c r="I141" s="3"/>
      <c r="J141" s="18"/>
      <c r="K141" s="8"/>
      <c r="L141" s="4"/>
      <c r="M141" s="18"/>
      <c r="N141" s="20"/>
      <c r="O141" s="8"/>
      <c r="P141" s="8"/>
      <c r="Q141" s="21"/>
      <c r="R141" s="4"/>
      <c r="S141" s="8"/>
      <c r="T141" s="4"/>
      <c r="U141" s="22"/>
      <c r="V141" s="22"/>
      <c r="W141" s="23"/>
      <c r="X141" s="24"/>
      <c r="Y141" s="25"/>
      <c r="Z141" s="20"/>
    </row>
    <row r="142" spans="1:29" s="53" customFormat="1" x14ac:dyDescent="0.2">
      <c r="A142" s="52" t="s">
        <v>151</v>
      </c>
      <c r="B142" s="48">
        <v>1.9528741509529837E-2</v>
      </c>
      <c r="C142" s="53" t="s">
        <v>93</v>
      </c>
      <c r="D142" s="46">
        <f>0.3*0.08/8760</f>
        <v>2.7397260273972604E-6</v>
      </c>
      <c r="E142" s="53" t="s">
        <v>158</v>
      </c>
      <c r="F142" s="8"/>
      <c r="H142" s="8"/>
      <c r="I142" s="3"/>
      <c r="J142" s="18"/>
      <c r="K142" s="8"/>
      <c r="L142" s="4"/>
      <c r="M142" s="18"/>
      <c r="N142" s="20"/>
      <c r="O142" s="8"/>
      <c r="P142" s="8"/>
      <c r="Q142" s="21"/>
      <c r="R142" s="4"/>
      <c r="S142" s="8"/>
      <c r="T142" s="4"/>
      <c r="U142" s="22"/>
      <c r="V142" s="22"/>
      <c r="W142" s="23"/>
      <c r="X142" s="24"/>
      <c r="Y142" s="25"/>
      <c r="Z142" s="20"/>
    </row>
    <row r="143" spans="1:29" s="53" customFormat="1" x14ac:dyDescent="0.2">
      <c r="A143" s="52" t="s">
        <v>152</v>
      </c>
      <c r="B143" s="48">
        <f>1100*0.08/8760</f>
        <v>1.0045662100456621E-2</v>
      </c>
      <c r="C143" s="53" t="s">
        <v>128</v>
      </c>
      <c r="E143" s="53" t="s">
        <v>159</v>
      </c>
      <c r="F143" s="8"/>
      <c r="H143" s="8"/>
      <c r="I143" s="3"/>
      <c r="J143" s="18"/>
      <c r="K143" s="8"/>
      <c r="L143" s="4"/>
      <c r="M143" s="18"/>
      <c r="N143" s="20"/>
      <c r="O143" s="8"/>
      <c r="P143" s="8"/>
      <c r="Q143" s="21"/>
      <c r="R143" s="4"/>
      <c r="S143" s="8"/>
      <c r="T143" s="4"/>
      <c r="U143" s="22"/>
      <c r="V143" s="22"/>
      <c r="W143" s="23"/>
      <c r="X143" s="24"/>
      <c r="Y143" s="25"/>
      <c r="Z143" s="20"/>
    </row>
    <row r="144" spans="1:29" s="53" customFormat="1" x14ac:dyDescent="0.2">
      <c r="A144" s="52" t="s">
        <v>153</v>
      </c>
      <c r="B144" s="49">
        <f>0.00000001</f>
        <v>1E-8</v>
      </c>
      <c r="C144" s="53" t="s">
        <v>93</v>
      </c>
      <c r="F144" s="8"/>
      <c r="H144" s="8"/>
      <c r="I144" s="3"/>
      <c r="J144" s="18"/>
      <c r="K144" s="8"/>
      <c r="L144" s="4"/>
      <c r="M144" s="18"/>
      <c r="N144" s="20"/>
      <c r="O144" s="8"/>
      <c r="P144" s="8"/>
      <c r="Q144" s="21"/>
      <c r="R144" s="4"/>
      <c r="S144" s="8"/>
      <c r="T144" s="4"/>
      <c r="U144" s="22"/>
      <c r="V144" s="22"/>
      <c r="W144" s="23"/>
      <c r="X144" s="24"/>
      <c r="Y144" s="25"/>
      <c r="Z144" s="20"/>
    </row>
    <row r="145" spans="1:26" s="53" customFormat="1" x14ac:dyDescent="0.2">
      <c r="A145" s="52" t="s">
        <v>154</v>
      </c>
      <c r="B145" s="49">
        <f>0.00000001</f>
        <v>1E-8</v>
      </c>
      <c r="C145" s="53" t="s">
        <v>93</v>
      </c>
      <c r="F145" s="8"/>
      <c r="H145" s="8"/>
      <c r="I145" s="3"/>
      <c r="J145" s="18"/>
      <c r="K145" s="8"/>
      <c r="L145" s="4"/>
      <c r="M145" s="18"/>
      <c r="N145" s="20"/>
      <c r="O145" s="8"/>
      <c r="P145" s="8"/>
      <c r="Q145" s="21"/>
      <c r="R145" s="4"/>
      <c r="S145" s="8"/>
      <c r="T145" s="4"/>
      <c r="U145" s="22"/>
      <c r="V145" s="22"/>
      <c r="W145" s="23"/>
      <c r="X145" s="24"/>
      <c r="Y145" s="25"/>
      <c r="Z145" s="20"/>
    </row>
    <row r="146" spans="1:26" s="53" customFormat="1" x14ac:dyDescent="0.2">
      <c r="A146" s="52" t="s">
        <v>160</v>
      </c>
      <c r="B146" s="47">
        <v>0.1</v>
      </c>
      <c r="C146" s="53" t="s">
        <v>133</v>
      </c>
      <c r="E146" s="53" t="s">
        <v>165</v>
      </c>
      <c r="F146" s="8"/>
      <c r="H146" s="8"/>
      <c r="I146" s="3"/>
      <c r="J146" s="18"/>
      <c r="K146" s="8"/>
      <c r="L146" s="4"/>
      <c r="M146" s="18"/>
      <c r="N146" s="20"/>
      <c r="O146" s="8"/>
      <c r="P146" s="8"/>
      <c r="Q146" s="21"/>
      <c r="R146" s="4"/>
      <c r="S146" s="8"/>
      <c r="T146" s="4"/>
      <c r="U146" s="22"/>
      <c r="V146" s="22"/>
      <c r="W146" s="23"/>
      <c r="X146" s="24"/>
      <c r="Y146" s="25"/>
      <c r="Z146" s="20"/>
    </row>
    <row r="147" spans="1:26" s="53" customFormat="1" x14ac:dyDescent="0.2">
      <c r="A147" s="52" t="s">
        <v>161</v>
      </c>
      <c r="B147" s="47">
        <v>1</v>
      </c>
      <c r="D147" s="53" t="s">
        <v>166</v>
      </c>
      <c r="F147" s="8"/>
      <c r="H147" s="8"/>
      <c r="I147" s="3"/>
      <c r="J147" s="18"/>
      <c r="K147" s="8"/>
      <c r="L147" s="4"/>
      <c r="M147" s="18"/>
      <c r="N147" s="20"/>
      <c r="O147" s="8"/>
      <c r="P147" s="8"/>
      <c r="Q147" s="21"/>
      <c r="R147" s="4"/>
      <c r="S147" s="8"/>
      <c r="T147" s="4"/>
      <c r="U147" s="22"/>
      <c r="V147" s="22"/>
      <c r="W147" s="23"/>
      <c r="X147" s="24"/>
      <c r="Y147" s="25"/>
      <c r="Z147" s="20"/>
    </row>
    <row r="148" spans="1:26" s="53" customFormat="1" x14ac:dyDescent="0.2">
      <c r="A148" s="52"/>
      <c r="B148" s="47"/>
      <c r="F148" s="8"/>
      <c r="H148" s="8"/>
      <c r="I148" s="3"/>
      <c r="J148" s="18"/>
      <c r="K148" s="8"/>
      <c r="L148" s="4"/>
      <c r="M148" s="18"/>
      <c r="N148" s="20"/>
      <c r="O148" s="8"/>
      <c r="P148" s="8"/>
      <c r="Q148" s="21"/>
      <c r="R148" s="4"/>
      <c r="S148" s="8"/>
      <c r="T148" s="4"/>
      <c r="U148" s="22"/>
      <c r="V148" s="22"/>
      <c r="W148" s="23"/>
      <c r="X148" s="24"/>
      <c r="Y148" s="25"/>
      <c r="Z148" s="20"/>
    </row>
    <row r="149" spans="1:26" s="53" customFormat="1" x14ac:dyDescent="0.2">
      <c r="A149" s="52" t="s">
        <v>191</v>
      </c>
      <c r="B149" s="67">
        <f>N149</f>
        <v>1.4309606239901081E-2</v>
      </c>
      <c r="C149" s="53" t="s">
        <v>93</v>
      </c>
      <c r="F149" s="8">
        <f>850*1.83</f>
        <v>1555.5</v>
      </c>
      <c r="G149" s="53" t="s">
        <v>192</v>
      </c>
      <c r="H149" s="8">
        <v>30</v>
      </c>
      <c r="I149" s="3" t="s">
        <v>193</v>
      </c>
      <c r="J149" s="27">
        <f>DISCOUNT_RATE*(1+DISCOUNT_RATE)^H149/((1+DISCOUNT_RATE)^H149-1)</f>
        <v>8.0586403511111196E-2</v>
      </c>
      <c r="K149" s="8">
        <v>0</v>
      </c>
      <c r="L149" s="4"/>
      <c r="M149" s="28">
        <f t="shared" ref="M149:M150" si="12">F149*J149+K149</f>
        <v>125.35215066153347</v>
      </c>
      <c r="N149" s="41">
        <f>M149/HOURS_PER_YEAR</f>
        <v>1.4309606239901081E-2</v>
      </c>
      <c r="O149" s="8"/>
      <c r="P149" s="8"/>
      <c r="Q149" s="21"/>
      <c r="R149" s="4"/>
      <c r="S149" s="8"/>
      <c r="T149" s="4"/>
      <c r="U149" s="22"/>
      <c r="V149" s="22"/>
      <c r="W149" s="23"/>
      <c r="X149" s="24"/>
      <c r="Y149" s="25"/>
      <c r="Z149" s="20"/>
    </row>
    <row r="150" spans="1:26" s="53" customFormat="1" x14ac:dyDescent="0.2">
      <c r="A150" s="52" t="s">
        <v>190</v>
      </c>
      <c r="B150" s="67">
        <f>N150</f>
        <v>1.6313533739692222E-2</v>
      </c>
      <c r="C150" s="53" t="s">
        <v>93</v>
      </c>
      <c r="F150" s="8">
        <f>((202+32+32)*4.6)/690*1000</f>
        <v>1773.3333333333333</v>
      </c>
      <c r="G150" s="53" t="s">
        <v>200</v>
      </c>
      <c r="H150" s="8">
        <v>30</v>
      </c>
      <c r="I150" s="3" t="s">
        <v>193</v>
      </c>
      <c r="J150" s="27">
        <f>DISCOUNT_RATE*(1+DISCOUNT_RATE)^H150/((1+DISCOUNT_RATE)^H150-1)</f>
        <v>8.0586403511111196E-2</v>
      </c>
      <c r="K150" s="8">
        <v>0</v>
      </c>
      <c r="L150" s="4"/>
      <c r="M150" s="28">
        <f t="shared" si="12"/>
        <v>142.90655555970386</v>
      </c>
      <c r="N150" s="41">
        <f>M150/HOURS_PER_YEAR</f>
        <v>1.6313533739692222E-2</v>
      </c>
      <c r="O150" s="8"/>
      <c r="P150" s="8"/>
      <c r="Q150" s="21"/>
      <c r="R150" s="4"/>
      <c r="S150" s="8"/>
      <c r="T150" s="4"/>
      <c r="U150" s="22"/>
      <c r="V150" s="22"/>
      <c r="W150" s="23"/>
      <c r="X150" s="24"/>
      <c r="Y150" s="25"/>
      <c r="Z150" s="20"/>
    </row>
    <row r="151" spans="1:26" s="53" customFormat="1" x14ac:dyDescent="0.2">
      <c r="A151" s="52" t="s">
        <v>202</v>
      </c>
      <c r="B151" s="67">
        <f>N151</f>
        <v>2.7279082762072303E-7</v>
      </c>
      <c r="C151" s="53" t="s">
        <v>96</v>
      </c>
      <c r="F151" s="8">
        <f>((33*10^6))/(971*10^9)*1000</f>
        <v>3.3985581874356338E-2</v>
      </c>
      <c r="G151" s="53" t="s">
        <v>201</v>
      </c>
      <c r="H151" s="8">
        <v>80</v>
      </c>
      <c r="I151" s="3" t="s">
        <v>193</v>
      </c>
      <c r="J151" s="27">
        <f>DISCOUNT_RATE*(1+DISCOUNT_RATE)^H151/((1+DISCOUNT_RATE)^H151-1)</f>
        <v>7.0313571760871676E-2</v>
      </c>
      <c r="K151" s="8">
        <v>0</v>
      </c>
      <c r="L151" s="4"/>
      <c r="M151" s="28">
        <f t="shared" ref="M151" si="13">F151*J151+K151</f>
        <v>2.3896476499575339E-3</v>
      </c>
      <c r="N151" s="41">
        <f>M151/HOURS_PER_YEAR</f>
        <v>2.7279082762072303E-7</v>
      </c>
      <c r="O151" s="8"/>
      <c r="P151" s="8"/>
      <c r="Q151" s="21"/>
      <c r="R151" s="4"/>
      <c r="S151" s="8"/>
      <c r="T151" s="4"/>
      <c r="U151" s="22"/>
      <c r="V151" s="22"/>
      <c r="W151" s="23"/>
      <c r="X151" s="24"/>
      <c r="Y151" s="25"/>
      <c r="Z151" s="20"/>
    </row>
    <row r="152" spans="1:26" s="53" customFormat="1" x14ac:dyDescent="0.2">
      <c r="A152" s="52" t="s">
        <v>198</v>
      </c>
      <c r="B152" s="16">
        <v>9.9999999999999995E-7</v>
      </c>
      <c r="C152" s="3" t="s">
        <v>96</v>
      </c>
      <c r="D152" s="53" t="s">
        <v>199</v>
      </c>
      <c r="F152" s="8"/>
      <c r="H152" s="8"/>
      <c r="I152" s="3"/>
      <c r="J152" s="18"/>
      <c r="K152" s="8"/>
      <c r="L152" s="4"/>
      <c r="M152" s="18"/>
      <c r="N152" s="20"/>
      <c r="O152" s="8"/>
      <c r="P152" s="8"/>
      <c r="Q152" s="21"/>
      <c r="R152" s="4"/>
      <c r="S152" s="8"/>
      <c r="T152" s="4"/>
      <c r="U152" s="22"/>
      <c r="V152" s="22"/>
      <c r="W152" s="23"/>
      <c r="X152" s="24"/>
      <c r="Y152" s="25"/>
      <c r="Z152" s="31"/>
    </row>
    <row r="153" spans="1:26" s="53" customFormat="1" x14ac:dyDescent="0.2">
      <c r="A153" s="52" t="s">
        <v>194</v>
      </c>
      <c r="B153" s="16">
        <f>Z153</f>
        <v>6.9107241876284586E-2</v>
      </c>
      <c r="C153" s="3" t="s">
        <v>96</v>
      </c>
      <c r="F153" s="8"/>
      <c r="H153" s="8"/>
      <c r="I153" s="3"/>
      <c r="J153" s="18"/>
      <c r="K153" s="8"/>
      <c r="L153" s="4"/>
      <c r="M153" s="18"/>
      <c r="N153" s="20"/>
      <c r="O153" s="8">
        <v>0</v>
      </c>
      <c r="P153" s="8">
        <v>0</v>
      </c>
      <c r="Q153" s="21" t="str">
        <f>IF(AND(O153&lt;&gt;0,P153&lt;&gt;0),"bad fuel cost","OK")</f>
        <v>OK</v>
      </c>
      <c r="R153" s="4"/>
      <c r="S153" s="8"/>
      <c r="T153" s="4"/>
      <c r="U153" s="22">
        <v>0.65900000000000003</v>
      </c>
      <c r="V153" s="22">
        <v>0</v>
      </c>
      <c r="W153" s="23">
        <f>18.62*(0.069+0.038+0.016+0.001)/(MMBtu_per_Gallon_Gasoline*MWh_per_MMBtu)</f>
        <v>69.10724187628459</v>
      </c>
      <c r="X153" s="24" t="s">
        <v>195</v>
      </c>
      <c r="Y153" s="25"/>
      <c r="Z153" s="31">
        <f>V153/U153+W153/1000+Y153</f>
        <v>6.9107241876284586E-2</v>
      </c>
    </row>
    <row r="154" spans="1:26" s="53" customFormat="1" x14ac:dyDescent="0.2">
      <c r="A154" s="52" t="s">
        <v>197</v>
      </c>
      <c r="B154" s="49">
        <f>D154*(236/690)/1000</f>
        <v>1.7101449275362317E-2</v>
      </c>
      <c r="C154" s="53" t="s">
        <v>96</v>
      </c>
      <c r="D154" s="68">
        <v>50</v>
      </c>
      <c r="E154" s="53" t="s">
        <v>188</v>
      </c>
      <c r="F154" s="8"/>
      <c r="H154" s="8"/>
      <c r="I154" s="3"/>
      <c r="J154" s="18"/>
      <c r="K154" s="8"/>
      <c r="L154" s="4"/>
      <c r="M154" s="18"/>
      <c r="N154" s="20"/>
      <c r="O154" s="8"/>
      <c r="P154" s="8"/>
      <c r="Q154" s="21"/>
      <c r="R154" s="4"/>
      <c r="S154" s="8"/>
      <c r="T154" s="4"/>
      <c r="U154" s="22"/>
      <c r="V154" s="22"/>
      <c r="W154" s="23"/>
      <c r="X154" s="24"/>
      <c r="Y154" s="25"/>
      <c r="Z154" s="20"/>
    </row>
    <row r="155" spans="1:26" s="53" customFormat="1" x14ac:dyDescent="0.2">
      <c r="A155" s="52" t="s">
        <v>204</v>
      </c>
      <c r="B155" s="47">
        <v>0.67700000000000005</v>
      </c>
      <c r="C155" s="3"/>
      <c r="D155" s="53" t="s">
        <v>196</v>
      </c>
      <c r="F155" s="8"/>
      <c r="H155" s="8"/>
      <c r="I155" s="3"/>
      <c r="J155" s="18"/>
      <c r="K155" s="8"/>
      <c r="L155" s="4"/>
      <c r="M155" s="18"/>
      <c r="N155" s="20"/>
      <c r="O155" s="8"/>
      <c r="P155" s="8"/>
      <c r="Q155" s="21"/>
      <c r="R155" s="4"/>
      <c r="S155" s="8"/>
      <c r="T155" s="4"/>
      <c r="U155" s="22"/>
      <c r="V155" s="22"/>
      <c r="W155" s="23"/>
      <c r="X155" s="24"/>
      <c r="Y155" s="25"/>
      <c r="Z155" s="20"/>
    </row>
    <row r="156" spans="1:26" s="53" customFormat="1" x14ac:dyDescent="0.2">
      <c r="A156" s="73" t="s">
        <v>213</v>
      </c>
      <c r="B156" s="47">
        <v>0.68200000000000005</v>
      </c>
      <c r="C156" s="3"/>
      <c r="D156" s="74" t="s">
        <v>214</v>
      </c>
      <c r="F156" s="8"/>
      <c r="H156" s="8"/>
      <c r="I156" s="3"/>
      <c r="J156" s="18"/>
      <c r="K156" s="8"/>
      <c r="L156" s="4"/>
      <c r="M156" s="18"/>
      <c r="N156" s="20"/>
      <c r="O156" s="8"/>
      <c r="P156" s="8"/>
      <c r="Q156" s="21"/>
      <c r="R156" s="4"/>
      <c r="S156" s="8"/>
      <c r="T156" s="4"/>
      <c r="U156" s="22"/>
      <c r="V156" s="22"/>
      <c r="W156" s="23"/>
      <c r="X156" s="24"/>
      <c r="Y156" s="25"/>
      <c r="Z156" s="20"/>
    </row>
    <row r="157" spans="1:26" s="53" customFormat="1" x14ac:dyDescent="0.2">
      <c r="A157" s="52" t="s">
        <v>203</v>
      </c>
      <c r="B157" s="49">
        <f>B138</f>
        <v>1.1414954537158906E-8</v>
      </c>
      <c r="C157" s="3" t="s">
        <v>133</v>
      </c>
      <c r="D157" s="3" t="s">
        <v>144</v>
      </c>
      <c r="E157" s="9" t="str">
        <f>HYPERLINK("http://juser.fz-juelich.de/record/135790/files/Energie%26Umwelt_78-04.pdf","Crotogino et al., 2010, p43")</f>
        <v>Crotogino et al., 2010, p43</v>
      </c>
      <c r="F157" s="8"/>
      <c r="H157" s="8"/>
      <c r="I157" s="3"/>
      <c r="J157" s="18"/>
      <c r="K157" s="8"/>
      <c r="L157" s="4"/>
      <c r="M157" s="18"/>
      <c r="N157" s="20"/>
      <c r="O157" s="8"/>
      <c r="P157" s="8"/>
      <c r="Q157" s="21"/>
      <c r="R157" s="4"/>
      <c r="S157" s="8"/>
      <c r="T157" s="4"/>
      <c r="U157" s="22"/>
      <c r="V157" s="22"/>
      <c r="W157" s="23"/>
      <c r="X157" s="24"/>
      <c r="Y157" s="25"/>
      <c r="Z157" s="20"/>
    </row>
    <row r="158" spans="1:26" s="53" customFormat="1" x14ac:dyDescent="0.2">
      <c r="A158" s="52" t="s">
        <v>185</v>
      </c>
      <c r="B158" s="49">
        <f>D158/(MMBtu_per_Gallon_Gasoline*MWh_per_MMBtu*1000)</f>
        <v>2.9931066957262647E-2</v>
      </c>
      <c r="C158" s="53" t="s">
        <v>96</v>
      </c>
      <c r="D158" s="68">
        <v>1</v>
      </c>
      <c r="E158" s="3" t="s">
        <v>186</v>
      </c>
      <c r="F158" s="8"/>
      <c r="H158" s="8"/>
      <c r="I158" s="3"/>
      <c r="J158" s="18"/>
      <c r="K158" s="8"/>
      <c r="L158" s="4"/>
      <c r="M158" s="18"/>
      <c r="N158" s="20"/>
      <c r="O158" s="8"/>
      <c r="P158" s="8"/>
      <c r="Q158" s="21"/>
      <c r="R158" s="4"/>
      <c r="S158" s="8"/>
      <c r="T158" s="4"/>
      <c r="U158" s="22"/>
      <c r="V158" s="22"/>
      <c r="W158" s="23"/>
      <c r="X158" s="24"/>
      <c r="Y158" s="25"/>
      <c r="Z158" s="20"/>
    </row>
    <row r="159" spans="1:26" s="53" customFormat="1" x14ac:dyDescent="0.2">
      <c r="A159" s="52" t="s">
        <v>209</v>
      </c>
      <c r="B159" s="49">
        <v>1</v>
      </c>
      <c r="C159" s="3" t="s">
        <v>210</v>
      </c>
      <c r="D159" s="69"/>
      <c r="E159" s="3"/>
      <c r="F159" s="8"/>
      <c r="H159" s="8"/>
      <c r="I159" s="3"/>
      <c r="J159" s="18"/>
      <c r="K159" s="8"/>
      <c r="L159" s="4"/>
      <c r="M159" s="18"/>
      <c r="N159" s="20"/>
      <c r="O159" s="8"/>
      <c r="P159" s="8"/>
      <c r="Q159" s="21"/>
      <c r="R159" s="4"/>
      <c r="S159" s="8"/>
      <c r="T159" s="4"/>
      <c r="U159" s="22"/>
      <c r="V159" s="22"/>
      <c r="W159" s="23"/>
      <c r="X159" s="24"/>
      <c r="Y159" s="25"/>
      <c r="Z159" s="20"/>
    </row>
    <row r="160" spans="1:26" s="53" customFormat="1" x14ac:dyDescent="0.2">
      <c r="A160" s="52"/>
      <c r="B160" s="47"/>
      <c r="C160" s="70" t="s">
        <v>212</v>
      </c>
      <c r="D160" s="71">
        <f>((B149/B155)+(B150+B151+B154+B153))/B156</f>
        <v>0.18131860236147909</v>
      </c>
      <c r="E160" s="72" t="s">
        <v>96</v>
      </c>
      <c r="F160" s="8"/>
      <c r="H160" s="8"/>
      <c r="I160" s="3"/>
      <c r="J160" s="18"/>
      <c r="K160" s="8"/>
      <c r="L160" s="4"/>
      <c r="M160" s="18"/>
      <c r="N160" s="20"/>
      <c r="O160" s="8"/>
      <c r="P160" s="8"/>
      <c r="Q160" s="21"/>
      <c r="R160" s="4"/>
      <c r="S160" s="8"/>
      <c r="T160" s="4"/>
      <c r="U160" s="22"/>
      <c r="V160" s="22"/>
      <c r="W160" s="23"/>
      <c r="X160" s="24"/>
      <c r="Y160" s="25"/>
      <c r="Z160" s="20"/>
    </row>
    <row r="161" spans="1:45" s="53" customFormat="1" x14ac:dyDescent="0.2">
      <c r="A161" s="52"/>
      <c r="B161" s="47"/>
      <c r="F161" s="8"/>
      <c r="H161" s="8"/>
      <c r="I161" s="3"/>
      <c r="J161" s="18"/>
      <c r="K161" s="8"/>
      <c r="L161" s="4"/>
      <c r="M161" s="18"/>
      <c r="N161" s="20"/>
      <c r="O161" s="8"/>
      <c r="P161" s="8"/>
      <c r="Q161" s="21"/>
      <c r="R161" s="4"/>
      <c r="S161" s="8"/>
      <c r="T161" s="4"/>
      <c r="U161" s="22"/>
      <c r="V161" s="22"/>
      <c r="W161" s="23"/>
      <c r="X161" s="24"/>
      <c r="Y161" s="25"/>
      <c r="Z161" s="20"/>
    </row>
    <row r="162" spans="1:45" ht="14.25" customHeight="1" x14ac:dyDescent="0.2">
      <c r="A162" s="14" t="s">
        <v>145</v>
      </c>
      <c r="B162" s="15">
        <v>10</v>
      </c>
      <c r="C162" s="3" t="s">
        <v>93</v>
      </c>
      <c r="D162" s="3"/>
      <c r="E162" s="4"/>
      <c r="F162" s="8"/>
      <c r="G162" s="3"/>
      <c r="H162" s="8"/>
      <c r="I162" s="3"/>
      <c r="J162" s="18"/>
      <c r="K162" s="8"/>
      <c r="L162" s="4"/>
      <c r="M162" s="18"/>
      <c r="N162" s="20"/>
      <c r="O162" s="8"/>
      <c r="P162" s="8"/>
      <c r="Q162" s="21"/>
      <c r="R162" s="4"/>
      <c r="S162" s="8"/>
      <c r="T162" s="4"/>
      <c r="U162" s="22"/>
      <c r="V162" s="22"/>
      <c r="W162" s="23"/>
      <c r="X162" s="24"/>
      <c r="Y162" s="25"/>
      <c r="Z162" s="20"/>
      <c r="AA162" s="4"/>
      <c r="AB162" s="4"/>
      <c r="AC162" s="4"/>
    </row>
    <row r="163" spans="1:45" ht="14.25" customHeight="1" x14ac:dyDescent="0.2">
      <c r="A163" s="3"/>
      <c r="C163" s="3"/>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45" ht="14.25" customHeight="1" x14ac:dyDescent="0.2">
      <c r="A164" s="3"/>
      <c r="B164" s="4"/>
      <c r="C164" s="3" t="s">
        <v>146</v>
      </c>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5" ht="14.25" customHeight="1" x14ac:dyDescent="0.2">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45" s="54" customFormat="1" x14ac:dyDescent="0.2">
      <c r="A166" s="54" t="s">
        <v>147</v>
      </c>
      <c r="B166" s="43" t="s">
        <v>148</v>
      </c>
    </row>
    <row r="167" spans="1:45" s="44" customFormat="1" ht="48" x14ac:dyDescent="0.2">
      <c r="A167" s="44" t="s">
        <v>149</v>
      </c>
      <c r="B167" s="51" t="s">
        <v>79</v>
      </c>
      <c r="C167" s="51" t="s">
        <v>81</v>
      </c>
      <c r="D167" s="51" t="s">
        <v>84</v>
      </c>
      <c r="E167" s="51" t="s">
        <v>85</v>
      </c>
      <c r="F167" s="51" t="s">
        <v>92</v>
      </c>
      <c r="G167" s="51" t="s">
        <v>95</v>
      </c>
      <c r="H167" s="51" t="s">
        <v>168</v>
      </c>
      <c r="I167" s="51" t="s">
        <v>169</v>
      </c>
      <c r="J167" s="51" t="s">
        <v>105</v>
      </c>
      <c r="K167" s="51" t="s">
        <v>107</v>
      </c>
      <c r="L167" s="51" t="s">
        <v>173</v>
      </c>
      <c r="M167" s="51" t="s">
        <v>174</v>
      </c>
      <c r="N167" s="51" t="s">
        <v>110</v>
      </c>
      <c r="O167" s="51" t="s">
        <v>111</v>
      </c>
      <c r="P167" s="51" t="s">
        <v>115</v>
      </c>
      <c r="Q167" s="51" t="s">
        <v>116</v>
      </c>
      <c r="R167" s="51" t="s">
        <v>120</v>
      </c>
      <c r="S167" s="51" t="s">
        <v>123</v>
      </c>
      <c r="T167" s="51" t="s">
        <v>177</v>
      </c>
      <c r="U167" s="51" t="s">
        <v>127</v>
      </c>
      <c r="V167" s="51" t="s">
        <v>130</v>
      </c>
      <c r="W167" s="51" t="s">
        <v>131</v>
      </c>
      <c r="X167" s="51" t="s">
        <v>162</v>
      </c>
      <c r="Y167" s="51" t="s">
        <v>178</v>
      </c>
      <c r="Z167" s="51" t="s">
        <v>179</v>
      </c>
      <c r="AA167" s="51" t="s">
        <v>180</v>
      </c>
      <c r="AB167" s="51" t="s">
        <v>181</v>
      </c>
      <c r="AC167" s="51" t="s">
        <v>137</v>
      </c>
      <c r="AD167" s="51" t="s">
        <v>140</v>
      </c>
      <c r="AE167" s="51" t="s">
        <v>140</v>
      </c>
      <c r="AF167" s="51" t="s">
        <v>141</v>
      </c>
      <c r="AG167" s="51" t="s">
        <v>142</v>
      </c>
      <c r="AH167" s="51" t="s">
        <v>143</v>
      </c>
      <c r="AI167" s="51" t="s">
        <v>151</v>
      </c>
      <c r="AJ167" s="51" t="s">
        <v>152</v>
      </c>
      <c r="AK167" s="51" t="s">
        <v>153</v>
      </c>
      <c r="AL167" s="51" t="s">
        <v>154</v>
      </c>
      <c r="AM167" s="51" t="s">
        <v>145</v>
      </c>
      <c r="AN167" s="51" t="s">
        <v>154</v>
      </c>
      <c r="AO167" s="51" t="s">
        <v>145</v>
      </c>
      <c r="AP167" s="44" t="s">
        <v>191</v>
      </c>
      <c r="AQ167" s="44" t="s">
        <v>198</v>
      </c>
      <c r="AR167" s="44" t="s">
        <v>185</v>
      </c>
      <c r="AS167" s="44" t="s">
        <v>209</v>
      </c>
    </row>
    <row r="168" spans="1:45" s="53" customFormat="1" x14ac:dyDescent="0.2">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row>
    <row r="169" spans="1:45" s="59" customFormat="1" x14ac:dyDescent="0.2">
      <c r="A169" s="56" t="s">
        <v>184</v>
      </c>
      <c r="B169" s="57">
        <v>2016</v>
      </c>
      <c r="C169" s="57">
        <v>1</v>
      </c>
      <c r="D169" s="57">
        <v>2016</v>
      </c>
      <c r="E169" s="57">
        <v>1</v>
      </c>
      <c r="F169" s="57">
        <v>1</v>
      </c>
      <c r="G169" s="57">
        <v>1</v>
      </c>
      <c r="H169" s="57">
        <v>-1</v>
      </c>
      <c r="I169" s="57">
        <v>1</v>
      </c>
      <c r="J169" s="57">
        <v>1</v>
      </c>
      <c r="K169" s="57">
        <v>1</v>
      </c>
      <c r="L169" s="57">
        <v>-1</v>
      </c>
      <c r="M169" s="57">
        <v>1</v>
      </c>
      <c r="N169" s="57">
        <v>-1</v>
      </c>
      <c r="O169" s="57">
        <v>1</v>
      </c>
      <c r="P169" s="57">
        <v>-1</v>
      </c>
      <c r="Q169" s="57">
        <v>1</v>
      </c>
      <c r="R169" s="57">
        <v>1</v>
      </c>
      <c r="S169" s="57">
        <v>1</v>
      </c>
      <c r="T169" s="57">
        <v>-1</v>
      </c>
      <c r="U169" s="57">
        <v>-1</v>
      </c>
      <c r="V169" s="57">
        <v>1</v>
      </c>
      <c r="W169" s="57">
        <v>1</v>
      </c>
      <c r="X169" s="57">
        <v>0.9</v>
      </c>
      <c r="Y169" s="58">
        <v>-1</v>
      </c>
      <c r="Z169" s="58">
        <v>-1</v>
      </c>
      <c r="AA169" s="57">
        <v>0.3</v>
      </c>
      <c r="AB169" s="57">
        <v>0.1</v>
      </c>
      <c r="AC169" s="57">
        <v>-1</v>
      </c>
      <c r="AD169" s="58">
        <v>1</v>
      </c>
      <c r="AE169" s="58">
        <v>1</v>
      </c>
      <c r="AF169" s="57">
        <v>1</v>
      </c>
      <c r="AG169" s="57">
        <v>-1</v>
      </c>
      <c r="AH169" s="57">
        <v>1</v>
      </c>
      <c r="AI169" s="57">
        <v>-1</v>
      </c>
      <c r="AJ169" s="57">
        <v>1</v>
      </c>
      <c r="AK169" s="57">
        <v>1</v>
      </c>
      <c r="AL169" s="57">
        <v>1</v>
      </c>
      <c r="AM169" s="57">
        <v>1</v>
      </c>
      <c r="AN169" s="57">
        <v>-1</v>
      </c>
      <c r="AO169" s="57">
        <v>1</v>
      </c>
      <c r="AP169" s="56">
        <v>1</v>
      </c>
      <c r="AQ169" s="59">
        <v>1</v>
      </c>
      <c r="AR169" s="59">
        <v>0</v>
      </c>
      <c r="AS169" s="59">
        <v>1</v>
      </c>
    </row>
    <row r="170" spans="1:45" s="53" customFormat="1" x14ac:dyDescent="0.2">
      <c r="B170" s="45"/>
    </row>
    <row r="171" spans="1:45" s="54" customFormat="1" x14ac:dyDescent="0.2">
      <c r="A171" s="54" t="s">
        <v>150</v>
      </c>
      <c r="B171" s="43"/>
    </row>
    <row r="172" spans="1:45" ht="14.25" customHeight="1" x14ac:dyDescent="0.2">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45"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5"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5"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5"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spans="1:29" ht="14.25" customHeight="1" x14ac:dyDescent="0.2">
      <c r="A1023" s="3"/>
      <c r="B1023" s="4"/>
      <c r="C1023" s="3"/>
      <c r="D1023" s="4"/>
      <c r="E1023" s="3"/>
      <c r="F1023" s="4"/>
      <c r="G1023" s="3"/>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spans="1:29" ht="14.25" customHeight="1" x14ac:dyDescent="0.2">
      <c r="A1024" s="3"/>
      <c r="B1024" s="4"/>
      <c r="C1024" s="3"/>
      <c r="D1024" s="4"/>
      <c r="E1024" s="3"/>
      <c r="F1024" s="4"/>
      <c r="G1024" s="3"/>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spans="1:29" ht="14.25" customHeight="1" x14ac:dyDescent="0.2">
      <c r="A1025" s="3"/>
      <c r="B1025" s="4"/>
      <c r="C1025" s="3"/>
      <c r="D1025" s="4"/>
      <c r="E1025" s="3"/>
      <c r="F1025" s="4"/>
      <c r="G1025" s="3"/>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spans="1:29" ht="14.25" customHeight="1" x14ac:dyDescent="0.2">
      <c r="A1026" s="3"/>
      <c r="B1026" s="4"/>
      <c r="C1026" s="3"/>
      <c r="D1026" s="4"/>
      <c r="E1026" s="3"/>
      <c r="F1026" s="4"/>
      <c r="G1026" s="3"/>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spans="1:29" ht="14.25" customHeight="1" x14ac:dyDescent="0.2">
      <c r="A1027" s="3"/>
      <c r="B1027" s="4"/>
      <c r="C1027" s="3"/>
      <c r="D1027" s="4"/>
      <c r="E1027" s="3"/>
      <c r="F1027" s="4"/>
      <c r="G1027" s="3"/>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spans="1:29" ht="14.25" customHeight="1" x14ac:dyDescent="0.2">
      <c r="A1028" s="3"/>
      <c r="B1028" s="4"/>
      <c r="C1028" s="3"/>
      <c r="D1028" s="4"/>
      <c r="E1028" s="3"/>
      <c r="F1028" s="4"/>
      <c r="G1028" s="3"/>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spans="1:29" ht="14.25" customHeight="1" x14ac:dyDescent="0.2">
      <c r="A1029" s="3"/>
      <c r="B1029" s="4"/>
      <c r="C1029" s="3"/>
      <c r="D1029" s="4"/>
      <c r="E1029" s="3"/>
      <c r="F1029" s="4"/>
      <c r="G1029" s="3"/>
      <c r="H1029" s="4"/>
      <c r="I1029" s="4"/>
      <c r="J1029" s="4"/>
      <c r="K1029" s="4"/>
      <c r="L1029" s="4"/>
      <c r="M1029" s="4"/>
      <c r="N1029" s="4"/>
      <c r="O1029" s="4"/>
      <c r="P1029" s="4"/>
      <c r="Q1029" s="4"/>
      <c r="R1029" s="4"/>
      <c r="S1029" s="4"/>
      <c r="T1029" s="4"/>
      <c r="U1029" s="4"/>
      <c r="V1029" s="4"/>
      <c r="W1029" s="4"/>
      <c r="X1029" s="4"/>
      <c r="Y1029" s="4"/>
      <c r="Z1029" s="4"/>
      <c r="AA1029" s="4"/>
      <c r="AB1029" s="4"/>
      <c r="AC1029" s="4"/>
    </row>
    <row r="1030" spans="1:29" ht="14.25" customHeight="1" x14ac:dyDescent="0.2">
      <c r="A1030" s="3"/>
      <c r="B1030" s="4"/>
      <c r="C1030" s="3"/>
      <c r="D1030" s="4"/>
      <c r="E1030" s="3"/>
      <c r="F1030" s="4"/>
      <c r="G1030" s="3"/>
      <c r="H1030" s="4"/>
      <c r="I1030" s="4"/>
      <c r="J1030" s="4"/>
      <c r="K1030" s="4"/>
      <c r="L1030" s="4"/>
      <c r="M1030" s="4"/>
      <c r="N1030" s="4"/>
      <c r="O1030" s="4"/>
      <c r="P1030" s="4"/>
      <c r="Q1030" s="4"/>
      <c r="R1030" s="4"/>
      <c r="S1030" s="4"/>
      <c r="T1030" s="4"/>
      <c r="U1030" s="4"/>
      <c r="V1030" s="4"/>
      <c r="W1030" s="4"/>
      <c r="X1030" s="4"/>
      <c r="Y1030" s="4"/>
      <c r="Z1030" s="4"/>
      <c r="AA1030" s="4"/>
      <c r="AB1030" s="4"/>
      <c r="AC1030"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case_input_test_190726</vt:lpstr>
      <vt:lpstr>Btu_per_kWh</vt:lpstr>
      <vt:lpstr>DISCOUNT_RATE</vt:lpstr>
      <vt:lpstr>HOURS_PER_YEAR</vt:lpstr>
      <vt:lpstr>MMBtu_per_Gallon_Gasoline</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2019-07-02T23:26:35Z</dcterms:created>
  <dcterms:modified xsi:type="dcterms:W3CDTF">2020-02-09T22:28:03Z</dcterms:modified>
</cp:coreProperties>
</file>