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ruggles/SEM-1.2_CIW/"/>
    </mc:Choice>
  </mc:AlternateContent>
  <xr:revisionPtr revIDLastSave="0" documentId="13_ncr:1_{57F09A06-9F16-234D-8454-D25BFB951560}" xr6:coauthVersionLast="45" xr6:coauthVersionMax="45" xr10:uidLastSave="{00000000-0000-0000-0000-000000000000}"/>
  <bookViews>
    <workbookView xWindow="-10760" yWindow="-25080" windowWidth="41760" windowHeight="2200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05" i="1" l="1"/>
  <c r="V110" i="1" l="1"/>
  <c r="Z115" i="1"/>
  <c r="T115" i="1"/>
  <c r="X115" i="1"/>
  <c r="R115" i="1"/>
  <c r="N114" i="1"/>
  <c r="Z110" i="1" l="1"/>
  <c r="V112" i="1"/>
  <c r="F126" i="1" l="1"/>
  <c r="F119" i="1"/>
  <c r="D131" i="1"/>
  <c r="D124" i="1"/>
  <c r="G126" i="1"/>
  <c r="G119" i="1"/>
  <c r="L114" i="1"/>
  <c r="G114" i="1"/>
  <c r="G109" i="1"/>
  <c r="L109" i="1"/>
  <c r="L81" i="1"/>
  <c r="L87" i="1"/>
  <c r="L99" i="1"/>
  <c r="L93" i="1"/>
  <c r="G99" i="1"/>
  <c r="G93" i="1"/>
  <c r="G87" i="1"/>
  <c r="G81" i="1"/>
  <c r="B49" i="1" l="1"/>
  <c r="B155" i="1"/>
  <c r="E158" i="1" l="1"/>
  <c r="Q137" i="1" l="1"/>
  <c r="E123" i="1" l="1"/>
  <c r="Z121" i="1"/>
  <c r="B121" i="1" s="1"/>
  <c r="Q121" i="1"/>
  <c r="Z120" i="1"/>
  <c r="B120" i="1" s="1"/>
  <c r="Q120" i="1"/>
  <c r="J119" i="1"/>
  <c r="M119" i="1" s="1"/>
  <c r="I119" i="1"/>
  <c r="X88" i="1" l="1"/>
  <c r="T88" i="1"/>
  <c r="Q88" i="1"/>
  <c r="J87" i="1"/>
  <c r="M87" i="1" s="1"/>
  <c r="I87" i="1"/>
  <c r="X100" i="1" l="1"/>
  <c r="T100" i="1"/>
  <c r="Q100" i="1"/>
  <c r="J99" i="1"/>
  <c r="M99" i="1" s="1"/>
  <c r="I99" i="1"/>
  <c r="X94" i="1" l="1"/>
  <c r="T94" i="1"/>
  <c r="Q94" i="1"/>
  <c r="J93" i="1"/>
  <c r="M93" i="1" s="1"/>
  <c r="I93" i="1"/>
  <c r="X82" i="1"/>
  <c r="T82" i="1"/>
  <c r="Q82" i="1"/>
  <c r="J81" i="1"/>
  <c r="M81" i="1" s="1"/>
  <c r="I81" i="1"/>
  <c r="B145" i="1" l="1"/>
  <c r="B144" i="1"/>
  <c r="B143" i="1"/>
  <c r="D142" i="1"/>
  <c r="D139" i="1" l="1"/>
  <c r="E138" i="1"/>
  <c r="Z137" i="1"/>
  <c r="B137" i="1" s="1"/>
  <c r="Z136" i="1"/>
  <c r="B136" i="1" s="1"/>
  <c r="Q136" i="1"/>
  <c r="J135" i="1"/>
  <c r="M135" i="1" s="1"/>
  <c r="G135" i="1"/>
  <c r="J134" i="1"/>
  <c r="M134" i="1" s="1"/>
  <c r="G134" i="1"/>
  <c r="J133" i="1"/>
  <c r="M133" i="1" s="1"/>
  <c r="G133" i="1"/>
  <c r="E130" i="1"/>
  <c r="Z128" i="1"/>
  <c r="B128" i="1" s="1"/>
  <c r="Q128" i="1"/>
  <c r="Z127" i="1"/>
  <c r="B127" i="1" s="1"/>
  <c r="Q127" i="1"/>
  <c r="J126" i="1"/>
  <c r="M126" i="1" s="1"/>
  <c r="I126" i="1"/>
  <c r="Q115" i="1"/>
  <c r="J114" i="1"/>
  <c r="M114" i="1" s="1"/>
  <c r="I114" i="1"/>
  <c r="X110" i="1"/>
  <c r="T110" i="1"/>
  <c r="R110" i="1"/>
  <c r="Q110" i="1"/>
  <c r="J109" i="1"/>
  <c r="M109" i="1" s="1"/>
  <c r="I109" i="1"/>
  <c r="X105" i="1"/>
  <c r="T105" i="1"/>
  <c r="R105" i="1"/>
  <c r="Q105" i="1"/>
  <c r="L104" i="1"/>
  <c r="J104" i="1"/>
  <c r="M104" i="1" s="1"/>
  <c r="I104" i="1"/>
  <c r="G104" i="1"/>
  <c r="B48" i="1"/>
  <c r="C46" i="1"/>
  <c r="B159" i="1" l="1"/>
  <c r="B47" i="1"/>
  <c r="U100" i="1" s="1"/>
  <c r="V100" i="1" s="1"/>
  <c r="Z100" i="1" s="1"/>
  <c r="B100" i="1" s="1"/>
  <c r="B123" i="1"/>
  <c r="N119" i="1"/>
  <c r="B119" i="1" s="1"/>
  <c r="N99" i="1"/>
  <c r="B99" i="1" s="1"/>
  <c r="N87" i="1"/>
  <c r="B87" i="1" s="1"/>
  <c r="N81" i="1"/>
  <c r="B81" i="1" s="1"/>
  <c r="N93" i="1"/>
  <c r="B93" i="1" s="1"/>
  <c r="N134" i="1"/>
  <c r="B134" i="1" s="1"/>
  <c r="B114" i="1"/>
  <c r="N109" i="1"/>
  <c r="B109" i="1" s="1"/>
  <c r="N126" i="1"/>
  <c r="B126" i="1" s="1"/>
  <c r="N104" i="1"/>
  <c r="B104" i="1" s="1"/>
  <c r="N135" i="1"/>
  <c r="B135" i="1" s="1"/>
  <c r="N133" i="1"/>
  <c r="B133" i="1" s="1"/>
  <c r="B130" i="1"/>
  <c r="B138" i="1"/>
  <c r="B158" i="1" s="1"/>
  <c r="U110" i="1"/>
  <c r="B110" i="1" s="1"/>
  <c r="U88" i="1" l="1"/>
  <c r="V88" i="1" s="1"/>
  <c r="Z88" i="1" s="1"/>
  <c r="B88" i="1" s="1"/>
  <c r="U115" i="1"/>
  <c r="V115" i="1" s="1"/>
  <c r="B115" i="1" s="1"/>
  <c r="U94" i="1"/>
  <c r="V94" i="1" s="1"/>
  <c r="Z94" i="1" s="1"/>
  <c r="B94" i="1" s="1"/>
  <c r="U105" i="1"/>
  <c r="V105" i="1" s="1"/>
  <c r="B105" i="1" s="1"/>
  <c r="U82" i="1"/>
  <c r="V82" i="1" s="1"/>
  <c r="Z82" i="1" s="1"/>
  <c r="B82" i="1" s="1"/>
</calcChain>
</file>

<file path=xl/sharedStrings.xml><?xml version="1.0" encoding="utf-8"?>
<sst xmlns="http://schemas.openxmlformats.org/spreadsheetml/2006/main" count="343" uniqueCount="211">
  <si>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</si>
  <si>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</si>
  <si>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</si>
  <si>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</si>
  <si>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</si>
  <si>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</si>
  <si>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</si>
  <si>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</si>
  <si>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</si>
  <si>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</si>
  <si>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</si>
  <si>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</si>
  <si>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</si>
  <si>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</si>
  <si>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</si>
  <si>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</si>
  <si>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</si>
  <si>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</si>
  <si>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</si>
  <si>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</si>
  <si>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</si>
  <si>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</si>
  <si>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</si>
  <si>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</si>
  <si>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</si>
  <si>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</si>
  <si>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</si>
  <si>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</si>
  <si>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</si>
  <si>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</si>
  <si>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</si>
  <si>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</si>
  <si>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</si>
  <si>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</si>
  <si>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</si>
  <si>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</si>
  <si>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</si>
  <si>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</si>
  <si>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</si>
  <si>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</si>
  <si>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</si>
  <si>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</si>
  <si>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</si>
  <si>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</si>
  <si>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</si>
  <si>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</si>
  <si>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</si>
  <si>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</si>
  <si>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</si>
  <si>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</si>
  <si>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</si>
  <si>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</si>
  <si>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</si>
  <si>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</si>
  <si>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</si>
  <si>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</si>
  <si>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</si>
  <si>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</si>
  <si>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</si>
  <si>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</si>
  <si>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</si>
  <si>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</si>
  <si>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</si>
  <si>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</si>
  <si>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</si>
  <si>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</si>
  <si>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</si>
  <si>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</si>
  <si>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</si>
  <si>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</si>
  <si>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</si>
  <si>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</si>
  <si>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</si>
  <si>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</si>
  <si>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</si>
  <si>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</si>
  <si>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</si>
  <si>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</si>
  <si>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</si>
  <si>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</si>
  <si>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</si>
  <si>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</si>
  <si>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</si>
  <si>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</si>
  <si>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</si>
  <si>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</si>
  <si>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</si>
  <si>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</si>
  <si>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</si>
  <si>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</si>
  <si>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</si>
  <si>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</si>
  <si>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</si>
  <si>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</si>
  <si>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</si>
  <si>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</si>
  <si>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</si>
  <si>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</si>
  <si>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</si>
  <si>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</si>
  <si>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</si>
  <si>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</si>
  <si>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</si>
  <si>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</si>
  <si>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</si>
  <si>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</si>
  <si>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</si>
  <si>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</si>
  <si>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</si>
  <si>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</si>
  <si>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</si>
  <si>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</si>
  <si>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</si>
  <si>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</si>
  <si>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</si>
  <si>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</si>
  <si>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</si>
  <si>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</si>
  <si>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</si>
  <si>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</si>
  <si>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</si>
  <si>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VAR_COST_NUCLEAR</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</si>
  <si>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</si>
  <si>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</si>
  <si>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</si>
  <si>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</si>
  <si>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</si>
  <si>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</si>
  <si>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</si>
  <si>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</si>
  <si>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</si>
  <si>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</si>
  <si>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</si>
  <si>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</si>
  <si>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</si>
  <si>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</si>
  <si>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</si>
  <si>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</si>
  <si>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</si>
  <si>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</si>
  <si>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</si>
  <si>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</si>
  <si>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</si>
  <si>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</si>
  <si>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</si>
  <si>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</si>
  <si>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</si>
  <si>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</si>
  <si>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</si>
  <si>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</si>
  <si>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</si>
  <si>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</si>
  <si>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</si>
  <si>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</si>
  <si>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</si>
  <si>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</si>
  <si>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</si>
  <si>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</si>
  <si>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</si>
  <si>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</si>
  <si>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</si>
  <si>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</si>
  <si>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</si>
  <si>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</si>
  <si>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</si>
  <si>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</si>
  <si>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</si>
  <si>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</si>
  <si>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</si>
  <si>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</si>
  <si>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</si>
  <si>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</si>
  <si>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</si>
  <si>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</si>
  <si>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</si>
  <si>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</si>
  <si>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</si>
  <si>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</si>
  <si>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</si>
  <si>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</si>
  <si>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</si>
  <si>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</si>
  <si>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</si>
  <si>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</si>
  <si>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</si>
  <si>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</si>
  <si>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</si>
  <si>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</si>
  <si>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VAR_COST_FUEL_CHEM_PLANT</t>
  </si>
  <si>
    <t>VAR_COST_FUEL_CO2</t>
  </si>
  <si>
    <t>VAR_COST_FUEL_ELECTROLYZER</t>
  </si>
  <si>
    <t>*Small, but non-zero value</t>
  </si>
  <si>
    <t>FIXED_COST_FUEL_H2_STORAGE</t>
  </si>
  <si>
    <t>DECAY_RATE_FUEL_H2_STORAGE</t>
  </si>
  <si>
    <t>EFFICIENCY_FUEL_ELECTROLYZER</t>
  </si>
  <si>
    <t>FUEL_DEMAND</t>
  </si>
  <si>
    <t>MWh</t>
  </si>
  <si>
    <t>test_190829_v6</t>
  </si>
  <si>
    <t>EFFICIENCY_FUEL_CHEM_CONVERSION</t>
  </si>
  <si>
    <t>table 2, eta_CCE, D.H. König et al. / Fuel 159 (2015) 289–297</t>
  </si>
  <si>
    <t>All Fuels details see: https://github.com/truggles/SEM-1.2/blob/fb647ddfbc28d07b326d2e3c031ab7fb8d3e48fb/analytic_fuels.py</t>
  </si>
  <si>
    <t>FIXED_COST_FUEL_COMPRESSOR</t>
  </si>
  <si>
    <t>($/h)/kW (added to Electrolyzer b/c same scaling)</t>
  </si>
  <si>
    <t>SYSTEM_RELIABILITY</t>
  </si>
  <si>
    <t>Input_Data/Lei_Solar_Wind</t>
  </si>
  <si>
    <t>US_demand_unnormalized.csv</t>
  </si>
  <si>
    <t>US_capacity_solar_25pctTop_unnormalized.csv</t>
  </si>
  <si>
    <t>US_capacity_wind_25pctTop_unnormalized.csv</t>
  </si>
  <si>
    <t>Capital Cost Comparison—Nameplate Energy ($/kWh), take middle of 1:4 P/E battery and assume 90% efficicy split between input and output</t>
  </si>
  <si>
    <t>See electrolyzer + compressor calculation in "Electricity_system_and_electrofuel_costs_EIA_and_Lazard_and_Konig.xlsx"</t>
  </si>
  <si>
    <t>11.7 for battery is 0.25$/ kWh annual O&amp;M + annual cost of augmentation of 2.5% of initial FCI + warranty of 0.8% of FCI where FCI is based on the nameplate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</si>
</sst>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10" x14ac:knownFonts="1">
    <font>
      <sz val="11"/>
      <color rgb="FF000000"/>
      <name val="Calibri"/>
    </font>
    <font>
      <b/>
      <sz val="11"/>
      <color rgb="FF000000"/>
      <name val="Calibri"/>
      <family val="2"/>
    </font>
    <font>
      <u/>
      <sz val="11"/>
      <color rgb="FF0563C1"/>
      <name val="Calibri"/>
      <family val="2"/>
    </font>
    <font>
      <sz val="11"/>
      <color rgb="FFFF0000"/>
      <name val="Calibri"/>
      <family val="2"/>
    </font>
    <font>
      <u/>
      <sz val="11"/>
      <color rgb="FF0563C1"/>
      <name val="Calibri"/>
      <family val="2"/>
    </font>
    <font>
      <sz val="11"/>
      <name val="Calibri"/>
      <family val="2"/>
    </font>
    <font>
      <sz val="11"/>
      <color rgb="FF000000"/>
      <name val="Calibri"/>
      <family val="2"/>
    </font>
    <font>
      <sz val="11"/>
      <color theme="1"/>
      <name val="Calibri"/>
      <family val="2"/>
    </font>
    <font>
      <sz val="11"/>
      <color rgb="FF000000"/>
      <name val="Calibri"/>
      <family val="2"/>
    </font>
    <font>
      <u/>
      <sz val="11"/>
      <color theme="10"/>
      <name val="Calibri"/>
      <family val="2"/>
    </font>
  </fonts>
  <fills count="15">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rgb="FFFFFF00"/>
      </patternFill>
    </fill>
    <fill>
      <patternFill patternType="solid">
        <fgColor theme="7" tint="0.39997558519241921"/>
        <bgColor rgb="FFFF0000"/>
      </patternFill>
    </fill>
  </fills>
  <borders count="2">
    <border>
      <left/>
      <right/>
      <top/>
      <bottom/>
      <diagonal/>
    </border>
    <border>
      <left/>
      <right/>
      <top/>
      <bottom/>
      <diagonal/>
    </border>
  </borders>
  <cellStyleXfs count="3">
    <xf numFmtId="0" fontId="0" fillId="0" borderId="0"/>
    <xf numFmtId="0" fontId="6" fillId="0" borderId="1"/>
    <xf numFmtId="0" fontId="9" fillId="0" borderId="0" applyNumberFormat="0" applyFill="0" applyBorder="0" applyAlignment="0" applyProtection="0"/>
  </cellStyleXfs>
  <cellXfs count="79">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9" borderId="0" xfId="0" applyFill="1" applyAlignment="1">
      <alignment horizontal="left"/>
    </xf>
    <xf numFmtId="0" fontId="0" fillId="10" borderId="0" xfId="0" applyFill="1" applyAlignment="1">
      <alignment wrapText="1"/>
    </xf>
    <xf numFmtId="0" fontId="0" fillId="0" borderId="0" xfId="0" applyAlignment="1">
      <alignment horizontal="left"/>
    </xf>
    <xf numFmtId="0" fontId="0" fillId="11" borderId="0" xfId="0" applyFill="1" applyAlignment="1">
      <alignment horizontal="left"/>
    </xf>
    <xf numFmtId="0" fontId="0" fillId="11" borderId="0" xfId="0" applyFill="1" applyAlignment="1">
      <alignment horizontal="right"/>
    </xf>
    <xf numFmtId="166" fontId="0" fillId="11" borderId="0" xfId="0" applyNumberFormat="1" applyFill="1" applyAlignment="1">
      <alignment horizontal="right"/>
    </xf>
    <xf numFmtId="11" fontId="0" fillId="11" borderId="0" xfId="0" applyNumberFormat="1" applyFill="1" applyAlignment="1">
      <alignment horizontal="right"/>
    </xf>
    <xf numFmtId="0" fontId="0" fillId="7" borderId="1" xfId="0" applyFont="1" applyFill="1" applyBorder="1" applyAlignment="1">
      <alignment horizontal="left"/>
    </xf>
    <xf numFmtId="0" fontId="0" fillId="10" borderId="0" xfId="0" applyFill="1" applyAlignment="1">
      <alignment horizontal="center" wrapText="1"/>
    </xf>
    <xf numFmtId="0" fontId="0" fillId="10" borderId="0" xfId="0" applyFill="1" applyAlignment="1"/>
    <xf numFmtId="0" fontId="0" fillId="0" borderId="0" xfId="0" applyAlignment="1"/>
    <xf numFmtId="0" fontId="0" fillId="9" borderId="0" xfId="0" applyFill="1" applyAlignment="1"/>
    <xf numFmtId="0" fontId="0" fillId="0" borderId="0" xfId="0" applyAlignment="1">
      <alignment horizontal="center"/>
    </xf>
    <xf numFmtId="0" fontId="6" fillId="11" borderId="1" xfId="1" applyFill="1" applyAlignment="1"/>
    <xf numFmtId="0" fontId="6" fillId="11" borderId="1" xfId="1" applyFill="1" applyAlignment="1">
      <alignment horizontal="center"/>
    </xf>
    <xf numFmtId="0" fontId="0" fillId="11" borderId="0" xfId="0" applyFill="1" applyAlignment="1">
      <alignment horizontal="center"/>
    </xf>
    <xf numFmtId="0" fontId="0" fillId="11"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1" borderId="0" xfId="0" applyNumberFormat="1" applyFill="1" applyAlignment="1">
      <alignment horizontal="right"/>
    </xf>
    <xf numFmtId="0" fontId="0" fillId="12" borderId="0" xfId="0" applyFill="1" applyAlignment="1"/>
    <xf numFmtId="0" fontId="0" fillId="0" borderId="0" xfId="0" applyFill="1" applyAlignment="1"/>
    <xf numFmtId="0" fontId="6" fillId="10" borderId="0" xfId="0" applyFont="1" applyFill="1" applyAlignment="1"/>
    <xf numFmtId="0" fontId="6" fillId="0" borderId="0" xfId="0" applyFont="1" applyAlignment="1"/>
    <xf numFmtId="0" fontId="1" fillId="0" borderId="0" xfId="0" applyFont="1" applyAlignment="1"/>
    <xf numFmtId="0" fontId="7" fillId="0" borderId="0" xfId="0" applyFont="1" applyFill="1" applyAlignment="1"/>
    <xf numFmtId="168" fontId="0" fillId="0" borderId="0" xfId="0" applyNumberFormat="1" applyFont="1" applyFill="1" applyAlignment="1">
      <alignment horizontal="right"/>
    </xf>
    <xf numFmtId="0" fontId="8" fillId="0" borderId="0" xfId="0" applyFont="1" applyFill="1" applyAlignment="1"/>
    <xf numFmtId="0" fontId="9" fillId="0" borderId="0" xfId="2" applyAlignment="1">
      <alignment horizontal="left"/>
    </xf>
    <xf numFmtId="0" fontId="6" fillId="0" borderId="0" xfId="0" applyFont="1" applyAlignment="1">
      <alignment horizontal="left"/>
    </xf>
    <xf numFmtId="167" fontId="5" fillId="13" borderId="1" xfId="0" applyNumberFormat="1" applyFont="1" applyFill="1" applyBorder="1" applyAlignment="1">
      <alignment horizontal="right"/>
    </xf>
    <xf numFmtId="11" fontId="0" fillId="14" borderId="1" xfId="0" applyNumberFormat="1" applyFont="1" applyFill="1" applyBorder="1" applyAlignment="1">
      <alignment horizontal="right"/>
    </xf>
    <xf numFmtId="0" fontId="1" fillId="0" borderId="0" xfId="0" applyFont="1"/>
  </cellXfs>
  <cellStyles count="3">
    <cellStyle name="Hyperlink" xfId="2" builtinId="8"/>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31"/>
  <sheetViews>
    <sheetView tabSelected="1" topLeftCell="AN148" zoomScale="120" zoomScaleNormal="120" workbookViewId="0">
      <selection activeCell="AW172" sqref="AW172"/>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v>8760</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183</v>
      </c>
      <c r="B49" s="8">
        <f>114000/10^6</f>
        <v>0.114</v>
      </c>
      <c r="C49" s="51" t="s">
        <v>185</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197</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204</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4" customFormat="1" ht="115" customHeight="1" x14ac:dyDescent="0.2">
      <c r="A62" s="58"/>
      <c r="B62" s="59" t="s">
        <v>48</v>
      </c>
      <c r="C62" s="58" t="s">
        <v>49</v>
      </c>
      <c r="D62" s="59" t="s">
        <v>50</v>
      </c>
      <c r="E62" s="59"/>
      <c r="F62" s="60" t="s">
        <v>51</v>
      </c>
      <c r="G62" s="59" t="s">
        <v>52</v>
      </c>
      <c r="H62" s="60" t="s">
        <v>53</v>
      </c>
      <c r="I62" s="59" t="s">
        <v>54</v>
      </c>
      <c r="J62" s="61" t="s">
        <v>55</v>
      </c>
      <c r="K62" s="60" t="s">
        <v>56</v>
      </c>
      <c r="L62" s="59" t="s">
        <v>57</v>
      </c>
      <c r="M62" s="61" t="s">
        <v>58</v>
      </c>
      <c r="N62" s="62" t="s">
        <v>59</v>
      </c>
      <c r="O62" s="60" t="s">
        <v>60</v>
      </c>
      <c r="P62" s="60" t="s">
        <v>61</v>
      </c>
      <c r="Q62" s="63" t="s">
        <v>62</v>
      </c>
      <c r="R62" s="59" t="s">
        <v>63</v>
      </c>
      <c r="S62" s="60" t="s">
        <v>64</v>
      </c>
      <c r="T62" s="59" t="s">
        <v>65</v>
      </c>
      <c r="U62" s="61" t="s">
        <v>66</v>
      </c>
      <c r="V62" s="61" t="s">
        <v>67</v>
      </c>
      <c r="W62" s="60" t="s">
        <v>68</v>
      </c>
      <c r="X62" s="59" t="s">
        <v>69</v>
      </c>
      <c r="Y62" s="60" t="s">
        <v>70</v>
      </c>
      <c r="Z62" s="62" t="s">
        <v>71</v>
      </c>
      <c r="AA62" s="59"/>
      <c r="AB62" s="59"/>
      <c r="AC62" s="59"/>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205</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2017</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2017</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48" t="s">
        <v>206</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1.3978367930740754E-2</v>
      </c>
      <c r="C81" s="3" t="s">
        <v>93</v>
      </c>
      <c r="D81" s="3" t="s">
        <v>94</v>
      </c>
      <c r="E81" s="4"/>
      <c r="F81" s="8">
        <v>1331</v>
      </c>
      <c r="G81" s="74" t="str">
        <f>HYPERLINK("https://www.eia.gov/outlooks/aeo/assumptions/pdf/electricity.pdf","EIA, AEO2020, Electricity Market Module, Table 2")</f>
        <v>EIA, AEO2020,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15.19</v>
      </c>
      <c r="L81" s="74" t="str">
        <f>HYPERLINK("https://www.eia.gov/outlooks/aeo/assumptions/pdf/electricity.pdf","EIA, AEO2020, Electricity Market Module, Table 2")</f>
        <v>EIA, AEO2020, Electricity Market Module, Table 2</v>
      </c>
      <c r="M81" s="28">
        <f>F81*J81+K81</f>
        <v>122.450503073289</v>
      </c>
      <c r="N81" s="29">
        <f>M81/HOURS_PER_YEAR</f>
        <v>1.3978367930740754E-2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163</v>
      </c>
      <c r="B86" s="48" t="s">
        <v>206</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164</v>
      </c>
      <c r="B87" s="26">
        <f>N87</f>
        <v>1.3978367930740754E-2</v>
      </c>
      <c r="C87" s="3" t="s">
        <v>93</v>
      </c>
      <c r="D87" s="3" t="s">
        <v>94</v>
      </c>
      <c r="E87" s="4"/>
      <c r="F87" s="8">
        <v>1331</v>
      </c>
      <c r="G87" s="74" t="str">
        <f>HYPERLINK("https://www.eia.gov/outlooks/aeo/assumptions/pdf/electricity.pdf","EIA, AEO2020, Electricity Market Module, Table 2")</f>
        <v>EIA, AEO2020,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15.19</v>
      </c>
      <c r="L87" s="74" t="str">
        <f>HYPERLINK("https://www.eia.gov/outlooks/aeo/assumptions/pdf/electricity.pdf","EIA, AEO2020, Electricity Market Module, Table 2")</f>
        <v>EIA, AEO2020, Electricity Market Module, Table 2</v>
      </c>
      <c r="M87" s="28">
        <f>F87*J87+K87</f>
        <v>122.450503073289</v>
      </c>
      <c r="N87" s="29">
        <f>M87/HOURS_PER_YEAR</f>
        <v>1.3978367930740754E-2</v>
      </c>
      <c r="O87" s="8"/>
      <c r="P87" s="8"/>
      <c r="Q87" s="21"/>
      <c r="R87" s="4"/>
      <c r="S87" s="8"/>
      <c r="T87" s="4"/>
      <c r="U87" s="22"/>
      <c r="V87" s="22"/>
      <c r="W87" s="23"/>
      <c r="X87" s="24"/>
      <c r="Y87" s="25"/>
      <c r="Z87" s="20"/>
      <c r="AA87" s="4"/>
      <c r="AB87" s="4"/>
      <c r="AC87" s="4"/>
    </row>
    <row r="88" spans="1:29" ht="14.25" customHeight="1" x14ac:dyDescent="0.2">
      <c r="A88" s="14" t="s">
        <v>165</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166</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167</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48" t="s">
        <v>207</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1.5127108017255213E-2</v>
      </c>
      <c r="C93" s="3" t="s">
        <v>93</v>
      </c>
      <c r="D93" s="3" t="s">
        <v>106</v>
      </c>
      <c r="E93" s="4"/>
      <c r="F93" s="8">
        <v>1319</v>
      </c>
      <c r="G93" s="74" t="str">
        <f>HYPERLINK("https://www.eia.gov/outlooks/aeo/assumptions/pdf/electricity.pdf","EIA, AEO2020, Electricity Market Module, Table 2")</f>
        <v>EIA, AEO2020,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26.22</v>
      </c>
      <c r="L93" s="74" t="str">
        <f>HYPERLINK("https://www.eia.gov/outlooks/aeo/assumptions/pdf/electricity.pdf","EIA, AEO2020, Electricity Market Module, Table 2")</f>
        <v>EIA, AEO2020, Electricity Market Module, Table 2</v>
      </c>
      <c r="M93" s="28">
        <f>F93*J93+K93</f>
        <v>132.51346623115566</v>
      </c>
      <c r="N93" s="29">
        <f>M93/HOURS_PER_YEAR</f>
        <v>1.5127108017255213E-2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168</v>
      </c>
      <c r="B98" s="48" t="s">
        <v>207</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169</v>
      </c>
      <c r="B99" s="26">
        <f>N99</f>
        <v>1.5127108017255213E-2</v>
      </c>
      <c r="C99" s="3" t="s">
        <v>93</v>
      </c>
      <c r="D99" s="3" t="s">
        <v>106</v>
      </c>
      <c r="E99" s="4"/>
      <c r="F99" s="8">
        <v>1319</v>
      </c>
      <c r="G99" s="74" t="str">
        <f>HYPERLINK("https://www.eia.gov/outlooks/aeo/assumptions/pdf/electricity.pdf","EIA, AEO2020, Electricity Market Module, Table 2")</f>
        <v>EIA, AEO2020,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26.22</v>
      </c>
      <c r="L99" s="74" t="str">
        <f>HYPERLINK("https://www.eia.gov/outlooks/aeo/assumptions/pdf/electricity.pdf","EIA, AEO2020, Electricity Market Module, Table 2")</f>
        <v>EIA, AEO2020, Electricity Market Module, Table 2</v>
      </c>
      <c r="M99" s="28">
        <f>F99*J99+K99</f>
        <v>132.51346623115566</v>
      </c>
      <c r="N99" s="29">
        <f>M99/HOURS_PER_YEAR</f>
        <v>1.5127108017255213E-2</v>
      </c>
      <c r="O99" s="8"/>
      <c r="P99" s="8"/>
      <c r="Q99" s="21"/>
      <c r="R99" s="4"/>
      <c r="S99" s="8"/>
      <c r="T99" s="4"/>
      <c r="U99" s="22"/>
      <c r="V99" s="22"/>
      <c r="W99" s="23"/>
      <c r="X99" s="24"/>
      <c r="Y99" s="25"/>
      <c r="Z99" s="31"/>
      <c r="AA99" s="4"/>
      <c r="AB99" s="4"/>
      <c r="AC99" s="4"/>
    </row>
    <row r="100" spans="1:29" ht="14.25" customHeight="1" x14ac:dyDescent="0.2">
      <c r="A100" s="14" t="s">
        <v>170</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171</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172</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1.1849754917794188E-2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1.1849754917794188E-2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2.2590000000000002E-2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V105+W105/1000+Y105</f>
        <v>2.2590000000000002E-2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3.0819112583838341E-2</v>
      </c>
      <c r="C109" s="3" t="s">
        <v>93</v>
      </c>
      <c r="D109" s="3"/>
      <c r="E109" s="4"/>
      <c r="F109" s="8">
        <v>2569</v>
      </c>
      <c r="G109" s="74" t="str">
        <f>HYPERLINK("https://www.eia.gov/outlooks/aeo/assumptions/pdf/electricity.pdf","EIA, AEO2020, Electricity Market Module, Table 2")</f>
        <v>EIA, AEO2020,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27.48</v>
      </c>
      <c r="L109" s="74" t="str">
        <f>HYPERLINK("https://www.eia.gov/outlooks/aeo/assumptions/pdf/electricity.pdf","EIA, AEO2020, Electricity Market Module, Table 2")</f>
        <v>EIA, AEO2020, Electricity Market Module, Table 2</v>
      </c>
      <c r="M109" s="28">
        <f>F109*J109+K109</f>
        <v>269.97542623442388</v>
      </c>
      <c r="N109" s="29">
        <f>M109/HOURS_PER_YEAR</f>
        <v>3.0819112583838341E-2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2.7192000000000001E-2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7124</v>
      </c>
      <c r="T110" s="9" t="str">
        <f>HYPERLINK("https://www.eia.gov/outlooks/aeo/assumptions/pdf/electricity.pdf","EIA, AEO2018, Electricity Market Module, Table 2")</f>
        <v>EIA, AEO2018, Electricity Market Module, Table 2</v>
      </c>
      <c r="U110" s="22">
        <f>1/S110*Btu_per_kWh</f>
        <v>0.47896429437506205</v>
      </c>
      <c r="V110" s="22">
        <f>(O110/MWh_per_MMBtu/1000)/U110 + P110/1000</f>
        <v>2.1371999999999999E-2</v>
      </c>
      <c r="W110" s="23">
        <v>5.82</v>
      </c>
      <c r="X110" s="9" t="str">
        <f>HYPERLINK("https://www.eia.gov/outlooks/aeo/assumptions/pdf/electricity.pdf","EIA, AEO2018, Electricity Market Module, Table 2")</f>
        <v>EIA, AEO2018, Electricity Market Module, Table 2</v>
      </c>
      <c r="Y110" s="25">
        <v>0</v>
      </c>
      <c r="Z110" s="31">
        <f>V110+W110/1000+Y110</f>
        <v>2.7192000000000001E-2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f>(O110/MWh_per_MMBtu/1000)/U110 + P110/1000</f>
        <v>2.1371999999999999E-2</v>
      </c>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6.7918119893218776E-2</v>
      </c>
      <c r="C114" s="3" t="s">
        <v>93</v>
      </c>
      <c r="D114" s="30"/>
      <c r="E114" s="4"/>
      <c r="F114" s="8">
        <v>6317</v>
      </c>
      <c r="G114" s="74" t="str">
        <f>HYPERLINK("https://www.eia.gov/outlooks/aeo/assumptions/pdf/electricity.pdf","EIA, AEO2020, Electricity Market Module, Table 2")</f>
        <v>EIA, AEO2020, Electricity Market Module, Table 2</v>
      </c>
      <c r="H114" s="8">
        <v>40</v>
      </c>
      <c r="I114" s="9" t="str">
        <f>HYPERLINK("https://www.eia.gov/todayinenergy/detail.php?id=19091","EIA, 2014; NRC, 2018")</f>
        <v>EIA, 2014; NRC, 2018</v>
      </c>
      <c r="J114" s="27">
        <f>DISCOUNT_RATE*(1+DISCOUNT_RATE)^H114/((1+DISCOUNT_RATE)^H114-1)</f>
        <v>7.5009138873610326E-2</v>
      </c>
      <c r="K114" s="8">
        <v>121.13</v>
      </c>
      <c r="L114" s="74" t="str">
        <f>HYPERLINK("https://www.eia.gov/outlooks/aeo/assumptions/pdf/electricity.pdf","EIA, AEO2020, Electricity Market Module, Table 2")</f>
        <v>EIA, AEO2020, Electricity Market Module, Table 2</v>
      </c>
      <c r="M114" s="28">
        <f>F114*J114+K114</f>
        <v>594.96273026459642</v>
      </c>
      <c r="N114" s="76">
        <f>M114/HOURS_PER_YEAR</f>
        <v>6.7918119893218776E-2</v>
      </c>
      <c r="O114" s="8"/>
      <c r="P114" s="8"/>
      <c r="Q114" s="21"/>
      <c r="R114" s="4"/>
      <c r="S114" s="8"/>
      <c r="T114" s="4"/>
      <c r="U114" s="22"/>
      <c r="V114" s="22"/>
      <c r="W114" s="23"/>
      <c r="X114" s="24"/>
      <c r="Y114" s="25"/>
      <c r="Z114" s="77"/>
      <c r="AA114" s="3"/>
      <c r="AB114" s="4"/>
      <c r="AC114" s="4"/>
    </row>
    <row r="115" spans="1:29" ht="14.25" customHeight="1" x14ac:dyDescent="0.2">
      <c r="A115" s="14" t="s">
        <v>121</v>
      </c>
      <c r="B115" s="16">
        <f>Z115</f>
        <v>9.5099999999999994E-3</v>
      </c>
      <c r="C115" s="3" t="s">
        <v>96</v>
      </c>
      <c r="D115" s="30"/>
      <c r="E115" s="4"/>
      <c r="F115" s="8"/>
      <c r="G115" s="3"/>
      <c r="H115" s="8"/>
      <c r="I115" s="3"/>
      <c r="J115" s="18"/>
      <c r="K115" s="8"/>
      <c r="L115" s="32"/>
      <c r="M115" s="18"/>
      <c r="N115" s="20"/>
      <c r="O115" s="8">
        <v>0</v>
      </c>
      <c r="P115" s="8">
        <v>7.15</v>
      </c>
      <c r="Q115" s="21" t="str">
        <f>IF(AND(O115&lt;&gt;0,P115&lt;&gt;0),"bad fuel cost","OK")</f>
        <v>OK</v>
      </c>
      <c r="R115" s="74" t="str">
        <f>HYPERLINK("https://www.eia.gov/electricity/annual/html/epa_08_04.html","EIA, EPA2018, Table 8.4")</f>
        <v>EIA, EPA2018, Table 8.4</v>
      </c>
      <c r="S115" s="8">
        <v>10461</v>
      </c>
      <c r="T115" s="74" t="str">
        <f>HYPERLINK("https://www.eia.gov/outlooks/aeo/assumptions/pdf/electricity.pdf","EIA, AEO2020, Electricity Market Module, Table 2")</f>
        <v>EIA, AEO2020, Electricity Market Module, Table 2</v>
      </c>
      <c r="U115" s="22">
        <f>1/S115*Btu_per_kWh</f>
        <v>0.32617738582620609</v>
      </c>
      <c r="V115" s="22">
        <f>(O115/MWh_per_MMBtu/1000)/U115 + P115/1000</f>
        <v>7.1500000000000001E-3</v>
      </c>
      <c r="W115" s="23">
        <v>2.36</v>
      </c>
      <c r="X115" s="74" t="str">
        <f>HYPERLINK("https://www.eia.gov/outlooks/aeo/assumptions/pdf/electricity.pdf","EIA, AEO2020, Electricity Market Module, Table 2")</f>
        <v>EIA, AEO2020, Electricity Market Module, Table 2</v>
      </c>
      <c r="Y115" s="25">
        <v>0</v>
      </c>
      <c r="Z115" s="77">
        <f>V115+Y115+W115/1000</f>
        <v>9.5099999999999994E-3</v>
      </c>
      <c r="AA115" s="3"/>
      <c r="AB115" s="4"/>
      <c r="AC115" s="4"/>
    </row>
    <row r="116" spans="1:29" ht="14.25" customHeight="1" x14ac:dyDescent="0.2">
      <c r="A116" s="14" t="s">
        <v>122</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123</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124</v>
      </c>
      <c r="B119" s="26">
        <f>N119</f>
        <v>7.3527760915639969E-3</v>
      </c>
      <c r="C119" s="3" t="s">
        <v>125</v>
      </c>
      <c r="D119" s="3"/>
      <c r="E119" s="4"/>
      <c r="F119" s="8">
        <f>347/SQRT(0.9)</f>
        <v>365.77011602614255</v>
      </c>
      <c r="G119" s="74" t="str">
        <f>HYPERLINK("https://www.lazard.com/media/451087/lazards-levelized-cost-of-storage-version-50-vf.pdf","Lazard 2019")</f>
        <v>Lazard 2019</v>
      </c>
      <c r="H119" s="8">
        <v>10</v>
      </c>
      <c r="I119" s="9" t="str">
        <f>HYPERLINK("https://www.lazard.com/media/450338/lazard-levelized-cost-of-storage-version-30.pdf","LAZARD, 2017, Appendix A")</f>
        <v>LAZARD, 2017, Appendix A</v>
      </c>
      <c r="J119" s="27">
        <f>DISCOUNT_RATE*(1+DISCOUNT_RATE)^H119/((1+DISCOUNT_RATE)^H119-1)</f>
        <v>0.14237750272736471</v>
      </c>
      <c r="K119" s="8">
        <v>12.332882870000001</v>
      </c>
      <c r="L119" s="32" t="s">
        <v>210</v>
      </c>
      <c r="M119" s="28">
        <f>F119*J119+K119</f>
        <v>64.410318562100613</v>
      </c>
      <c r="N119" s="29">
        <f>M119/HOURS_PER_YEAR</f>
        <v>7.3527760915639969E-3</v>
      </c>
      <c r="O119" s="8"/>
      <c r="P119" s="8"/>
      <c r="Q119" s="21"/>
      <c r="R119" s="4"/>
      <c r="S119" s="8"/>
      <c r="T119" s="4"/>
      <c r="U119" s="22"/>
      <c r="V119" s="22"/>
      <c r="W119" s="23"/>
      <c r="X119" s="24"/>
      <c r="Y119" s="25"/>
      <c r="Z119" s="20"/>
      <c r="AA119" s="4"/>
      <c r="AB119" s="4"/>
      <c r="AC119" s="4"/>
    </row>
    <row r="120" spans="1:29" ht="14.25" customHeight="1" x14ac:dyDescent="0.2">
      <c r="A120" s="14" t="s">
        <v>127</v>
      </c>
      <c r="B120" s="16">
        <f t="shared" ref="B120:B121" si="0">Z120</f>
        <v>0</v>
      </c>
      <c r="C120" s="3" t="s">
        <v>93</v>
      </c>
      <c r="D120" s="3"/>
      <c r="E120" s="4"/>
      <c r="F120" s="8"/>
      <c r="G120" s="75" t="s">
        <v>208</v>
      </c>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6"/>
    </row>
    <row r="121" spans="1:29" ht="14.25" customHeight="1" x14ac:dyDescent="0.2">
      <c r="A121" s="14" t="s">
        <v>128</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0" t="s">
        <v>158</v>
      </c>
      <c r="B122" s="15">
        <v>0.9</v>
      </c>
      <c r="C122" s="3"/>
      <c r="D122" s="3" t="s">
        <v>129</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0" t="s">
        <v>159</v>
      </c>
      <c r="B123" s="26">
        <f>1.01^(1/HOURS_PER_YEAR)-1</f>
        <v>1.1358831626395727E-6</v>
      </c>
      <c r="C123" s="3" t="s">
        <v>130</v>
      </c>
      <c r="D123" s="3" t="s">
        <v>131</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0" t="s">
        <v>160</v>
      </c>
      <c r="B124" s="34">
        <v>4</v>
      </c>
      <c r="C124" s="3" t="s">
        <v>132</v>
      </c>
      <c r="D124" s="74" t="str">
        <f>HYPERLINK("https://www.lazard.com/media/451087/lazards-levelized-cost-of-storage-version-50-vf.pdf","Lazard 2019")</f>
        <v>Lazard 2019</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174</v>
      </c>
      <c r="B126" s="26">
        <f>N126</f>
        <v>7.3527760915639969E-3</v>
      </c>
      <c r="C126" s="3" t="s">
        <v>125</v>
      </c>
      <c r="D126" s="3" t="s">
        <v>126</v>
      </c>
      <c r="E126" s="4"/>
      <c r="F126" s="8">
        <f>347/SQRT(0.9)</f>
        <v>365.77011602614255</v>
      </c>
      <c r="G126" s="74" t="str">
        <f>HYPERLINK("https://www.lazard.com/media/451087/lazards-levelized-cost-of-storage-version-50-vf.pdf","Lazard 2019")</f>
        <v>Lazard 2019</v>
      </c>
      <c r="H126" s="8">
        <v>10</v>
      </c>
      <c r="I126" s="9" t="str">
        <f>HYPERLINK("https://www.lazard.com/media/450338/lazard-levelized-cost-of-storage-version-30.pdf","LAZARD, 2017, Appendix A")</f>
        <v>LAZARD, 2017, Appendix A</v>
      </c>
      <c r="J126" s="27">
        <f>DISCOUNT_RATE*(1+DISCOUNT_RATE)^H126/((1+DISCOUNT_RATE)^H126-1)</f>
        <v>0.14237750272736471</v>
      </c>
      <c r="K126" s="8">
        <v>12.332882870000001</v>
      </c>
      <c r="L126" s="32" t="s">
        <v>210</v>
      </c>
      <c r="M126" s="28">
        <f>F126*J126+K126</f>
        <v>64.410318562100613</v>
      </c>
      <c r="N126" s="29">
        <f>M126/HOURS_PER_YEAR</f>
        <v>7.3527760915639969E-3</v>
      </c>
      <c r="O126" s="8"/>
      <c r="P126" s="8"/>
      <c r="Q126" s="21"/>
      <c r="R126" s="4"/>
      <c r="S126" s="8"/>
      <c r="T126" s="4"/>
      <c r="U126" s="22"/>
      <c r="V126" s="22"/>
      <c r="W126" s="23"/>
      <c r="X126" s="24"/>
      <c r="Y126" s="25"/>
      <c r="Z126" s="20"/>
      <c r="AA126" s="4"/>
      <c r="AB126" s="4"/>
      <c r="AC126" s="4"/>
    </row>
    <row r="127" spans="1:29" ht="14.25" customHeight="1" x14ac:dyDescent="0.2">
      <c r="A127" s="14" t="s">
        <v>175</v>
      </c>
      <c r="B127" s="16">
        <f t="shared" ref="B127:B128" si="3">Z127</f>
        <v>0</v>
      </c>
      <c r="C127" s="3" t="s">
        <v>93</v>
      </c>
      <c r="D127" s="3"/>
      <c r="E127" s="4"/>
      <c r="F127" s="8"/>
      <c r="G127" s="75" t="s">
        <v>208</v>
      </c>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6"/>
    </row>
    <row r="128" spans="1:29" ht="14.25" customHeight="1" x14ac:dyDescent="0.2">
      <c r="A128" s="14" t="s">
        <v>176</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0" t="s">
        <v>177</v>
      </c>
      <c r="B129" s="15">
        <v>0.9</v>
      </c>
      <c r="C129" s="3"/>
      <c r="D129" s="3" t="s">
        <v>129</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0" t="s">
        <v>178</v>
      </c>
      <c r="B130" s="26">
        <f>1.01^(1/HOURS_PER_YEAR)-1</f>
        <v>1.1358831626395727E-6</v>
      </c>
      <c r="C130" s="3" t="s">
        <v>130</v>
      </c>
      <c r="D130" s="3" t="s">
        <v>131</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0" t="s">
        <v>179</v>
      </c>
      <c r="B131" s="34">
        <v>4</v>
      </c>
      <c r="C131" s="3" t="s">
        <v>132</v>
      </c>
      <c r="D131" s="74" t="str">
        <f>HYPERLINK("https://www.lazard.com/media/451087/lazards-levelized-cost-of-storage-version-50-vf.pdf","Lazard 2019")</f>
        <v>Lazard 2019</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0" t="s">
        <v>133</v>
      </c>
      <c r="B133" s="37">
        <f t="shared" ref="B133:B135" si="6">N133</f>
        <v>3.2326344432621811E-6</v>
      </c>
      <c r="C133" s="3" t="s">
        <v>125</v>
      </c>
      <c r="D133" s="3" t="s">
        <v>134</v>
      </c>
      <c r="E133" s="4"/>
      <c r="F133" s="8">
        <v>0.3</v>
      </c>
      <c r="G133" s="9" t="str">
        <f>HYPERLINK("https://prod-ng.sandia.gov/techlib-noauth/access-control.cgi/2011/114845.pdf","Schoenung, 2011, Sandia Report")</f>
        <v>Schoenung, 2011, Sandia Report</v>
      </c>
      <c r="H133" s="38">
        <v>20</v>
      </c>
      <c r="I133" s="30" t="s">
        <v>135</v>
      </c>
      <c r="J133" s="27">
        <f>DISCOUNT_RATE*(1+DISCOUNT_RATE)^H133/((1+DISCOUNT_RATE)^H133-1)</f>
        <v>9.4392925743255696E-2</v>
      </c>
      <c r="K133" s="8">
        <v>0</v>
      </c>
      <c r="L133" s="32"/>
      <c r="M133" s="28">
        <f t="shared" ref="M133:M135" si="7">F133*J133+K133</f>
        <v>2.8317877722976708E-2</v>
      </c>
      <c r="N133" s="39">
        <f>M133/HOURS_PER_YEAR</f>
        <v>3.2326344432621811E-6</v>
      </c>
      <c r="O133" s="8"/>
      <c r="P133" s="8"/>
      <c r="Q133" s="21"/>
      <c r="R133" s="4"/>
      <c r="S133" s="8"/>
      <c r="T133" s="4"/>
      <c r="U133" s="22"/>
      <c r="V133" s="22"/>
      <c r="W133" s="23"/>
      <c r="X133" s="24"/>
      <c r="Y133" s="25"/>
      <c r="Z133" s="20"/>
      <c r="AA133" s="4"/>
      <c r="AB133" s="4"/>
      <c r="AC133" s="4"/>
    </row>
    <row r="134" spans="1:29" ht="14.25" customHeight="1" x14ac:dyDescent="0.2">
      <c r="A134" s="50" t="s">
        <v>136</v>
      </c>
      <c r="B134" s="37">
        <f t="shared" si="6"/>
        <v>1.1852992958627998E-2</v>
      </c>
      <c r="C134" s="3" t="s">
        <v>93</v>
      </c>
      <c r="D134" s="3"/>
      <c r="E134" s="4"/>
      <c r="F134" s="8">
        <v>1100</v>
      </c>
      <c r="G134" s="9" t="str">
        <f t="shared" ref="G134:G135" si="8">HYPERLINK("http://science.sciencemag.org/content/360/6396/eaas9793/tab-pdf","Davis et al., 2018, Science")</f>
        <v>Davis et al., 2018, Science</v>
      </c>
      <c r="H134" s="38">
        <v>20</v>
      </c>
      <c r="I134" s="30" t="s">
        <v>135</v>
      </c>
      <c r="J134" s="27">
        <f>DISCOUNT_RATE*(1+DISCOUNT_RATE)^H134/((1+DISCOUNT_RATE)^H134-1)</f>
        <v>9.4392925743255696E-2</v>
      </c>
      <c r="K134" s="8">
        <v>0</v>
      </c>
      <c r="L134" s="32"/>
      <c r="M134" s="28">
        <f t="shared" si="7"/>
        <v>103.83221831758127</v>
      </c>
      <c r="N134" s="29">
        <f>M134/HOURS_PER_YEAR</f>
        <v>1.1852992958627998E-2</v>
      </c>
      <c r="O134" s="8"/>
      <c r="P134" s="8"/>
      <c r="Q134" s="21"/>
      <c r="R134" s="4"/>
      <c r="S134" s="8"/>
      <c r="T134" s="4"/>
      <c r="U134" s="22"/>
      <c r="V134" s="22"/>
      <c r="W134" s="23"/>
      <c r="X134" s="24"/>
      <c r="Y134" s="25"/>
      <c r="Z134" s="20"/>
      <c r="AA134" s="4"/>
      <c r="AB134" s="4"/>
      <c r="AC134" s="4"/>
    </row>
    <row r="135" spans="1:29" ht="14.25" customHeight="1" x14ac:dyDescent="0.2">
      <c r="A135" s="50" t="s">
        <v>137</v>
      </c>
      <c r="B135" s="37">
        <f t="shared" si="6"/>
        <v>4.9567061463353448E-2</v>
      </c>
      <c r="C135" s="3" t="s">
        <v>93</v>
      </c>
      <c r="D135" s="3"/>
      <c r="E135" s="4"/>
      <c r="F135" s="8">
        <v>4600</v>
      </c>
      <c r="G135" s="9" t="str">
        <f t="shared" si="8"/>
        <v>Davis et al., 2018, Science</v>
      </c>
      <c r="H135" s="38">
        <v>20</v>
      </c>
      <c r="I135" s="30" t="s">
        <v>135</v>
      </c>
      <c r="J135" s="27">
        <f>DISCOUNT_RATE*(1+DISCOUNT_RATE)^H135/((1+DISCOUNT_RATE)^H135-1)</f>
        <v>9.4392925743255696E-2</v>
      </c>
      <c r="K135" s="8">
        <v>0</v>
      </c>
      <c r="L135" s="32"/>
      <c r="M135" s="28">
        <f t="shared" si="7"/>
        <v>434.20745841897622</v>
      </c>
      <c r="N135" s="29">
        <f>M135/HOURS_PER_YEAR</f>
        <v>4.9567061463353448E-2</v>
      </c>
      <c r="O135" s="8"/>
      <c r="P135" s="8"/>
      <c r="Q135" s="21"/>
      <c r="R135" s="4"/>
      <c r="S135" s="8"/>
      <c r="T135" s="4"/>
      <c r="U135" s="22"/>
      <c r="V135" s="22"/>
      <c r="W135" s="23"/>
      <c r="X135" s="24"/>
      <c r="Y135" s="25"/>
      <c r="Z135" s="20"/>
      <c r="AA135" s="4"/>
      <c r="AB135" s="4"/>
      <c r="AC135" s="4"/>
    </row>
    <row r="136" spans="1:29" ht="14.25" customHeight="1" x14ac:dyDescent="0.2">
      <c r="A136" s="50" t="s">
        <v>138</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0" t="s">
        <v>139</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0" t="s">
        <v>151</v>
      </c>
      <c r="B138" s="40">
        <f>1.0001^(1/HOURS_PER_YEAR)-1</f>
        <v>1.1414954537158906E-8</v>
      </c>
      <c r="C138" s="3" t="s">
        <v>130</v>
      </c>
      <c r="D138" s="3" t="s">
        <v>140</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0" t="s">
        <v>152</v>
      </c>
      <c r="B139" s="40">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0"/>
      <c r="B140" s="40"/>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1" customFormat="1" x14ac:dyDescent="0.2">
      <c r="A141" s="50" t="s">
        <v>153</v>
      </c>
      <c r="B141" s="45" t="s">
        <v>206</v>
      </c>
      <c r="F141" s="8"/>
      <c r="H141" s="8"/>
      <c r="I141" s="3"/>
      <c r="J141" s="18"/>
      <c r="K141" s="8"/>
      <c r="L141" s="4"/>
      <c r="M141" s="18"/>
      <c r="N141" s="20"/>
      <c r="O141" s="8"/>
      <c r="P141" s="8"/>
      <c r="Q141" s="21"/>
      <c r="R141" s="4"/>
      <c r="S141" s="8"/>
      <c r="T141" s="4"/>
      <c r="U141" s="22"/>
      <c r="V141" s="22"/>
      <c r="W141" s="23"/>
      <c r="X141" s="24"/>
      <c r="Y141" s="25"/>
      <c r="Z141" s="20"/>
    </row>
    <row r="142" spans="1:29" s="51" customFormat="1" x14ac:dyDescent="0.2">
      <c r="A142" s="50" t="s">
        <v>147</v>
      </c>
      <c r="B142" s="46">
        <v>1.9528741509529837E-2</v>
      </c>
      <c r="C142" s="51" t="s">
        <v>93</v>
      </c>
      <c r="D142" s="44">
        <f>0.3*0.08/8760</f>
        <v>2.7397260273972604E-6</v>
      </c>
      <c r="E142" s="51" t="s">
        <v>154</v>
      </c>
      <c r="F142" s="8"/>
      <c r="H142" s="8"/>
      <c r="I142" s="3"/>
      <c r="J142" s="18"/>
      <c r="K142" s="8"/>
      <c r="L142" s="4"/>
      <c r="M142" s="18"/>
      <c r="N142" s="20"/>
      <c r="O142" s="8"/>
      <c r="P142" s="8"/>
      <c r="Q142" s="21"/>
      <c r="R142" s="4"/>
      <c r="S142" s="8"/>
      <c r="T142" s="4"/>
      <c r="U142" s="22"/>
      <c r="V142" s="22"/>
      <c r="W142" s="23"/>
      <c r="X142" s="24"/>
      <c r="Y142" s="25"/>
      <c r="Z142" s="20"/>
    </row>
    <row r="143" spans="1:29" s="51" customFormat="1" x14ac:dyDescent="0.2">
      <c r="A143" s="50" t="s">
        <v>148</v>
      </c>
      <c r="B143" s="46">
        <f>1100*0.08/8760</f>
        <v>1.0045662100456621E-2</v>
      </c>
      <c r="C143" s="51" t="s">
        <v>125</v>
      </c>
      <c r="E143" s="51" t="s">
        <v>155</v>
      </c>
      <c r="F143" s="8"/>
      <c r="H143" s="8"/>
      <c r="I143" s="3"/>
      <c r="J143" s="18"/>
      <c r="K143" s="8"/>
      <c r="L143" s="4"/>
      <c r="M143" s="18"/>
      <c r="N143" s="20"/>
      <c r="O143" s="8"/>
      <c r="P143" s="8"/>
      <c r="Q143" s="21"/>
      <c r="R143" s="4"/>
      <c r="S143" s="8"/>
      <c r="T143" s="4"/>
      <c r="U143" s="22"/>
      <c r="V143" s="22"/>
      <c r="W143" s="23"/>
      <c r="X143" s="24"/>
      <c r="Y143" s="25"/>
      <c r="Z143" s="20"/>
    </row>
    <row r="144" spans="1:29" s="51" customFormat="1" x14ac:dyDescent="0.2">
      <c r="A144" s="50" t="s">
        <v>149</v>
      </c>
      <c r="B144" s="47">
        <f>0.00000001</f>
        <v>1E-8</v>
      </c>
      <c r="C144" s="51" t="s">
        <v>93</v>
      </c>
      <c r="F144" s="8"/>
      <c r="H144" s="8"/>
      <c r="I144" s="3"/>
      <c r="J144" s="18"/>
      <c r="K144" s="8"/>
      <c r="L144" s="4"/>
      <c r="M144" s="18"/>
      <c r="N144" s="20"/>
      <c r="O144" s="8"/>
      <c r="P144" s="8"/>
      <c r="Q144" s="21"/>
      <c r="R144" s="4"/>
      <c r="S144" s="8"/>
      <c r="T144" s="4"/>
      <c r="U144" s="22"/>
      <c r="V144" s="22"/>
      <c r="W144" s="23"/>
      <c r="X144" s="24"/>
      <c r="Y144" s="25"/>
      <c r="Z144" s="20"/>
    </row>
    <row r="145" spans="1:26" s="51" customFormat="1" x14ac:dyDescent="0.2">
      <c r="A145" s="50" t="s">
        <v>150</v>
      </c>
      <c r="B145" s="47">
        <f>0.00000001</f>
        <v>1E-8</v>
      </c>
      <c r="C145" s="51" t="s">
        <v>93</v>
      </c>
      <c r="F145" s="8"/>
      <c r="H145" s="8"/>
      <c r="I145" s="3"/>
      <c r="J145" s="18"/>
      <c r="K145" s="8"/>
      <c r="L145" s="4"/>
      <c r="M145" s="18"/>
      <c r="N145" s="20"/>
      <c r="O145" s="8"/>
      <c r="P145" s="8"/>
      <c r="Q145" s="21"/>
      <c r="R145" s="4"/>
      <c r="S145" s="8"/>
      <c r="T145" s="4"/>
      <c r="U145" s="22"/>
      <c r="V145" s="22"/>
      <c r="W145" s="23"/>
      <c r="X145" s="24"/>
      <c r="Y145" s="25"/>
      <c r="Z145" s="20"/>
    </row>
    <row r="146" spans="1:26" s="51" customFormat="1" x14ac:dyDescent="0.2">
      <c r="A146" s="50" t="s">
        <v>156</v>
      </c>
      <c r="B146" s="45">
        <v>0.1</v>
      </c>
      <c r="C146" s="51" t="s">
        <v>130</v>
      </c>
      <c r="E146" s="51" t="s">
        <v>161</v>
      </c>
      <c r="F146" s="8"/>
      <c r="H146" s="8"/>
      <c r="I146" s="3"/>
      <c r="J146" s="18"/>
      <c r="K146" s="8"/>
      <c r="L146" s="4"/>
      <c r="M146" s="18"/>
      <c r="N146" s="20"/>
      <c r="O146" s="8"/>
      <c r="P146" s="8"/>
      <c r="Q146" s="21"/>
      <c r="R146" s="4"/>
      <c r="S146" s="8"/>
      <c r="T146" s="4"/>
      <c r="U146" s="22"/>
      <c r="V146" s="22"/>
      <c r="W146" s="23"/>
      <c r="X146" s="24"/>
      <c r="Y146" s="25"/>
      <c r="Z146" s="20"/>
    </row>
    <row r="147" spans="1:26" s="51" customFormat="1" x14ac:dyDescent="0.2">
      <c r="A147" s="50" t="s">
        <v>157</v>
      </c>
      <c r="B147" s="45">
        <v>1</v>
      </c>
      <c r="D147" s="51" t="s">
        <v>162</v>
      </c>
      <c r="F147" s="8"/>
      <c r="H147" s="8"/>
      <c r="I147" s="3"/>
      <c r="J147" s="18"/>
      <c r="K147" s="8"/>
      <c r="L147" s="4"/>
      <c r="M147" s="18"/>
      <c r="N147" s="20"/>
      <c r="O147" s="8"/>
      <c r="P147" s="8"/>
      <c r="Q147" s="21"/>
      <c r="R147" s="4"/>
      <c r="S147" s="8"/>
      <c r="T147" s="4"/>
      <c r="U147" s="22"/>
      <c r="V147" s="22"/>
      <c r="W147" s="23"/>
      <c r="X147" s="24"/>
      <c r="Y147" s="25"/>
      <c r="Z147" s="20"/>
    </row>
    <row r="148" spans="1:26" s="51" customFormat="1" x14ac:dyDescent="0.2">
      <c r="A148" s="50"/>
      <c r="B148" s="45"/>
      <c r="F148" s="8"/>
      <c r="H148" s="8"/>
      <c r="I148" s="3"/>
      <c r="J148" s="18"/>
      <c r="K148" s="8"/>
      <c r="L148" s="4"/>
      <c r="M148" s="18"/>
      <c r="N148" s="20"/>
      <c r="O148" s="8"/>
      <c r="P148" s="8"/>
      <c r="Q148" s="21"/>
      <c r="R148" s="4"/>
      <c r="S148" s="8"/>
      <c r="T148" s="4"/>
      <c r="U148" s="22"/>
      <c r="V148" s="22"/>
      <c r="W148" s="23"/>
      <c r="X148" s="24"/>
      <c r="Y148" s="25"/>
      <c r="Z148" s="20"/>
    </row>
    <row r="149" spans="1:26" s="51" customFormat="1" x14ac:dyDescent="0.2">
      <c r="A149" s="50" t="s">
        <v>187</v>
      </c>
      <c r="B149" s="65">
        <v>3.4609000000000001E-2</v>
      </c>
      <c r="C149" s="51" t="s">
        <v>93</v>
      </c>
      <c r="D149" s="78" t="s">
        <v>209</v>
      </c>
      <c r="F149" s="8"/>
      <c r="H149" s="8"/>
      <c r="I149" s="3"/>
      <c r="J149" s="27"/>
      <c r="K149" s="8"/>
      <c r="L149" s="4"/>
      <c r="M149" s="28"/>
      <c r="N149" s="39"/>
      <c r="O149" s="8"/>
      <c r="P149" s="8"/>
      <c r="Q149" s="21"/>
      <c r="R149" s="4"/>
      <c r="S149" s="8"/>
      <c r="T149" s="4"/>
      <c r="U149" s="22"/>
      <c r="V149" s="22"/>
      <c r="W149" s="23"/>
      <c r="X149" s="24"/>
      <c r="Y149" s="25"/>
      <c r="Z149" s="20"/>
    </row>
    <row r="150" spans="1:26" s="51" customFormat="1" x14ac:dyDescent="0.2">
      <c r="A150" s="68" t="s">
        <v>201</v>
      </c>
      <c r="B150" s="65">
        <v>0</v>
      </c>
      <c r="C150" s="69" t="s">
        <v>202</v>
      </c>
      <c r="F150" s="8"/>
      <c r="H150" s="8"/>
      <c r="I150" s="3"/>
      <c r="J150" s="27"/>
      <c r="K150" s="8"/>
      <c r="L150" s="4"/>
      <c r="M150" s="28"/>
      <c r="N150" s="39"/>
      <c r="O150" s="8"/>
      <c r="P150" s="8"/>
      <c r="Q150" s="21"/>
      <c r="R150" s="4"/>
      <c r="S150" s="8"/>
      <c r="T150" s="4"/>
      <c r="U150" s="22"/>
      <c r="V150" s="22"/>
      <c r="W150" s="23"/>
      <c r="X150" s="24"/>
      <c r="Y150" s="25"/>
      <c r="Z150" s="20"/>
    </row>
    <row r="151" spans="1:26" s="51" customFormat="1" x14ac:dyDescent="0.2">
      <c r="A151" s="50" t="s">
        <v>186</v>
      </c>
      <c r="B151" s="65">
        <v>1.7618616438867502E-2</v>
      </c>
      <c r="C151" s="51" t="s">
        <v>93</v>
      </c>
      <c r="D151" s="70" t="s">
        <v>200</v>
      </c>
      <c r="F151" s="8"/>
      <c r="H151" s="8"/>
      <c r="I151" s="3"/>
      <c r="J151" s="27"/>
      <c r="K151" s="8"/>
      <c r="L151" s="4"/>
      <c r="M151" s="28"/>
      <c r="N151" s="39"/>
      <c r="O151" s="8"/>
      <c r="P151" s="8"/>
      <c r="Q151" s="21"/>
      <c r="R151" s="4"/>
      <c r="S151" s="8"/>
      <c r="T151" s="4"/>
      <c r="U151" s="22"/>
      <c r="V151" s="22"/>
      <c r="W151" s="23"/>
      <c r="X151" s="24"/>
      <c r="Y151" s="25"/>
      <c r="Z151" s="20"/>
    </row>
    <row r="152" spans="1:26" s="51" customFormat="1" x14ac:dyDescent="0.2">
      <c r="A152" s="50" t="s">
        <v>192</v>
      </c>
      <c r="B152" s="65">
        <v>3.7330999999999999E-6</v>
      </c>
      <c r="C152" s="51" t="s">
        <v>96</v>
      </c>
      <c r="F152" s="8"/>
      <c r="H152" s="8"/>
      <c r="I152" s="3"/>
      <c r="J152" s="27"/>
      <c r="K152" s="8"/>
      <c r="L152" s="4"/>
      <c r="M152" s="28"/>
      <c r="N152" s="39"/>
      <c r="O152" s="8"/>
      <c r="P152" s="8"/>
      <c r="Q152" s="21"/>
      <c r="R152" s="4"/>
      <c r="S152" s="8"/>
      <c r="T152" s="4"/>
      <c r="U152" s="22"/>
      <c r="V152" s="22"/>
      <c r="W152" s="23"/>
      <c r="X152" s="24"/>
      <c r="Y152" s="25"/>
      <c r="Z152" s="20"/>
    </row>
    <row r="153" spans="1:26" s="51" customFormat="1" x14ac:dyDescent="0.2">
      <c r="A153" s="50" t="s">
        <v>190</v>
      </c>
      <c r="B153" s="16">
        <v>0</v>
      </c>
      <c r="C153" s="3" t="s">
        <v>96</v>
      </c>
      <c r="D153" s="51" t="s">
        <v>191</v>
      </c>
      <c r="F153" s="8"/>
      <c r="H153" s="8"/>
      <c r="I153" s="3"/>
      <c r="J153" s="18"/>
      <c r="K153" s="8"/>
      <c r="L153" s="4"/>
      <c r="M153" s="18"/>
      <c r="N153" s="20"/>
      <c r="O153" s="8"/>
      <c r="P153" s="8"/>
      <c r="Q153" s="21"/>
      <c r="R153" s="4"/>
      <c r="S153" s="8"/>
      <c r="T153" s="4"/>
      <c r="U153" s="22"/>
      <c r="V153" s="22"/>
      <c r="W153" s="23"/>
      <c r="X153" s="24"/>
      <c r="Y153" s="25"/>
      <c r="Z153" s="31"/>
    </row>
    <row r="154" spans="1:26" s="51" customFormat="1" x14ac:dyDescent="0.2">
      <c r="A154" s="50" t="s">
        <v>188</v>
      </c>
      <c r="B154" s="16">
        <v>7.4653924914675707E-2</v>
      </c>
      <c r="C154" s="3" t="s">
        <v>96</v>
      </c>
      <c r="F154" s="8"/>
      <c r="H154" s="8"/>
      <c r="I154" s="3"/>
      <c r="J154" s="18"/>
      <c r="K154" s="8"/>
      <c r="L154" s="4"/>
      <c r="M154" s="18"/>
      <c r="N154" s="20"/>
      <c r="O154" s="8"/>
      <c r="P154" s="8"/>
      <c r="Q154" s="21"/>
      <c r="R154" s="4"/>
      <c r="S154" s="8"/>
      <c r="T154" s="4"/>
      <c r="U154" s="22"/>
      <c r="V154" s="22"/>
      <c r="W154" s="23"/>
      <c r="X154" s="24"/>
      <c r="Y154" s="25"/>
      <c r="Z154" s="31"/>
    </row>
    <row r="155" spans="1:26" s="51" customFormat="1" x14ac:dyDescent="0.2">
      <c r="A155" s="50" t="s">
        <v>189</v>
      </c>
      <c r="B155" s="47">
        <f>D155*(236/690)/1000</f>
        <v>1.7101449275362317E-2</v>
      </c>
      <c r="C155" s="51" t="s">
        <v>96</v>
      </c>
      <c r="D155" s="66">
        <v>50</v>
      </c>
      <c r="E155" s="51" t="s">
        <v>184</v>
      </c>
      <c r="F155" s="8"/>
      <c r="H155" s="8"/>
      <c r="I155" s="3"/>
      <c r="J155" s="18"/>
      <c r="K155" s="8"/>
      <c r="L155" s="4"/>
      <c r="M155" s="18"/>
      <c r="N155" s="20"/>
      <c r="O155" s="8"/>
      <c r="P155" s="8"/>
      <c r="Q155" s="21"/>
      <c r="R155" s="4"/>
      <c r="S155" s="8"/>
      <c r="T155" s="4"/>
      <c r="U155" s="22"/>
      <c r="V155" s="22"/>
      <c r="W155" s="23"/>
      <c r="X155" s="24"/>
      <c r="Y155" s="25"/>
      <c r="Z155" s="20"/>
    </row>
    <row r="156" spans="1:26" s="51" customFormat="1" x14ac:dyDescent="0.2">
      <c r="A156" s="50" t="s">
        <v>194</v>
      </c>
      <c r="B156" s="45">
        <v>0.60699999999999998</v>
      </c>
      <c r="C156" s="3"/>
      <c r="F156" s="8"/>
      <c r="H156" s="8"/>
      <c r="I156" s="3"/>
      <c r="J156" s="18"/>
      <c r="K156" s="8"/>
      <c r="L156" s="4"/>
      <c r="M156" s="18"/>
      <c r="N156" s="20"/>
      <c r="O156" s="8"/>
      <c r="P156" s="8"/>
      <c r="Q156" s="21"/>
      <c r="R156" s="4"/>
      <c r="S156" s="8"/>
      <c r="T156" s="4"/>
      <c r="U156" s="22"/>
      <c r="V156" s="22"/>
      <c r="W156" s="23"/>
      <c r="X156" s="24"/>
      <c r="Y156" s="25"/>
      <c r="Z156" s="20"/>
    </row>
    <row r="157" spans="1:26" s="51" customFormat="1" x14ac:dyDescent="0.2">
      <c r="A157" s="68" t="s">
        <v>198</v>
      </c>
      <c r="B157" s="45">
        <v>0.68200000000000005</v>
      </c>
      <c r="C157" s="3"/>
      <c r="D157" s="69" t="s">
        <v>199</v>
      </c>
      <c r="F157" s="8"/>
      <c r="H157" s="8"/>
      <c r="I157" s="3"/>
      <c r="J157" s="18"/>
      <c r="K157" s="8"/>
      <c r="L157" s="4"/>
      <c r="M157" s="18"/>
      <c r="N157" s="20"/>
      <c r="O157" s="8"/>
      <c r="P157" s="8"/>
      <c r="Q157" s="21"/>
      <c r="R157" s="4"/>
      <c r="S157" s="8"/>
      <c r="T157" s="4"/>
      <c r="U157" s="22"/>
      <c r="V157" s="22"/>
      <c r="W157" s="23"/>
      <c r="X157" s="24"/>
      <c r="Y157" s="25"/>
      <c r="Z157" s="20"/>
    </row>
    <row r="158" spans="1:26" s="51" customFormat="1" x14ac:dyDescent="0.2">
      <c r="A158" s="50" t="s">
        <v>193</v>
      </c>
      <c r="B158" s="47">
        <f>B138</f>
        <v>1.1414954537158906E-8</v>
      </c>
      <c r="C158" s="3" t="s">
        <v>130</v>
      </c>
      <c r="D158" s="3" t="s">
        <v>140</v>
      </c>
      <c r="E158" s="9" t="str">
        <f>HYPERLINK("http://juser.fz-juelich.de/record/135790/files/Energie%26Umwelt_78-04.pdf","Crotogino et al., 2010, p43")</f>
        <v>Crotogino et al., 2010, p43</v>
      </c>
      <c r="F158" s="8"/>
      <c r="H158" s="8"/>
      <c r="I158" s="3"/>
      <c r="J158" s="18"/>
      <c r="K158" s="8"/>
      <c r="L158" s="4"/>
      <c r="M158" s="18"/>
      <c r="N158" s="20"/>
      <c r="O158" s="8"/>
      <c r="P158" s="8"/>
      <c r="Q158" s="21"/>
      <c r="R158" s="4"/>
      <c r="S158" s="8"/>
      <c r="T158" s="4"/>
      <c r="U158" s="22"/>
      <c r="V158" s="22"/>
      <c r="W158" s="23"/>
      <c r="X158" s="24"/>
      <c r="Y158" s="25"/>
      <c r="Z158" s="20"/>
    </row>
    <row r="159" spans="1:26" s="51" customFormat="1" x14ac:dyDescent="0.2">
      <c r="A159" s="50" t="s">
        <v>181</v>
      </c>
      <c r="B159" s="47">
        <f>D159/(MMBtu_per_Gallon_Gasoline*MWh_per_MMBtu*1000)</f>
        <v>2.9931066957262647E-2</v>
      </c>
      <c r="C159" s="51" t="s">
        <v>96</v>
      </c>
      <c r="D159" s="66">
        <v>1</v>
      </c>
      <c r="E159" s="3" t="s">
        <v>182</v>
      </c>
      <c r="F159" s="8"/>
      <c r="H159" s="8"/>
      <c r="I159" s="3"/>
      <c r="J159" s="18"/>
      <c r="K159" s="8"/>
      <c r="L159" s="4"/>
      <c r="M159" s="18"/>
      <c r="N159" s="20"/>
      <c r="O159" s="8"/>
      <c r="P159" s="8"/>
      <c r="Q159" s="21"/>
      <c r="R159" s="4"/>
      <c r="S159" s="8"/>
      <c r="T159" s="4"/>
      <c r="U159" s="22"/>
      <c r="V159" s="22"/>
      <c r="W159" s="23"/>
      <c r="X159" s="24"/>
      <c r="Y159" s="25"/>
      <c r="Z159" s="20"/>
    </row>
    <row r="160" spans="1:26" s="51" customFormat="1" x14ac:dyDescent="0.2">
      <c r="A160" s="50" t="s">
        <v>195</v>
      </c>
      <c r="B160" s="47">
        <v>1</v>
      </c>
      <c r="C160" s="3" t="s">
        <v>196</v>
      </c>
      <c r="D160" s="67"/>
      <c r="E160" s="3"/>
      <c r="F160" s="8"/>
      <c r="H160" s="8"/>
      <c r="I160" s="3"/>
      <c r="J160" s="18"/>
      <c r="K160" s="8"/>
      <c r="L160" s="4"/>
      <c r="M160" s="18"/>
      <c r="N160" s="20"/>
      <c r="O160" s="8"/>
      <c r="P160" s="8"/>
      <c r="Q160" s="21"/>
      <c r="R160" s="4"/>
      <c r="S160" s="8"/>
      <c r="T160" s="4"/>
      <c r="U160" s="22"/>
      <c r="V160" s="22"/>
      <c r="W160" s="23"/>
      <c r="X160" s="24"/>
      <c r="Y160" s="25"/>
      <c r="Z160" s="20"/>
    </row>
    <row r="161" spans="1:51" s="51" customFormat="1" x14ac:dyDescent="0.2">
      <c r="A161" s="50"/>
      <c r="B161" s="45"/>
      <c r="C161" s="71"/>
      <c r="D161" s="72"/>
      <c r="E161" s="73"/>
      <c r="F161" s="8"/>
      <c r="H161" s="8"/>
      <c r="I161" s="3"/>
      <c r="J161" s="18"/>
      <c r="K161" s="8"/>
      <c r="L161" s="4"/>
      <c r="M161" s="18"/>
      <c r="N161" s="20"/>
      <c r="O161" s="8"/>
      <c r="P161" s="8"/>
      <c r="Q161" s="21"/>
      <c r="R161" s="4"/>
      <c r="S161" s="8"/>
      <c r="T161" s="4"/>
      <c r="U161" s="22"/>
      <c r="V161" s="22"/>
      <c r="W161" s="23"/>
      <c r="X161" s="24"/>
      <c r="Y161" s="25"/>
      <c r="Z161" s="20"/>
    </row>
    <row r="162" spans="1:51" s="51" customFormat="1" x14ac:dyDescent="0.2">
      <c r="A162" s="50"/>
      <c r="B162" s="45"/>
      <c r="F162" s="8"/>
      <c r="H162" s="8"/>
      <c r="I162" s="3"/>
      <c r="J162" s="18"/>
      <c r="K162" s="8"/>
      <c r="L162" s="4"/>
      <c r="M162" s="18"/>
      <c r="N162" s="20"/>
      <c r="O162" s="8"/>
      <c r="P162" s="8"/>
      <c r="Q162" s="21"/>
      <c r="R162" s="4"/>
      <c r="S162" s="8"/>
      <c r="T162" s="4"/>
      <c r="U162" s="22"/>
      <c r="V162" s="22"/>
      <c r="W162" s="23"/>
      <c r="X162" s="24"/>
      <c r="Y162" s="25"/>
      <c r="Z162" s="20"/>
    </row>
    <row r="163" spans="1:51" ht="14.25" customHeight="1" x14ac:dyDescent="0.2">
      <c r="A163" s="14" t="s">
        <v>141</v>
      </c>
      <c r="B163" s="15">
        <v>10</v>
      </c>
      <c r="C163" s="3" t="s">
        <v>93</v>
      </c>
      <c r="D163" s="3"/>
      <c r="E163" s="4"/>
      <c r="F163" s="8"/>
      <c r="G163" s="3"/>
      <c r="H163" s="8"/>
      <c r="I163" s="3"/>
      <c r="J163" s="18"/>
      <c r="K163" s="8"/>
      <c r="L163" s="4"/>
      <c r="M163" s="18"/>
      <c r="N163" s="20"/>
      <c r="O163" s="8"/>
      <c r="P163" s="8"/>
      <c r="Q163" s="21"/>
      <c r="R163" s="4"/>
      <c r="S163" s="8"/>
      <c r="T163" s="4"/>
      <c r="U163" s="22"/>
      <c r="V163" s="22"/>
      <c r="W163" s="23"/>
      <c r="X163" s="24"/>
      <c r="Y163" s="25"/>
      <c r="Z163" s="20"/>
      <c r="AA163" s="4"/>
      <c r="AB163" s="4"/>
      <c r="AC163" s="4"/>
    </row>
    <row r="164" spans="1:51" ht="14.25" customHeight="1" x14ac:dyDescent="0.2">
      <c r="A164" s="3"/>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51" ht="14.25" customHeight="1" x14ac:dyDescent="0.2">
      <c r="A165" s="3"/>
      <c r="B165" s="4"/>
      <c r="C165" s="3" t="s">
        <v>142</v>
      </c>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51" ht="14.25" customHeight="1" x14ac:dyDescent="0.2">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51" s="52" customFormat="1" x14ac:dyDescent="0.2">
      <c r="A167" s="52" t="s">
        <v>143</v>
      </c>
      <c r="B167" s="41" t="s">
        <v>144</v>
      </c>
    </row>
    <row r="168" spans="1:51" s="42" customFormat="1" ht="48" x14ac:dyDescent="0.2">
      <c r="A168" s="42" t="s">
        <v>145</v>
      </c>
      <c r="B168" s="49" t="s">
        <v>79</v>
      </c>
      <c r="C168" s="49" t="s">
        <v>81</v>
      </c>
      <c r="D168" s="49" t="s">
        <v>84</v>
      </c>
      <c r="E168" s="49" t="s">
        <v>85</v>
      </c>
      <c r="F168" s="49" t="s">
        <v>92</v>
      </c>
      <c r="G168" s="49" t="s">
        <v>95</v>
      </c>
      <c r="H168" s="49" t="s">
        <v>164</v>
      </c>
      <c r="I168" s="49" t="s">
        <v>165</v>
      </c>
      <c r="J168" s="49" t="s">
        <v>105</v>
      </c>
      <c r="K168" s="49" t="s">
        <v>107</v>
      </c>
      <c r="L168" s="49" t="s">
        <v>169</v>
      </c>
      <c r="M168" s="49" t="s">
        <v>170</v>
      </c>
      <c r="N168" s="49" t="s">
        <v>110</v>
      </c>
      <c r="O168" s="49" t="s">
        <v>111</v>
      </c>
      <c r="P168" s="49" t="s">
        <v>115</v>
      </c>
      <c r="Q168" s="49" t="s">
        <v>116</v>
      </c>
      <c r="R168" s="49" t="s">
        <v>120</v>
      </c>
      <c r="S168" s="49" t="s">
        <v>121</v>
      </c>
      <c r="T168" s="49" t="s">
        <v>173</v>
      </c>
      <c r="U168" s="49" t="s">
        <v>124</v>
      </c>
      <c r="V168" s="49" t="s">
        <v>127</v>
      </c>
      <c r="W168" s="49" t="s">
        <v>128</v>
      </c>
      <c r="X168" s="49" t="s">
        <v>158</v>
      </c>
      <c r="Y168" s="49" t="s">
        <v>174</v>
      </c>
      <c r="Z168" s="49" t="s">
        <v>175</v>
      </c>
      <c r="AA168" s="49" t="s">
        <v>176</v>
      </c>
      <c r="AB168" s="49" t="s">
        <v>177</v>
      </c>
      <c r="AC168" s="49" t="s">
        <v>133</v>
      </c>
      <c r="AD168" s="49" t="s">
        <v>136</v>
      </c>
      <c r="AE168" s="49" t="s">
        <v>136</v>
      </c>
      <c r="AF168" s="49" t="s">
        <v>137</v>
      </c>
      <c r="AG168" s="49" t="s">
        <v>138</v>
      </c>
      <c r="AH168" s="49" t="s">
        <v>139</v>
      </c>
      <c r="AI168" s="49" t="s">
        <v>147</v>
      </c>
      <c r="AJ168" s="49" t="s">
        <v>148</v>
      </c>
      <c r="AK168" s="49" t="s">
        <v>149</v>
      </c>
      <c r="AL168" s="49" t="s">
        <v>150</v>
      </c>
      <c r="AM168" s="49" t="s">
        <v>141</v>
      </c>
      <c r="AN168" s="49" t="s">
        <v>150</v>
      </c>
      <c r="AO168" s="42" t="s">
        <v>141</v>
      </c>
      <c r="AP168" s="42" t="s">
        <v>187</v>
      </c>
      <c r="AQ168" s="42" t="s">
        <v>190</v>
      </c>
      <c r="AR168" s="42" t="s">
        <v>181</v>
      </c>
      <c r="AS168" s="42" t="s">
        <v>195</v>
      </c>
      <c r="AT168" s="42" t="s">
        <v>203</v>
      </c>
      <c r="AU168" s="42" t="s">
        <v>194</v>
      </c>
      <c r="AV168" s="42" t="s">
        <v>186</v>
      </c>
      <c r="AW168" s="42" t="s">
        <v>192</v>
      </c>
      <c r="AX168" s="42" t="s">
        <v>188</v>
      </c>
      <c r="AY168" s="42" t="s">
        <v>189</v>
      </c>
    </row>
    <row r="169" spans="1:51" s="51" customFormat="1" x14ac:dyDescent="0.2">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row>
    <row r="170" spans="1:51" s="57" customFormat="1" x14ac:dyDescent="0.2">
      <c r="A170" s="54" t="s">
        <v>180</v>
      </c>
      <c r="B170" s="55">
        <v>2017</v>
      </c>
      <c r="C170" s="55">
        <v>1</v>
      </c>
      <c r="D170" s="55">
        <v>2017</v>
      </c>
      <c r="E170" s="55">
        <v>1</v>
      </c>
      <c r="F170" s="55">
        <v>1</v>
      </c>
      <c r="G170" s="55">
        <v>1</v>
      </c>
      <c r="H170" s="55">
        <v>-1</v>
      </c>
      <c r="I170" s="55">
        <v>1</v>
      </c>
      <c r="J170" s="55">
        <v>1</v>
      </c>
      <c r="K170" s="55">
        <v>1</v>
      </c>
      <c r="L170" s="55">
        <v>-1</v>
      </c>
      <c r="M170" s="55">
        <v>1</v>
      </c>
      <c r="N170" s="55">
        <v>-1</v>
      </c>
      <c r="O170" s="55">
        <v>1</v>
      </c>
      <c r="P170" s="55">
        <v>-1</v>
      </c>
      <c r="Q170" s="55">
        <v>1</v>
      </c>
      <c r="R170" s="55">
        <v>1</v>
      </c>
      <c r="S170" s="55">
        <v>1</v>
      </c>
      <c r="T170" s="55">
        <v>-1</v>
      </c>
      <c r="U170" s="55">
        <v>-1</v>
      </c>
      <c r="V170" s="55">
        <v>1</v>
      </c>
      <c r="W170" s="55">
        <v>1</v>
      </c>
      <c r="X170" s="55">
        <v>0.9</v>
      </c>
      <c r="Y170" s="56">
        <v>-1</v>
      </c>
      <c r="Z170" s="56">
        <v>-1</v>
      </c>
      <c r="AA170" s="55">
        <v>0.3</v>
      </c>
      <c r="AB170" s="55">
        <v>0.1</v>
      </c>
      <c r="AC170" s="55">
        <v>-1</v>
      </c>
      <c r="AD170" s="56">
        <v>1</v>
      </c>
      <c r="AE170" s="56">
        <v>1</v>
      </c>
      <c r="AF170" s="55">
        <v>1</v>
      </c>
      <c r="AG170" s="55">
        <v>-1</v>
      </c>
      <c r="AH170" s="55">
        <v>1</v>
      </c>
      <c r="AI170" s="55">
        <v>-1</v>
      </c>
      <c r="AJ170" s="55">
        <v>1</v>
      </c>
      <c r="AK170" s="55">
        <v>1</v>
      </c>
      <c r="AL170" s="55">
        <v>1</v>
      </c>
      <c r="AM170" s="55">
        <v>1</v>
      </c>
      <c r="AN170" s="55">
        <v>-1</v>
      </c>
      <c r="AO170" s="54">
        <v>1</v>
      </c>
      <c r="AP170" s="57">
        <v>1</v>
      </c>
      <c r="AQ170" s="57">
        <v>1</v>
      </c>
      <c r="AR170" s="57">
        <v>0</v>
      </c>
      <c r="AS170" s="57">
        <v>1</v>
      </c>
      <c r="AT170" s="57">
        <v>1</v>
      </c>
      <c r="AU170" s="57">
        <v>1</v>
      </c>
      <c r="AV170" s="57">
        <v>1</v>
      </c>
      <c r="AW170" s="57">
        <v>1</v>
      </c>
      <c r="AX170" s="57">
        <v>1</v>
      </c>
      <c r="AY170" s="57">
        <v>1</v>
      </c>
    </row>
    <row r="171" spans="1:51" s="51" customFormat="1" x14ac:dyDescent="0.2">
      <c r="B171" s="43"/>
    </row>
    <row r="172" spans="1:51" s="52" customFormat="1" x14ac:dyDescent="0.2">
      <c r="A172" s="52" t="s">
        <v>146</v>
      </c>
      <c r="B172" s="41"/>
    </row>
    <row r="173" spans="1:51"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51"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51"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51"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row r="1030" spans="1:29" ht="14.25" customHeight="1" x14ac:dyDescent="0.2">
      <c r="A1030" s="3"/>
      <c r="B1030" s="4"/>
      <c r="C1030" s="3"/>
      <c r="D1030" s="4"/>
      <c r="E1030" s="3"/>
      <c r="F1030" s="4"/>
      <c r="G1030" s="3"/>
      <c r="H1030" s="4"/>
      <c r="I1030" s="4"/>
      <c r="J1030" s="4"/>
      <c r="K1030" s="4"/>
      <c r="L1030" s="4"/>
      <c r="M1030" s="4"/>
      <c r="N1030" s="4"/>
      <c r="O1030" s="4"/>
      <c r="P1030" s="4"/>
      <c r="Q1030" s="4"/>
      <c r="R1030" s="4"/>
      <c r="S1030" s="4"/>
      <c r="T1030" s="4"/>
      <c r="U1030" s="4"/>
      <c r="V1030" s="4"/>
      <c r="W1030" s="4"/>
      <c r="X1030" s="4"/>
      <c r="Y1030" s="4"/>
      <c r="Z1030" s="4"/>
      <c r="AA1030" s="4"/>
      <c r="AB1030" s="4"/>
      <c r="AC1030" s="4"/>
    </row>
    <row r="1031" spans="1:29" ht="14.25" customHeight="1" x14ac:dyDescent="0.2">
      <c r="A1031" s="3"/>
      <c r="B1031" s="4"/>
      <c r="C1031" s="3"/>
      <c r="D1031" s="4"/>
      <c r="E1031" s="3"/>
      <c r="F1031" s="4"/>
      <c r="G1031" s="3"/>
      <c r="H1031" s="4"/>
      <c r="I1031" s="4"/>
      <c r="J1031" s="4"/>
      <c r="K1031" s="4"/>
      <c r="L1031" s="4"/>
      <c r="M1031" s="4"/>
      <c r="N1031" s="4"/>
      <c r="O1031" s="4"/>
      <c r="P1031" s="4"/>
      <c r="Q1031" s="4"/>
      <c r="R1031" s="4"/>
      <c r="S1031" s="4"/>
      <c r="T1031" s="4"/>
      <c r="U1031" s="4"/>
      <c r="V1031" s="4"/>
      <c r="W1031" s="4"/>
      <c r="X1031" s="4"/>
      <c r="Y1031" s="4"/>
      <c r="Z1031" s="4"/>
      <c r="AA1031" s="4"/>
      <c r="AB1031" s="4"/>
      <c r="AC1031"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2020-08-05T23:42:52Z</dcterms:modified>
</cp:coreProperties>
</file>