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6ADD701-73C0-4934-9871-064252F7F51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2" l="1"/>
  <c r="F142" i="4"/>
  <c r="E142" i="4" s="1"/>
  <c r="G142" i="4"/>
  <c r="F143" i="4"/>
  <c r="E143" i="4" s="1"/>
  <c r="G143" i="4"/>
  <c r="F144" i="4"/>
  <c r="E144" i="4" s="1"/>
  <c r="G144" i="4"/>
  <c r="F145" i="4"/>
  <c r="E145" i="4" s="1"/>
  <c r="G145" i="4"/>
  <c r="F140" i="4"/>
  <c r="E140" i="4" s="1"/>
  <c r="G140" i="4"/>
  <c r="F141" i="4"/>
  <c r="E141" i="4" s="1"/>
  <c r="G141" i="4"/>
  <c r="G66" i="1"/>
  <c r="G67" i="1"/>
  <c r="D68" i="1" a="1"/>
  <c r="D68" i="1" s="1"/>
  <c r="G68" i="1"/>
  <c r="I68" i="1"/>
  <c r="D67" i="1" a="1"/>
  <c r="D67" i="1" s="1"/>
  <c r="I67" i="1"/>
  <c r="I480" i="3"/>
  <c r="H480" i="3" s="1"/>
  <c r="J480" i="3"/>
  <c r="I481" i="3"/>
  <c r="H481" i="3" s="1"/>
  <c r="J481" i="3"/>
  <c r="I482" i="3"/>
  <c r="H482" i="3" s="1"/>
  <c r="J482" i="3"/>
  <c r="I483" i="3"/>
  <c r="H483" i="3" s="1"/>
  <c r="J483" i="3"/>
  <c r="I484" i="3"/>
  <c r="H484" i="3" s="1"/>
  <c r="J484" i="3"/>
  <c r="I485" i="3"/>
  <c r="H485" i="3" s="1"/>
  <c r="J485" i="3"/>
  <c r="I486" i="3"/>
  <c r="H486" i="3" s="1"/>
  <c r="J486" i="3"/>
  <c r="I487" i="3"/>
  <c r="H487" i="3" s="1"/>
  <c r="J487" i="3"/>
  <c r="I488" i="3"/>
  <c r="H488" i="3" s="1"/>
  <c r="J488" i="3"/>
  <c r="I489" i="3"/>
  <c r="H489" i="3" s="1"/>
  <c r="J489" i="3"/>
  <c r="I490" i="3"/>
  <c r="H490" i="3" s="1"/>
  <c r="J490" i="3"/>
  <c r="I491" i="3"/>
  <c r="H491" i="3" s="1"/>
  <c r="J491" i="3"/>
  <c r="I492" i="3"/>
  <c r="H492" i="3" s="1"/>
  <c r="J492" i="3"/>
  <c r="I493" i="3"/>
  <c r="H493" i="3" s="1"/>
  <c r="J493" i="3"/>
  <c r="I494" i="3"/>
  <c r="H494" i="3" s="1"/>
  <c r="J494" i="3"/>
  <c r="H495" i="3"/>
  <c r="I495" i="3"/>
  <c r="J495" i="3"/>
  <c r="I496" i="3"/>
  <c r="H496" i="3" s="1"/>
  <c r="J496" i="3"/>
  <c r="I497" i="3"/>
  <c r="H497" i="3" s="1"/>
  <c r="J497" i="3"/>
  <c r="I498" i="3"/>
  <c r="H498" i="3" s="1"/>
  <c r="J498" i="3"/>
  <c r="E480" i="3"/>
  <c r="E481" i="3"/>
  <c r="E482" i="3"/>
  <c r="E483" i="3"/>
  <c r="E484" i="3"/>
  <c r="E485" i="3"/>
  <c r="E486" i="3"/>
  <c r="E487" i="3"/>
  <c r="E68" i="1" s="1"/>
  <c r="E488" i="3"/>
  <c r="E489" i="3"/>
  <c r="E490" i="3"/>
  <c r="E491" i="3"/>
  <c r="E492" i="3"/>
  <c r="E493" i="3"/>
  <c r="E67" i="1" s="1"/>
  <c r="E494" i="3"/>
  <c r="E495" i="3"/>
  <c r="E496" i="3"/>
  <c r="E497" i="3"/>
  <c r="E498" i="3"/>
  <c r="D27" i="2"/>
  <c r="E27" i="2" s="1"/>
  <c r="F27" i="2"/>
  <c r="D66" i="1" a="1"/>
  <c r="D66" i="1" s="1"/>
  <c r="E66" i="1"/>
  <c r="I66" i="1"/>
  <c r="G489" i="3" l="1"/>
  <c r="G488" i="3"/>
  <c r="G496" i="3"/>
  <c r="G484" i="3"/>
  <c r="G495" i="3"/>
  <c r="G483" i="3"/>
  <c r="G486" i="3"/>
  <c r="G485" i="3"/>
  <c r="G494" i="3"/>
  <c r="G482" i="3"/>
  <c r="G490" i="3"/>
  <c r="G487" i="3"/>
  <c r="M68" i="1" s="1"/>
  <c r="G498" i="3"/>
  <c r="M66" i="1" s="1"/>
  <c r="G497" i="3"/>
  <c r="G493" i="3"/>
  <c r="G492" i="3"/>
  <c r="G491" i="3"/>
  <c r="G481" i="3"/>
  <c r="G480" i="3"/>
  <c r="M67" i="1"/>
  <c r="G27" i="2"/>
  <c r="F480" i="3" s="1"/>
  <c r="H27" i="2"/>
  <c r="F135" i="4"/>
  <c r="E135" i="4" s="1"/>
  <c r="G135" i="4"/>
  <c r="F136" i="4"/>
  <c r="E136" i="4" s="1"/>
  <c r="G136" i="4"/>
  <c r="F137" i="4"/>
  <c r="E137" i="4" s="1"/>
  <c r="G137" i="4"/>
  <c r="F138" i="4"/>
  <c r="E138" i="4" s="1"/>
  <c r="G138" i="4"/>
  <c r="F139" i="4"/>
  <c r="E139" i="4" s="1"/>
  <c r="G139" i="4"/>
  <c r="I455" i="3"/>
  <c r="H455" i="3" s="1"/>
  <c r="J455" i="3"/>
  <c r="I456" i="3"/>
  <c r="H456" i="3" s="1"/>
  <c r="J456" i="3"/>
  <c r="I457" i="3"/>
  <c r="H457" i="3" s="1"/>
  <c r="J457" i="3"/>
  <c r="I458" i="3"/>
  <c r="H458" i="3" s="1"/>
  <c r="J458" i="3"/>
  <c r="I459" i="3"/>
  <c r="H459" i="3" s="1"/>
  <c r="J459" i="3"/>
  <c r="I460" i="3"/>
  <c r="H460" i="3" s="1"/>
  <c r="J460" i="3"/>
  <c r="I461" i="3"/>
  <c r="H461" i="3" s="1"/>
  <c r="J461" i="3"/>
  <c r="I462" i="3"/>
  <c r="H462" i="3" s="1"/>
  <c r="J462" i="3"/>
  <c r="I463" i="3"/>
  <c r="H463" i="3" s="1"/>
  <c r="J463" i="3"/>
  <c r="I464" i="3"/>
  <c r="H464" i="3" s="1"/>
  <c r="J464" i="3"/>
  <c r="I465" i="3"/>
  <c r="H465" i="3" s="1"/>
  <c r="J465" i="3"/>
  <c r="I466" i="3"/>
  <c r="H466" i="3" s="1"/>
  <c r="J466" i="3"/>
  <c r="I467" i="3"/>
  <c r="H467" i="3" s="1"/>
  <c r="J467" i="3"/>
  <c r="I468" i="3"/>
  <c r="H468" i="3" s="1"/>
  <c r="J468" i="3"/>
  <c r="I469" i="3"/>
  <c r="H469" i="3" s="1"/>
  <c r="J469" i="3"/>
  <c r="I470" i="3"/>
  <c r="H470" i="3" s="1"/>
  <c r="J470" i="3"/>
  <c r="I471" i="3"/>
  <c r="H471" i="3" s="1"/>
  <c r="J471" i="3"/>
  <c r="I472" i="3"/>
  <c r="H472" i="3" s="1"/>
  <c r="J472" i="3"/>
  <c r="I473" i="3"/>
  <c r="H473" i="3" s="1"/>
  <c r="J473" i="3"/>
  <c r="I474" i="3"/>
  <c r="H474" i="3" s="1"/>
  <c r="J474" i="3"/>
  <c r="I475" i="3"/>
  <c r="H475" i="3" s="1"/>
  <c r="J475" i="3"/>
  <c r="I476" i="3"/>
  <c r="H476" i="3" s="1"/>
  <c r="J476" i="3"/>
  <c r="I477" i="3"/>
  <c r="H477" i="3" s="1"/>
  <c r="J477" i="3"/>
  <c r="I478" i="3"/>
  <c r="H478" i="3" s="1"/>
  <c r="J478" i="3"/>
  <c r="I479" i="3"/>
  <c r="H479" i="3" s="1"/>
  <c r="J479" i="3"/>
  <c r="F26" i="2"/>
  <c r="F484" i="3" l="1"/>
  <c r="F496" i="3"/>
  <c r="F485" i="3"/>
  <c r="F497" i="3"/>
  <c r="F486" i="3"/>
  <c r="F498" i="3"/>
  <c r="K66" i="1" s="1"/>
  <c r="N66" i="1" s="1"/>
  <c r="P66" i="1" s="1"/>
  <c r="F490" i="3"/>
  <c r="F491" i="3"/>
  <c r="F483" i="3"/>
  <c r="F495" i="3"/>
  <c r="F487" i="3"/>
  <c r="K68" i="1" s="1"/>
  <c r="R68" i="1" s="1"/>
  <c r="F492" i="3"/>
  <c r="F488" i="3"/>
  <c r="F489" i="3"/>
  <c r="F493" i="3"/>
  <c r="K67" i="1" s="1"/>
  <c r="F482" i="3"/>
  <c r="F494" i="3"/>
  <c r="F481" i="3"/>
  <c r="AS20" i="7"/>
  <c r="AN21" i="7"/>
  <c r="AN22" i="7"/>
  <c r="AP22" i="7" s="1"/>
  <c r="AN23" i="7"/>
  <c r="AP23" i="7" s="1"/>
  <c r="AN24" i="7"/>
  <c r="AN25" i="7"/>
  <c r="AN26" i="7"/>
  <c r="AP26" i="7" s="1"/>
  <c r="AN27" i="7"/>
  <c r="AN28" i="7"/>
  <c r="AP28" i="7" s="1"/>
  <c r="AN20" i="7"/>
  <c r="AP20" i="7" s="1"/>
  <c r="AK21" i="7"/>
  <c r="AK22" i="7" s="1"/>
  <c r="AK23" i="7" s="1"/>
  <c r="AK24" i="7" s="1"/>
  <c r="AK25" i="7" s="1"/>
  <c r="AK26" i="7" s="1"/>
  <c r="AK27" i="7" s="1"/>
  <c r="AK28" i="7" s="1"/>
  <c r="AR28" i="7" s="1"/>
  <c r="D65" i="1" a="1"/>
  <c r="D65" i="1" s="1"/>
  <c r="I65" i="1"/>
  <c r="D64" i="1" a="1"/>
  <c r="D64" i="1" s="1"/>
  <c r="F64" i="1"/>
  <c r="H64" i="1"/>
  <c r="I64" i="1"/>
  <c r="J64" i="1"/>
  <c r="L64" i="1"/>
  <c r="O64" i="1"/>
  <c r="Q64" i="1"/>
  <c r="S64" i="1"/>
  <c r="U64" i="1"/>
  <c r="D63" i="1" a="1"/>
  <c r="D63" i="1" s="1"/>
  <c r="I63" i="1"/>
  <c r="F25" i="2"/>
  <c r="AO24" i="7" l="1"/>
  <c r="AS24" i="7" s="1"/>
  <c r="AO25" i="7"/>
  <c r="AR25" i="7" s="1"/>
  <c r="T66" i="1"/>
  <c r="R66" i="1"/>
  <c r="N67" i="1"/>
  <c r="P67" i="1" s="1"/>
  <c r="T67" i="1"/>
  <c r="N68" i="1"/>
  <c r="P68" i="1" s="1"/>
  <c r="T68" i="1"/>
  <c r="R67" i="1"/>
  <c r="AP25" i="7"/>
  <c r="AQ20" i="7"/>
  <c r="AT20" i="7" s="1"/>
  <c r="AO22" i="7"/>
  <c r="AU28" i="7"/>
  <c r="AO21" i="7"/>
  <c r="AR21" i="7" s="1"/>
  <c r="AO28" i="7"/>
  <c r="AS28" i="7" s="1"/>
  <c r="AV28" i="7" s="1"/>
  <c r="AO27" i="7"/>
  <c r="AQ27" i="7" s="1"/>
  <c r="AV20" i="7"/>
  <c r="AO26" i="7"/>
  <c r="AQ26" i="7" s="1"/>
  <c r="AT26" i="7" s="1"/>
  <c r="AR27" i="7"/>
  <c r="AQ28" i="7"/>
  <c r="AT28" i="7" s="1"/>
  <c r="AQ25" i="7"/>
  <c r="AQ22" i="7"/>
  <c r="AT22" i="7" s="1"/>
  <c r="AS27" i="7"/>
  <c r="AO20" i="7"/>
  <c r="AR20" i="7" s="1"/>
  <c r="AU20" i="7" s="1"/>
  <c r="AS25" i="7"/>
  <c r="AR24" i="7"/>
  <c r="AS22" i="7"/>
  <c r="AV22" i="7" s="1"/>
  <c r="AR23" i="7"/>
  <c r="AU23" i="7" s="1"/>
  <c r="AS21" i="7"/>
  <c r="AQ23" i="7"/>
  <c r="AT23" i="7" s="1"/>
  <c r="AS26" i="7"/>
  <c r="AV26" i="7" s="1"/>
  <c r="AO23" i="7"/>
  <c r="AS23" i="7" s="1"/>
  <c r="AV23" i="7" s="1"/>
  <c r="AR26" i="7"/>
  <c r="AU26" i="7" s="1"/>
  <c r="AR22" i="7"/>
  <c r="AU22" i="7" s="1"/>
  <c r="AQ24" i="7"/>
  <c r="AQ21" i="7"/>
  <c r="AP27" i="7"/>
  <c r="AP24" i="7"/>
  <c r="AP21" i="7"/>
  <c r="E437" i="3"/>
  <c r="D62" i="1" a="1"/>
  <c r="D62" i="1" s="1"/>
  <c r="I62" i="1"/>
  <c r="D61" i="1" a="1"/>
  <c r="D61" i="1" s="1"/>
  <c r="I61" i="1"/>
  <c r="D60" i="1" a="1"/>
  <c r="D60" i="1" s="1"/>
  <c r="F60" i="1"/>
  <c r="H60" i="1"/>
  <c r="I60" i="1"/>
  <c r="J60" i="1"/>
  <c r="L60" i="1"/>
  <c r="O60" i="1"/>
  <c r="Q60" i="1"/>
  <c r="S60" i="1"/>
  <c r="U60" i="1"/>
  <c r="D24" i="2"/>
  <c r="E24" i="2" s="1"/>
  <c r="F24" i="2"/>
  <c r="AV25" i="7" l="1"/>
  <c r="AT25" i="7"/>
  <c r="AU25" i="7"/>
  <c r="AT21" i="7"/>
  <c r="AV21" i="7"/>
  <c r="AU21" i="7"/>
  <c r="AU24" i="7"/>
  <c r="AT24" i="7"/>
  <c r="AV24" i="7"/>
  <c r="AT27" i="7"/>
  <c r="AV27" i="7"/>
  <c r="AU27" i="7"/>
  <c r="G437" i="3"/>
  <c r="G24" i="2"/>
  <c r="F437" i="3" s="1"/>
  <c r="H24" i="2"/>
  <c r="E415" i="3"/>
  <c r="D58" i="1" l="1" a="1"/>
  <c r="D58" i="1" s="1"/>
  <c r="D59" i="1" a="1"/>
  <c r="D59" i="1" s="1"/>
  <c r="I58" i="1"/>
  <c r="I59" i="1"/>
  <c r="F23" i="2" l="1"/>
  <c r="D57" i="1" l="1" a="1"/>
  <c r="D57" i="1" s="1"/>
  <c r="I57" i="1"/>
  <c r="D56" i="1" a="1"/>
  <c r="D56" i="1" s="1"/>
  <c r="I56" i="1"/>
  <c r="F22" i="2"/>
  <c r="I55" i="1" l="1"/>
  <c r="D55" i="1" a="1"/>
  <c r="D55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14" i="1"/>
  <c r="O20" i="1"/>
  <c r="O21" i="1"/>
  <c r="O23" i="1"/>
  <c r="O24" i="1"/>
  <c r="O25" i="1"/>
  <c r="O27" i="1"/>
  <c r="O28" i="1"/>
  <c r="O30" i="1"/>
  <c r="O32" i="1"/>
  <c r="O33" i="1"/>
  <c r="O40" i="1"/>
  <c r="O42" i="1"/>
  <c r="AK11" i="7"/>
  <c r="AK12" i="7"/>
  <c r="AK13" i="7"/>
  <c r="AK14" i="7"/>
  <c r="AK15" i="7"/>
  <c r="AK16" i="7"/>
  <c r="AK17" i="7"/>
  <c r="AK9" i="7"/>
  <c r="AK10" i="7"/>
  <c r="AK8" i="7"/>
  <c r="AL7" i="7" l="1"/>
  <c r="H19" i="2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5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7" i="12" s="1"/>
  <c r="H1" i="11"/>
  <c r="G6" i="12" s="1"/>
  <c r="G8" i="12" l="1"/>
  <c r="G1" i="11"/>
  <c r="C7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D53" i="1" a="1"/>
  <c r="D53" i="1" s="1"/>
  <c r="D52" i="1" a="1"/>
  <c r="D52" i="1" s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I49" i="1"/>
  <c r="I50" i="1"/>
  <c r="I47" i="1"/>
  <c r="I48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2" i="1"/>
  <c r="G3" i="1"/>
  <c r="G7" i="1"/>
  <c r="G5" i="1"/>
  <c r="G28" i="1"/>
  <c r="G25" i="1"/>
  <c r="G14" i="1"/>
  <c r="G21" i="1"/>
  <c r="G9" i="1"/>
  <c r="G41" i="1"/>
  <c r="G23" i="1"/>
  <c r="G6" i="1"/>
  <c r="G33" i="1"/>
  <c r="G27" i="1"/>
  <c r="G40" i="1"/>
  <c r="G20" i="1"/>
  <c r="G44" i="1"/>
  <c r="G8" i="1"/>
  <c r="G30" i="1"/>
  <c r="G11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68" i="1" l="1"/>
  <c r="J67" i="1"/>
  <c r="J66" i="1"/>
  <c r="J63" i="1"/>
  <c r="J65" i="1"/>
  <c r="J62" i="1"/>
  <c r="J61" i="1"/>
  <c r="J59" i="1"/>
  <c r="J58" i="1"/>
  <c r="J56" i="1"/>
  <c r="J57" i="1"/>
  <c r="J55" i="1"/>
  <c r="J54" i="1"/>
  <c r="J53" i="1"/>
  <c r="N51" i="1"/>
  <c r="P51" i="1" s="1"/>
  <c r="J52" i="1"/>
  <c r="J51" i="1"/>
  <c r="T51" i="1"/>
  <c r="R51" i="1"/>
  <c r="J50" i="1"/>
  <c r="J49" i="1"/>
  <c r="J48" i="1"/>
  <c r="J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E40" i="1"/>
  <c r="T40" i="1" s="1"/>
  <c r="F90" i="3" l="1"/>
  <c r="F96" i="3"/>
  <c r="F89" i="3"/>
  <c r="F92" i="3"/>
  <c r="M5" i="1"/>
  <c r="F94" i="3"/>
  <c r="F91" i="3"/>
  <c r="M20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10" i="1"/>
  <c r="M9" i="1"/>
  <c r="M14" i="1"/>
  <c r="M6" i="1"/>
  <c r="M30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0" i="1"/>
  <c r="E24" i="1"/>
  <c r="E23" i="1"/>
  <c r="E32" i="1"/>
  <c r="E21" i="1"/>
  <c r="E28" i="1"/>
  <c r="E14" i="1"/>
  <c r="E10" i="1"/>
  <c r="E7" i="1"/>
  <c r="E5" i="1"/>
  <c r="E20" i="1"/>
  <c r="E33" i="1"/>
  <c r="E11" i="1"/>
  <c r="E9" i="1"/>
  <c r="E27" i="1"/>
  <c r="E25" i="1"/>
  <c r="E8" i="1"/>
  <c r="E6" i="1"/>
  <c r="E3" i="1"/>
  <c r="N24" i="1" l="1"/>
  <c r="P24" i="1" s="1"/>
  <c r="N27" i="1"/>
  <c r="P27" i="1" s="1"/>
  <c r="K5" i="1"/>
  <c r="R5" i="1" s="1"/>
  <c r="R28" i="1"/>
  <c r="N28" i="1"/>
  <c r="P28" i="1" s="1"/>
  <c r="R32" i="1"/>
  <c r="N32" i="1"/>
  <c r="P32" i="1" s="1"/>
  <c r="F20" i="1"/>
  <c r="F10" i="1"/>
  <c r="F42" i="1"/>
  <c r="F3" i="1"/>
  <c r="F27" i="1"/>
  <c r="F24" i="1"/>
  <c r="R24" i="1"/>
  <c r="K33" i="1"/>
  <c r="K6" i="1"/>
  <c r="K9" i="1"/>
  <c r="R27" i="1"/>
  <c r="K23" i="1"/>
  <c r="K30" i="1"/>
  <c r="K20" i="1"/>
  <c r="K8" i="1"/>
  <c r="K11" i="1"/>
  <c r="K25" i="1"/>
  <c r="K7" i="1"/>
  <c r="K3" i="1"/>
  <c r="K21" i="1"/>
  <c r="T2" i="1"/>
  <c r="C6" i="12"/>
  <c r="K14" i="1"/>
  <c r="K10" i="1"/>
  <c r="N9" i="1" l="1"/>
  <c r="P9" i="1" s="1"/>
  <c r="N20" i="1"/>
  <c r="P20" i="1" s="1"/>
  <c r="N3" i="1"/>
  <c r="N11" i="1"/>
  <c r="P11" i="1" s="1"/>
  <c r="N10" i="1"/>
  <c r="N25" i="1"/>
  <c r="P25" i="1" s="1"/>
  <c r="N6" i="1"/>
  <c r="P6" i="1" s="1"/>
  <c r="N8" i="1"/>
  <c r="P8" i="1" s="1"/>
  <c r="N5" i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R3" i="1"/>
  <c r="L3" i="1"/>
  <c r="L42" i="1"/>
  <c r="L27" i="1"/>
  <c r="R20" i="1"/>
  <c r="L20" i="1"/>
  <c r="R10" i="1"/>
  <c r="L10" i="1"/>
  <c r="L24" i="1"/>
  <c r="R6" i="1"/>
  <c r="R9" i="1"/>
  <c r="R8" i="1"/>
  <c r="R11" i="1"/>
  <c r="R25" i="1"/>
  <c r="T32" i="1"/>
  <c r="T33" i="1"/>
  <c r="P10" i="1" l="1"/>
  <c r="O10" i="1"/>
  <c r="P5" i="1"/>
  <c r="P3" i="1"/>
  <c r="O3" i="1"/>
  <c r="S20" i="1"/>
  <c r="S3" i="1"/>
  <c r="S42" i="1"/>
  <c r="S27" i="1"/>
  <c r="S10" i="1"/>
  <c r="S24" i="1"/>
  <c r="T27" i="1" l="1"/>
  <c r="T20" i="1"/>
  <c r="T28" i="1"/>
  <c r="T30" i="1"/>
  <c r="T6" i="1"/>
  <c r="T25" i="1"/>
  <c r="T14" i="1"/>
  <c r="T7" i="1"/>
  <c r="T3" i="1"/>
  <c r="T9" i="1"/>
  <c r="T5" i="1"/>
  <c r="T21" i="1"/>
  <c r="T8" i="1"/>
  <c r="T10" i="1"/>
  <c r="T11" i="1"/>
  <c r="T23" i="1"/>
  <c r="T24" i="1" l="1"/>
  <c r="U3" i="1" l="1"/>
  <c r="U27" i="1"/>
  <c r="U24" i="1"/>
  <c r="U20" i="1"/>
  <c r="U10" i="1"/>
  <c r="J19" i="1"/>
  <c r="H42" i="1"/>
  <c r="J45" i="1"/>
  <c r="Q27" i="1"/>
  <c r="Q20" i="1"/>
  <c r="Q42" i="1"/>
  <c r="H7" i="1"/>
  <c r="H10" i="1"/>
  <c r="J24" i="1"/>
  <c r="J40" i="1"/>
  <c r="J22" i="1"/>
  <c r="H20" i="1"/>
  <c r="J46" i="1"/>
  <c r="J27" i="1"/>
  <c r="J20" i="1"/>
  <c r="J31" i="1"/>
  <c r="Q24" i="1"/>
  <c r="J7" i="1"/>
  <c r="Q7" i="1"/>
  <c r="J39" i="1"/>
  <c r="Q3" i="1"/>
  <c r="J5" i="1"/>
  <c r="J16" i="1"/>
  <c r="H27" i="1"/>
  <c r="J13" i="1"/>
  <c r="H9" i="1"/>
  <c r="J36" i="1"/>
  <c r="J9" i="1"/>
  <c r="H40" i="1"/>
  <c r="Q9" i="1"/>
  <c r="Q40" i="1"/>
  <c r="J29" i="1"/>
  <c r="J42" i="1"/>
  <c r="J43" i="1"/>
  <c r="J35" i="1"/>
  <c r="J38" i="1"/>
  <c r="J37" i="1"/>
  <c r="J41" i="1"/>
  <c r="J17" i="1"/>
  <c r="H3" i="1"/>
  <c r="J15" i="1"/>
  <c r="H24" i="1"/>
  <c r="J44" i="1"/>
  <c r="J3" i="1"/>
  <c r="J34" i="1"/>
  <c r="J26" i="1"/>
  <c r="J4" i="1"/>
  <c r="J18" i="1"/>
  <c r="J10" i="1"/>
  <c r="Q10" i="1"/>
  <c r="J12" i="1"/>
  <c r="L14" i="7" l="1"/>
  <c r="L15" i="7"/>
  <c r="L16" i="7"/>
  <c r="L12" i="7"/>
  <c r="N12" i="7" s="1" a="1"/>
  <c r="N12" i="7" s="1"/>
  <c r="L13" i="7"/>
  <c r="N13" i="7" s="1" a="1"/>
  <c r="N13" i="7" s="1"/>
  <c r="N14" i="7" l="1" a="1"/>
  <c r="N14" i="7" s="1"/>
  <c r="O14" i="7" s="1"/>
  <c r="M14" i="7" s="1"/>
  <c r="N15" i="7" a="1"/>
  <c r="N15" i="7" s="1"/>
  <c r="O15" i="7" s="1"/>
  <c r="M15" i="7" s="1"/>
  <c r="N16" i="7" a="1"/>
  <c r="N16" i="7" s="1"/>
  <c r="O16" i="7" s="1"/>
  <c r="M16" i="7" s="1"/>
  <c r="O13" i="7"/>
  <c r="M13" i="7" s="1"/>
  <c r="P13" i="7"/>
  <c r="P12" i="7"/>
  <c r="O12" i="7"/>
  <c r="M12" i="7" s="1"/>
  <c r="P14" i="7" l="1"/>
  <c r="P15" i="7"/>
  <c r="P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F365" i="3"/>
  <c r="D22" i="2" l="1"/>
  <c r="G391" i="3" s="1"/>
  <c r="E391" i="3"/>
  <c r="E390" i="3"/>
  <c r="G57" i="1"/>
  <c r="E387" i="3"/>
  <c r="E396" i="3"/>
  <c r="E378" i="3"/>
  <c r="E393" i="3"/>
  <c r="E22" i="1" s="1"/>
  <c r="E389" i="3"/>
  <c r="G22" i="1"/>
  <c r="E379" i="3"/>
  <c r="E384" i="3"/>
  <c r="E394" i="3"/>
  <c r="E395" i="3"/>
  <c r="E392" i="3"/>
  <c r="E375" i="3"/>
  <c r="E377" i="3"/>
  <c r="G4" i="1"/>
  <c r="E383" i="3"/>
  <c r="E380" i="3"/>
  <c r="E376" i="3"/>
  <c r="E382" i="3"/>
  <c r="E386" i="3"/>
  <c r="E388" i="3"/>
  <c r="E385" i="3"/>
  <c r="E4" i="1" s="1"/>
  <c r="E381" i="3"/>
  <c r="E57" i="1" s="1"/>
  <c r="G394" i="3" l="1"/>
  <c r="G383" i="3"/>
  <c r="G384" i="3"/>
  <c r="G378" i="3"/>
  <c r="G387" i="3"/>
  <c r="G375" i="3"/>
  <c r="G379" i="3"/>
  <c r="G390" i="3"/>
  <c r="H57" i="1"/>
  <c r="G389" i="3"/>
  <c r="G388" i="3"/>
  <c r="G396" i="3"/>
  <c r="H22" i="2"/>
  <c r="G376" i="3"/>
  <c r="G381" i="3"/>
  <c r="M57" i="1" s="1"/>
  <c r="G386" i="3"/>
  <c r="G395" i="3"/>
  <c r="G392" i="3"/>
  <c r="G393" i="3"/>
  <c r="M22" i="1" s="1"/>
  <c r="G377" i="3"/>
  <c r="F41" i="1"/>
  <c r="F51" i="1"/>
  <c r="F22" i="1"/>
  <c r="F57" i="1"/>
  <c r="H22" i="1"/>
  <c r="G382" i="3"/>
  <c r="G22" i="2"/>
  <c r="E22" i="2"/>
  <c r="H41" i="1"/>
  <c r="G380" i="3"/>
  <c r="H51" i="1"/>
  <c r="G385" i="3"/>
  <c r="M4" i="1" s="1"/>
  <c r="F391" i="3" l="1"/>
  <c r="F375" i="3"/>
  <c r="F389" i="3"/>
  <c r="F384" i="3"/>
  <c r="F381" i="3"/>
  <c r="K57" i="1" s="1"/>
  <c r="F378" i="3"/>
  <c r="F396" i="3"/>
  <c r="F394" i="3"/>
  <c r="F385" i="3"/>
  <c r="K4" i="1" s="1"/>
  <c r="F383" i="3"/>
  <c r="F393" i="3"/>
  <c r="K22" i="1" s="1"/>
  <c r="F390" i="3"/>
  <c r="F379" i="3"/>
  <c r="F395" i="3"/>
  <c r="F392" i="3"/>
  <c r="F377" i="3"/>
  <c r="F380" i="3"/>
  <c r="F382" i="3"/>
  <c r="F376" i="3"/>
  <c r="F386" i="3"/>
  <c r="F387" i="3"/>
  <c r="F388" i="3"/>
  <c r="L22" i="1" l="1"/>
  <c r="T22" i="1"/>
  <c r="R22" i="1"/>
  <c r="N22" i="1"/>
  <c r="L51" i="1"/>
  <c r="R4" i="1"/>
  <c r="L41" i="1"/>
  <c r="N4" i="1"/>
  <c r="T4" i="1"/>
  <c r="N57" i="1"/>
  <c r="R57" i="1"/>
  <c r="L57" i="1"/>
  <c r="T57" i="1"/>
  <c r="P57" i="1" l="1"/>
  <c r="O57" i="1"/>
  <c r="P22" i="1"/>
  <c r="O22" i="1"/>
  <c r="S57" i="1"/>
  <c r="P4" i="1"/>
  <c r="O51" i="1"/>
  <c r="O41" i="1"/>
  <c r="S22" i="1"/>
  <c r="U22" i="1"/>
  <c r="U51" i="1"/>
  <c r="U41" i="1"/>
  <c r="S41" i="1"/>
  <c r="S51" i="1"/>
  <c r="U57" i="1"/>
  <c r="Q41" i="1" l="1"/>
  <c r="Q51" i="1"/>
  <c r="Q22" i="1"/>
  <c r="Q57" i="1"/>
  <c r="E412" i="3"/>
  <c r="D23" i="2"/>
  <c r="G413" i="3" s="1"/>
  <c r="E398" i="3"/>
  <c r="E404" i="3"/>
  <c r="E52" i="1" s="1"/>
  <c r="E409" i="3"/>
  <c r="E405" i="3"/>
  <c r="E401" i="3"/>
  <c r="E397" i="3"/>
  <c r="G53" i="1"/>
  <c r="E406" i="3"/>
  <c r="E410" i="3"/>
  <c r="E399" i="3"/>
  <c r="E402" i="3"/>
  <c r="E407" i="3"/>
  <c r="E408" i="3"/>
  <c r="E414" i="3"/>
  <c r="E400" i="3"/>
  <c r="E411" i="3"/>
  <c r="G52" i="1"/>
  <c r="E403" i="3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G23" i="2"/>
  <c r="G400" i="3"/>
  <c r="G399" i="3"/>
  <c r="G405" i="3"/>
  <c r="G412" i="3"/>
  <c r="G401" i="3"/>
  <c r="G404" i="3"/>
  <c r="M52" i="1" s="1"/>
  <c r="E53" i="1"/>
  <c r="G402" i="3"/>
  <c r="G397" i="3"/>
  <c r="M53" i="1" s="1"/>
  <c r="G411" i="3"/>
  <c r="F410" i="3" l="1"/>
  <c r="F415" i="3"/>
  <c r="F399" i="3"/>
  <c r="F406" i="3"/>
  <c r="F401" i="3"/>
  <c r="F414" i="3"/>
  <c r="F404" i="3"/>
  <c r="K52" i="1" s="1"/>
  <c r="F397" i="3"/>
  <c r="K53" i="1" s="1"/>
  <c r="T53" i="1" s="1"/>
  <c r="F398" i="3"/>
  <c r="F407" i="3"/>
  <c r="F402" i="3"/>
  <c r="F400" i="3"/>
  <c r="F403" i="3"/>
  <c r="F413" i="3"/>
  <c r="F405" i="3"/>
  <c r="F409" i="3"/>
  <c r="F408" i="3"/>
  <c r="F412" i="3"/>
  <c r="F411" i="3"/>
  <c r="R53" i="1" l="1"/>
  <c r="N53" i="1"/>
  <c r="N52" i="1"/>
  <c r="R52" i="1"/>
  <c r="T52" i="1"/>
  <c r="P52" i="1" l="1"/>
  <c r="P53" i="1"/>
  <c r="G429" i="3" l="1"/>
  <c r="G436" i="3"/>
  <c r="E436" i="3"/>
  <c r="G434" i="3"/>
  <c r="G435" i="3"/>
  <c r="M29" i="1" s="1"/>
  <c r="G418" i="3"/>
  <c r="M18" i="1" s="1"/>
  <c r="G29" i="1"/>
  <c r="G19" i="1"/>
  <c r="G430" i="3"/>
  <c r="M61" i="1" s="1"/>
  <c r="G424" i="3"/>
  <c r="E426" i="3"/>
  <c r="E59" i="1" s="1"/>
  <c r="G416" i="3"/>
  <c r="G428" i="3"/>
  <c r="G432" i="3"/>
  <c r="G427" i="3"/>
  <c r="M58" i="1" s="1"/>
  <c r="G59" i="1"/>
  <c r="G58" i="1"/>
  <c r="G431" i="3"/>
  <c r="G425" i="3"/>
  <c r="G433" i="3"/>
  <c r="G422" i="3"/>
  <c r="G421" i="3"/>
  <c r="E431" i="3"/>
  <c r="G420" i="3"/>
  <c r="F436" i="3"/>
  <c r="E427" i="3"/>
  <c r="E58" i="1" s="1"/>
  <c r="F431" i="3"/>
  <c r="G419" i="3"/>
  <c r="M19" i="1" s="1"/>
  <c r="G61" i="1"/>
  <c r="E423" i="3"/>
  <c r="E424" i="3"/>
  <c r="E422" i="3"/>
  <c r="E432" i="3"/>
  <c r="G426" i="3"/>
  <c r="M59" i="1" s="1"/>
  <c r="E433" i="3"/>
  <c r="E416" i="3"/>
  <c r="F433" i="3"/>
  <c r="F427" i="3"/>
  <c r="K58" i="1" s="1"/>
  <c r="F429" i="3"/>
  <c r="E429" i="3"/>
  <c r="E430" i="3"/>
  <c r="E61" i="1" s="1"/>
  <c r="E418" i="3"/>
  <c r="E18" i="1" s="1"/>
  <c r="F421" i="3"/>
  <c r="E421" i="3"/>
  <c r="F430" i="3"/>
  <c r="K61" i="1" s="1"/>
  <c r="F422" i="3"/>
  <c r="F420" i="3"/>
  <c r="E420" i="3"/>
  <c r="F428" i="3"/>
  <c r="E428" i="3"/>
  <c r="F432" i="3"/>
  <c r="F424" i="3"/>
  <c r="E417" i="3"/>
  <c r="F435" i="3"/>
  <c r="K29" i="1" s="1"/>
  <c r="E435" i="3"/>
  <c r="E29" i="1" s="1"/>
  <c r="F426" i="3"/>
  <c r="K59" i="1" s="1"/>
  <c r="N59" i="1" s="1"/>
  <c r="F425" i="3"/>
  <c r="E425" i="3"/>
  <c r="E419" i="3"/>
  <c r="E19" i="1" s="1"/>
  <c r="F419" i="3"/>
  <c r="K19" i="1" s="1"/>
  <c r="F423" i="3"/>
  <c r="G423" i="3"/>
  <c r="F416" i="3"/>
  <c r="F417" i="3"/>
  <c r="G417" i="3"/>
  <c r="E434" i="3"/>
  <c r="F418" i="3"/>
  <c r="K18" i="1" s="1"/>
  <c r="N18" i="1" s="1"/>
  <c r="G18" i="1"/>
  <c r="F434" i="3"/>
  <c r="R61" i="1" l="1"/>
  <c r="R19" i="1"/>
  <c r="T19" i="1"/>
  <c r="R59" i="1"/>
  <c r="R29" i="1"/>
  <c r="N29" i="1"/>
  <c r="P29" i="1" s="1"/>
  <c r="T29" i="1"/>
  <c r="N58" i="1"/>
  <c r="P58" i="1" s="1"/>
  <c r="R58" i="1"/>
  <c r="T18" i="1"/>
  <c r="P59" i="1"/>
  <c r="T58" i="1"/>
  <c r="F53" i="1"/>
  <c r="P18" i="1"/>
  <c r="L44" i="1"/>
  <c r="T61" i="1"/>
  <c r="N19" i="1"/>
  <c r="R18" i="1"/>
  <c r="F5" i="1"/>
  <c r="H53" i="1"/>
  <c r="T59" i="1"/>
  <c r="N61" i="1"/>
  <c r="L53" i="1"/>
  <c r="F44" i="1"/>
  <c r="H5" i="1"/>
  <c r="H44" i="1"/>
  <c r="L5" i="1"/>
  <c r="S44" i="1" l="1"/>
  <c r="S53" i="1"/>
  <c r="O44" i="1"/>
  <c r="O53" i="1"/>
  <c r="O5" i="1"/>
  <c r="U53" i="1"/>
  <c r="S5" i="1"/>
  <c r="U44" i="1"/>
  <c r="U5" i="1"/>
  <c r="P61" i="1"/>
  <c r="P19" i="1"/>
  <c r="Q5" i="1" l="1"/>
  <c r="Q44" i="1"/>
  <c r="Q53" i="1"/>
  <c r="E453" i="3"/>
  <c r="E43" i="1" s="1"/>
  <c r="E446" i="3"/>
  <c r="E442" i="3"/>
  <c r="E56" i="1" s="1"/>
  <c r="E449" i="3"/>
  <c r="G56" i="1"/>
  <c r="G43" i="1"/>
  <c r="G64" i="1"/>
  <c r="E450" i="3"/>
  <c r="E64" i="1"/>
  <c r="G65" i="1"/>
  <c r="D25" i="2"/>
  <c r="G442" i="3" s="1"/>
  <c r="M56" i="1" s="1"/>
  <c r="E447" i="3"/>
  <c r="E451" i="3"/>
  <c r="E45" i="1"/>
  <c r="E452" i="3"/>
  <c r="E65" i="1" s="1"/>
  <c r="E440" i="3"/>
  <c r="E448" i="3"/>
  <c r="E438" i="3"/>
  <c r="E444" i="3"/>
  <c r="E454" i="3"/>
  <c r="E445" i="3"/>
  <c r="E443" i="3"/>
  <c r="E441" i="3"/>
  <c r="E439" i="3"/>
  <c r="G45" i="1"/>
  <c r="G440" i="3" l="1"/>
  <c r="G444" i="3"/>
  <c r="G438" i="3"/>
  <c r="G25" i="2"/>
  <c r="F453" i="3" s="1"/>
  <c r="K43" i="1" s="1"/>
  <c r="T43" i="1" s="1"/>
  <c r="G449" i="3"/>
  <c r="H25" i="2"/>
  <c r="F59" i="1"/>
  <c r="F58" i="1"/>
  <c r="H58" i="1"/>
  <c r="H59" i="1"/>
  <c r="G447" i="3"/>
  <c r="G445" i="3"/>
  <c r="G450" i="3"/>
  <c r="M64" i="1" s="1"/>
  <c r="E25" i="2"/>
  <c r="G453" i="3"/>
  <c r="M43" i="1" s="1"/>
  <c r="G448" i="3"/>
  <c r="G452" i="3"/>
  <c r="M65" i="1" s="1"/>
  <c r="G439" i="3"/>
  <c r="G451" i="3"/>
  <c r="M45" i="1" s="1"/>
  <c r="G441" i="3"/>
  <c r="G454" i="3"/>
  <c r="G446" i="3"/>
  <c r="G443" i="3"/>
  <c r="F442" i="3" l="1"/>
  <c r="K56" i="1" s="1"/>
  <c r="R56" i="1" s="1"/>
  <c r="F454" i="3"/>
  <c r="F441" i="3"/>
  <c r="F443" i="3"/>
  <c r="F449" i="3"/>
  <c r="F448" i="3"/>
  <c r="F446" i="3"/>
  <c r="F447" i="3"/>
  <c r="F445" i="3"/>
  <c r="F451" i="3"/>
  <c r="K45" i="1" s="1"/>
  <c r="F444" i="3"/>
  <c r="F452" i="3"/>
  <c r="K65" i="1" s="1"/>
  <c r="F450" i="3"/>
  <c r="K64" i="1" s="1"/>
  <c r="F438" i="3"/>
  <c r="F440" i="3"/>
  <c r="F439" i="3"/>
  <c r="N43" i="1"/>
  <c r="R43" i="1"/>
  <c r="T56" i="1" l="1"/>
  <c r="N56" i="1"/>
  <c r="P56" i="1" s="1"/>
  <c r="L58" i="1"/>
  <c r="L59" i="1"/>
  <c r="T64" i="1"/>
  <c r="R64" i="1"/>
  <c r="N64" i="1"/>
  <c r="P64" i="1" s="1"/>
  <c r="N65" i="1"/>
  <c r="P65" i="1" s="1"/>
  <c r="R65" i="1"/>
  <c r="T65" i="1"/>
  <c r="T45" i="1"/>
  <c r="N45" i="1"/>
  <c r="P45" i="1" s="1"/>
  <c r="R45" i="1"/>
  <c r="P43" i="1"/>
  <c r="U59" i="1" l="1"/>
  <c r="S59" i="1"/>
  <c r="O59" i="1"/>
  <c r="O58" i="1"/>
  <c r="U58" i="1"/>
  <c r="S58" i="1"/>
  <c r="Q59" i="1"/>
  <c r="Q58" i="1"/>
  <c r="E469" i="3"/>
  <c r="G60" i="1"/>
  <c r="G36" i="1"/>
  <c r="D26" i="2"/>
  <c r="G469" i="3" s="1"/>
  <c r="G49" i="1"/>
  <c r="E457" i="3"/>
  <c r="G13" i="1"/>
  <c r="G46" i="1"/>
  <c r="G54" i="1"/>
  <c r="E456" i="3"/>
  <c r="E50" i="1" s="1"/>
  <c r="E461" i="3"/>
  <c r="E39" i="1"/>
  <c r="G35" i="1"/>
  <c r="E476" i="3"/>
  <c r="E62" i="1" s="1"/>
  <c r="G38" i="1"/>
  <c r="E477" i="3"/>
  <c r="E17" i="1" s="1"/>
  <c r="G50" i="1"/>
  <c r="E472" i="3"/>
  <c r="E47" i="1" s="1"/>
  <c r="G48" i="1"/>
  <c r="G15" i="1"/>
  <c r="E463" i="3"/>
  <c r="E54" i="1" s="1"/>
  <c r="G34" i="1"/>
  <c r="G63" i="1"/>
  <c r="G39" i="1"/>
  <c r="G62" i="1"/>
  <c r="E473" i="3"/>
  <c r="E26" i="1" s="1"/>
  <c r="E479" i="3"/>
  <c r="E63" i="1" s="1"/>
  <c r="E470" i="3"/>
  <c r="E36" i="1" s="1"/>
  <c r="E465" i="3"/>
  <c r="E48" i="1" s="1"/>
  <c r="E455" i="3"/>
  <c r="G26" i="1"/>
  <c r="G16" i="1"/>
  <c r="G37" i="1"/>
  <c r="E471" i="3"/>
  <c r="E38" i="1" s="1"/>
  <c r="E459" i="3"/>
  <c r="E16" i="1" s="1"/>
  <c r="E460" i="3"/>
  <c r="E35" i="1" s="1"/>
  <c r="E478" i="3"/>
  <c r="E15" i="1" s="1"/>
  <c r="G47" i="1"/>
  <c r="E467" i="3"/>
  <c r="E49" i="1"/>
  <c r="G31" i="1"/>
  <c r="G55" i="1"/>
  <c r="G12" i="1"/>
  <c r="E475" i="3"/>
  <c r="E46" i="1" s="1"/>
  <c r="E468" i="3"/>
  <c r="E12" i="1" s="1"/>
  <c r="E466" i="3"/>
  <c r="E34" i="1"/>
  <c r="G17" i="1"/>
  <c r="E464" i="3"/>
  <c r="E60" i="1" s="1"/>
  <c r="E474" i="3"/>
  <c r="E13" i="1" s="1"/>
  <c r="E458" i="3"/>
  <c r="E55" i="1" s="1"/>
  <c r="E462" i="3"/>
  <c r="E31" i="1" s="1"/>
  <c r="G468" i="3" l="1"/>
  <c r="M12" i="1" s="1"/>
  <c r="G479" i="3"/>
  <c r="M63" i="1" s="1"/>
  <c r="G462" i="3"/>
  <c r="M31" i="1" s="1"/>
  <c r="G476" i="3"/>
  <c r="M62" i="1" s="1"/>
  <c r="G464" i="3"/>
  <c r="M60" i="1" s="1"/>
  <c r="G474" i="3"/>
  <c r="M13" i="1" s="1"/>
  <c r="G458" i="3"/>
  <c r="M55" i="1" s="1"/>
  <c r="G467" i="3"/>
  <c r="M49" i="1" s="1"/>
  <c r="G463" i="3"/>
  <c r="G461" i="3"/>
  <c r="M39" i="1" s="1"/>
  <c r="G466" i="3"/>
  <c r="M34" i="1" s="1"/>
  <c r="G465" i="3"/>
  <c r="M48" i="1" s="1"/>
  <c r="G478" i="3"/>
  <c r="M15" i="1" s="1"/>
  <c r="H68" i="1"/>
  <c r="H67" i="1"/>
  <c r="G457" i="3"/>
  <c r="M54" i="1" s="1"/>
  <c r="G472" i="3"/>
  <c r="M47" i="1" s="1"/>
  <c r="H66" i="1"/>
  <c r="G473" i="3"/>
  <c r="M26" i="1" s="1"/>
  <c r="G477" i="3"/>
  <c r="M17" i="1" s="1"/>
  <c r="H47" i="1"/>
  <c r="H26" i="1"/>
  <c r="H37" i="1"/>
  <c r="K1" i="3"/>
  <c r="C4" i="12" s="1"/>
  <c r="C8" i="12" s="1"/>
  <c r="G456" i="3"/>
  <c r="M50" i="1" s="1"/>
  <c r="G459" i="3"/>
  <c r="M16" i="1" s="1"/>
  <c r="H38" i="1"/>
  <c r="E26" i="2"/>
  <c r="H26" i="2"/>
  <c r="H15" i="1"/>
  <c r="G475" i="3"/>
  <c r="M46" i="1" s="1"/>
  <c r="H19" i="1"/>
  <c r="H48" i="1"/>
  <c r="H55" i="1"/>
  <c r="H62" i="1"/>
  <c r="G470" i="3"/>
  <c r="M36" i="1" s="1"/>
  <c r="H17" i="1"/>
  <c r="H31" i="1"/>
  <c r="H50" i="1"/>
  <c r="G460" i="3"/>
  <c r="M35" i="1" s="1"/>
  <c r="H49" i="1"/>
  <c r="H39" i="1"/>
  <c r="H54" i="1"/>
  <c r="H13" i="1"/>
  <c r="G455" i="3"/>
  <c r="M37" i="1" s="1"/>
  <c r="H36" i="1"/>
  <c r="H16" i="1"/>
  <c r="H45" i="1"/>
  <c r="H46" i="1"/>
  <c r="H4" i="1"/>
  <c r="H35" i="1"/>
  <c r="H43" i="1"/>
  <c r="G26" i="2"/>
  <c r="H65" i="1"/>
  <c r="E37" i="1"/>
  <c r="F43" i="1" s="1"/>
  <c r="H63" i="1"/>
  <c r="H12" i="1"/>
  <c r="G471" i="3"/>
  <c r="M38" i="1" s="1"/>
  <c r="H61" i="1"/>
  <c r="H52" i="1"/>
  <c r="H56" i="1"/>
  <c r="H29" i="1"/>
  <c r="H18" i="1"/>
  <c r="H34" i="1"/>
  <c r="F67" i="1" l="1"/>
  <c r="F68" i="1"/>
  <c r="F66" i="1"/>
  <c r="F18" i="1"/>
  <c r="F56" i="1"/>
  <c r="F12" i="1"/>
  <c r="F37" i="1"/>
  <c r="F49" i="1"/>
  <c r="F26" i="1"/>
  <c r="F48" i="1"/>
  <c r="F479" i="3"/>
  <c r="K63" i="1" s="1"/>
  <c r="F457" i="3"/>
  <c r="F478" i="3"/>
  <c r="K15" i="1" s="1"/>
  <c r="F472" i="3"/>
  <c r="K47" i="1" s="1"/>
  <c r="F469" i="3"/>
  <c r="F456" i="3"/>
  <c r="K50" i="1" s="1"/>
  <c r="F467" i="3"/>
  <c r="K49" i="1" s="1"/>
  <c r="F455" i="3"/>
  <c r="K37" i="1" s="1"/>
  <c r="T37" i="1" s="1"/>
  <c r="F463" i="3"/>
  <c r="F471" i="3"/>
  <c r="K38" i="1" s="1"/>
  <c r="F475" i="3"/>
  <c r="K46" i="1" s="1"/>
  <c r="F466" i="3"/>
  <c r="K34" i="1" s="1"/>
  <c r="F474" i="3"/>
  <c r="K13" i="1" s="1"/>
  <c r="F460" i="3"/>
  <c r="K35" i="1" s="1"/>
  <c r="F459" i="3"/>
  <c r="K16" i="1" s="1"/>
  <c r="F470" i="3"/>
  <c r="K36" i="1" s="1"/>
  <c r="F473" i="3"/>
  <c r="K26" i="1" s="1"/>
  <c r="F464" i="3"/>
  <c r="K60" i="1" s="1"/>
  <c r="F468" i="3"/>
  <c r="K12" i="1" s="1"/>
  <c r="F462" i="3"/>
  <c r="K31" i="1" s="1"/>
  <c r="F461" i="3"/>
  <c r="K39" i="1" s="1"/>
  <c r="F465" i="3"/>
  <c r="K48" i="1" s="1"/>
  <c r="F477" i="3"/>
  <c r="K17" i="1" s="1"/>
  <c r="F476" i="3"/>
  <c r="K62" i="1" s="1"/>
  <c r="F458" i="3"/>
  <c r="K55" i="1" s="1"/>
  <c r="F39" i="1"/>
  <c r="F38" i="1"/>
  <c r="F4" i="1"/>
  <c r="F46" i="1"/>
  <c r="F54" i="1"/>
  <c r="F63" i="1"/>
  <c r="L20" i="7"/>
  <c r="N20" i="7" s="1" a="1"/>
  <c r="N20" i="7" s="1"/>
  <c r="L23" i="7"/>
  <c r="N23" i="7" s="1" a="1"/>
  <c r="N23" i="7" s="1"/>
  <c r="L22" i="7"/>
  <c r="N22" i="7" s="1" a="1"/>
  <c r="N22" i="7" s="1"/>
  <c r="L21" i="7"/>
  <c r="N21" i="7" s="1" a="1"/>
  <c r="N21" i="7" s="1"/>
  <c r="L24" i="7"/>
  <c r="N24" i="7" s="1" a="1"/>
  <c r="N24" i="7" s="1"/>
  <c r="F13" i="1"/>
  <c r="F61" i="1"/>
  <c r="F29" i="1"/>
  <c r="F65" i="1"/>
  <c r="F16" i="1"/>
  <c r="F19" i="1"/>
  <c r="F47" i="1"/>
  <c r="F34" i="1"/>
  <c r="F55" i="1"/>
  <c r="F17" i="1"/>
  <c r="F62" i="1"/>
  <c r="F15" i="1"/>
  <c r="F52" i="1"/>
  <c r="F35" i="1"/>
  <c r="F45" i="1"/>
  <c r="F50" i="1"/>
  <c r="F36" i="1"/>
  <c r="F31" i="1"/>
  <c r="K54" i="1" l="1"/>
  <c r="L55" i="1" s="1"/>
  <c r="R60" i="1"/>
  <c r="N60" i="1"/>
  <c r="P60" i="1" s="1"/>
  <c r="T60" i="1"/>
  <c r="N50" i="1"/>
  <c r="R50" i="1"/>
  <c r="T50" i="1"/>
  <c r="R26" i="1"/>
  <c r="N26" i="1"/>
  <c r="T26" i="1"/>
  <c r="N36" i="1"/>
  <c r="R36" i="1"/>
  <c r="T36" i="1"/>
  <c r="R47" i="1"/>
  <c r="N47" i="1"/>
  <c r="T47" i="1"/>
  <c r="N16" i="1"/>
  <c r="R16" i="1"/>
  <c r="T16" i="1"/>
  <c r="T15" i="1"/>
  <c r="R15" i="1"/>
  <c r="N15" i="1"/>
  <c r="N35" i="1"/>
  <c r="R35" i="1"/>
  <c r="T35" i="1"/>
  <c r="R55" i="1"/>
  <c r="N55" i="1"/>
  <c r="T55" i="1"/>
  <c r="N13" i="1"/>
  <c r="R13" i="1"/>
  <c r="T13" i="1"/>
  <c r="N63" i="1"/>
  <c r="T63" i="1"/>
  <c r="R63" i="1"/>
  <c r="P24" i="7"/>
  <c r="O24" i="7"/>
  <c r="M24" i="7" s="1"/>
  <c r="N62" i="1"/>
  <c r="R62" i="1"/>
  <c r="T62" i="1"/>
  <c r="R34" i="1"/>
  <c r="N34" i="1"/>
  <c r="T34" i="1"/>
  <c r="P21" i="7"/>
  <c r="O21" i="7"/>
  <c r="M21" i="7" s="1"/>
  <c r="R17" i="1"/>
  <c r="N17" i="1"/>
  <c r="T17" i="1"/>
  <c r="R46" i="1"/>
  <c r="N46" i="1"/>
  <c r="T46" i="1"/>
  <c r="P22" i="7"/>
  <c r="O22" i="7"/>
  <c r="M22" i="7" s="1"/>
  <c r="N48" i="1"/>
  <c r="R48" i="1"/>
  <c r="T48" i="1"/>
  <c r="T38" i="1"/>
  <c r="R38" i="1"/>
  <c r="N38" i="1"/>
  <c r="O23" i="7"/>
  <c r="M23" i="7" s="1"/>
  <c r="P23" i="7"/>
  <c r="R39" i="1"/>
  <c r="N39" i="1"/>
  <c r="T39" i="1"/>
  <c r="O20" i="7"/>
  <c r="M20" i="7" s="1"/>
  <c r="P20" i="7"/>
  <c r="N31" i="1"/>
  <c r="R31" i="1"/>
  <c r="T31" i="1"/>
  <c r="R37" i="1"/>
  <c r="N37" i="1"/>
  <c r="R12" i="1"/>
  <c r="N12" i="1"/>
  <c r="T12" i="1"/>
  <c r="N49" i="1"/>
  <c r="R49" i="1"/>
  <c r="T49" i="1"/>
  <c r="L68" i="1" l="1"/>
  <c r="L67" i="1"/>
  <c r="L66" i="1"/>
  <c r="L37" i="1"/>
  <c r="L12" i="1"/>
  <c r="L18" i="1"/>
  <c r="L48" i="1"/>
  <c r="L63" i="1"/>
  <c r="T54" i="1"/>
  <c r="U31" i="1" s="1"/>
  <c r="L43" i="1"/>
  <c r="L26" i="1"/>
  <c r="L36" i="1"/>
  <c r="L65" i="1"/>
  <c r="L45" i="1"/>
  <c r="L16" i="1"/>
  <c r="L49" i="1"/>
  <c r="L39" i="1"/>
  <c r="L54" i="1"/>
  <c r="L56" i="1"/>
  <c r="N54" i="1"/>
  <c r="O39" i="1" s="1"/>
  <c r="R54" i="1"/>
  <c r="S66" i="1" s="1"/>
  <c r="L19" i="1"/>
  <c r="L34" i="1"/>
  <c r="L35" i="1"/>
  <c r="L13" i="1"/>
  <c r="L50" i="1"/>
  <c r="L29" i="1"/>
  <c r="L31" i="1"/>
  <c r="L47" i="1"/>
  <c r="L61" i="1"/>
  <c r="L46" i="1"/>
  <c r="L15" i="1"/>
  <c r="L4" i="1"/>
  <c r="L52" i="1"/>
  <c r="L38" i="1"/>
  <c r="L17" i="1"/>
  <c r="L62" i="1"/>
  <c r="S46" i="1"/>
  <c r="U39" i="1"/>
  <c r="U54" i="1"/>
  <c r="U16" i="1"/>
  <c r="U26" i="1"/>
  <c r="S16" i="1"/>
  <c r="P26" i="1"/>
  <c r="U62" i="1"/>
  <c r="P49" i="1"/>
  <c r="O49" i="1"/>
  <c r="U19" i="1"/>
  <c r="U61" i="1"/>
  <c r="U29" i="1"/>
  <c r="U43" i="1"/>
  <c r="U56" i="1"/>
  <c r="U18" i="1"/>
  <c r="U45" i="1"/>
  <c r="U4" i="1"/>
  <c r="U52" i="1"/>
  <c r="O48" i="1"/>
  <c r="P48" i="1"/>
  <c r="S63" i="1"/>
  <c r="P39" i="1"/>
  <c r="U34" i="1"/>
  <c r="U63" i="1"/>
  <c r="O18" i="1"/>
  <c r="O65" i="1"/>
  <c r="O12" i="1"/>
  <c r="O43" i="1"/>
  <c r="O52" i="1"/>
  <c r="O19" i="1"/>
  <c r="O61" i="1"/>
  <c r="P12" i="1"/>
  <c r="O4" i="1"/>
  <c r="O37" i="1"/>
  <c r="P37" i="1"/>
  <c r="S39" i="1"/>
  <c r="P34" i="1"/>
  <c r="O34" i="1"/>
  <c r="O63" i="1"/>
  <c r="P63" i="1"/>
  <c r="S54" i="1"/>
  <c r="P16" i="1"/>
  <c r="S26" i="1"/>
  <c r="U46" i="1"/>
  <c r="S34" i="1"/>
  <c r="U13" i="1"/>
  <c r="U35" i="1"/>
  <c r="U47" i="1"/>
  <c r="U50" i="1"/>
  <c r="S37" i="1"/>
  <c r="O46" i="1"/>
  <c r="P46" i="1"/>
  <c r="S13" i="1"/>
  <c r="O47" i="1"/>
  <c r="P47" i="1"/>
  <c r="S50" i="1"/>
  <c r="P38" i="1"/>
  <c r="O38" i="1"/>
  <c r="S35" i="1"/>
  <c r="S47" i="1"/>
  <c r="S62" i="1"/>
  <c r="O13" i="1"/>
  <c r="P13" i="1"/>
  <c r="P35" i="1"/>
  <c r="O35" i="1"/>
  <c r="O50" i="1"/>
  <c r="P50" i="1"/>
  <c r="S38" i="1"/>
  <c r="S31" i="1"/>
  <c r="U38" i="1"/>
  <c r="U17" i="1"/>
  <c r="O62" i="1"/>
  <c r="P62" i="1"/>
  <c r="U55" i="1"/>
  <c r="U36" i="1"/>
  <c r="O55" i="1"/>
  <c r="P55" i="1"/>
  <c r="P15" i="1"/>
  <c r="O15" i="1"/>
  <c r="S36" i="1"/>
  <c r="U49" i="1"/>
  <c r="S45" i="1"/>
  <c r="S19" i="1"/>
  <c r="S29" i="1"/>
  <c r="S52" i="1"/>
  <c r="S18" i="1"/>
  <c r="S12" i="1"/>
  <c r="S65" i="1"/>
  <c r="S61" i="1"/>
  <c r="S43" i="1"/>
  <c r="S56" i="1"/>
  <c r="S4" i="1"/>
  <c r="P31" i="1"/>
  <c r="O31" i="1"/>
  <c r="U48" i="1"/>
  <c r="O17" i="1"/>
  <c r="P17" i="1"/>
  <c r="S15" i="1"/>
  <c r="P36" i="1"/>
  <c r="O36" i="1"/>
  <c r="S49" i="1"/>
  <c r="S48" i="1"/>
  <c r="S17" i="1"/>
  <c r="S55" i="1"/>
  <c r="U15" i="1"/>
  <c r="U37" i="1"/>
  <c r="S68" i="1" l="1"/>
  <c r="S67" i="1"/>
  <c r="U67" i="1"/>
  <c r="U68" i="1"/>
  <c r="O68" i="1"/>
  <c r="O67" i="1"/>
  <c r="L7" i="7"/>
  <c r="U65" i="1"/>
  <c r="U12" i="1"/>
  <c r="O66" i="1"/>
  <c r="U66" i="1"/>
  <c r="L6" i="7"/>
  <c r="L5" i="7"/>
  <c r="N5" i="7" a="1"/>
  <c r="N5" i="7" s="1"/>
  <c r="P5" i="7" s="1"/>
  <c r="N6" i="7" a="1"/>
  <c r="N6" i="7" s="1"/>
  <c r="O6" i="7" s="1"/>
  <c r="M6" i="7" s="1"/>
  <c r="L8" i="7"/>
  <c r="N8" i="7" s="1" a="1"/>
  <c r="N8" i="7" s="1"/>
  <c r="P8" i="7" s="1"/>
  <c r="L4" i="7"/>
  <c r="N4" i="7" s="1" a="1"/>
  <c r="N4" i="7" s="1"/>
  <c r="O4" i="7" s="1"/>
  <c r="M4" i="7" s="1"/>
  <c r="N7" i="7" a="1"/>
  <c r="N7" i="7" s="1"/>
  <c r="P7" i="7" s="1"/>
  <c r="P54" i="1"/>
  <c r="Q31" i="1" s="1"/>
  <c r="O54" i="1"/>
  <c r="O56" i="1"/>
  <c r="O29" i="1"/>
  <c r="O26" i="1"/>
  <c r="O16" i="1"/>
  <c r="O45" i="1"/>
  <c r="Q29" i="1"/>
  <c r="Q39" i="1"/>
  <c r="Q65" i="1" l="1"/>
  <c r="Q45" i="1"/>
  <c r="Q18" i="1"/>
  <c r="Q56" i="1"/>
  <c r="Q68" i="1"/>
  <c r="Q67" i="1"/>
  <c r="Q63" i="1"/>
  <c r="Q47" i="1"/>
  <c r="Q13" i="1"/>
  <c r="Q50" i="1"/>
  <c r="Q55" i="1"/>
  <c r="Q26" i="1"/>
  <c r="Q16" i="1"/>
  <c r="Q54" i="1"/>
  <c r="Q15" i="1"/>
  <c r="Q49" i="1"/>
  <c r="Q17" i="1"/>
  <c r="Q4" i="1"/>
  <c r="Q66" i="1"/>
  <c r="G22" i="7"/>
  <c r="G20" i="7"/>
  <c r="I20" i="7" s="1" a="1"/>
  <c r="I20" i="7" s="1"/>
  <c r="J20" i="7" s="1"/>
  <c r="H20" i="7" s="1"/>
  <c r="B23" i="7"/>
  <c r="D23" i="7" s="1" a="1"/>
  <c r="D23" i="7" s="1"/>
  <c r="E23" i="7" s="1"/>
  <c r="C23" i="7" s="1"/>
  <c r="G23" i="7"/>
  <c r="B24" i="7"/>
  <c r="D24" i="7" s="1" a="1"/>
  <c r="D24" i="7" s="1"/>
  <c r="E24" i="7" s="1"/>
  <c r="C24" i="7" s="1"/>
  <c r="B20" i="7"/>
  <c r="D20" i="7" s="1" a="1"/>
  <c r="D20" i="7" s="1"/>
  <c r="E20" i="7" s="1"/>
  <c r="C20" i="7" s="1"/>
  <c r="B22" i="7"/>
  <c r="D22" i="7" s="1" a="1"/>
  <c r="D22" i="7" s="1"/>
  <c r="F22" i="7" s="1"/>
  <c r="B21" i="7"/>
  <c r="G24" i="7"/>
  <c r="G21" i="7"/>
  <c r="I21" i="7" s="1" a="1"/>
  <c r="I21" i="7" s="1"/>
  <c r="J21" i="7" s="1"/>
  <c r="H21" i="7" s="1"/>
  <c r="AC6" i="1"/>
  <c r="AC2" i="1"/>
  <c r="AC3" i="1"/>
  <c r="AC5" i="1"/>
  <c r="AC4" i="1"/>
  <c r="AC7" i="1"/>
  <c r="I23" i="7" a="1"/>
  <c r="I23" i="7" s="1"/>
  <c r="J23" i="7" s="1"/>
  <c r="H23" i="7" s="1"/>
  <c r="I22" i="7" a="1"/>
  <c r="I22" i="7" s="1"/>
  <c r="K22" i="7" s="1"/>
  <c r="I24" i="7" a="1"/>
  <c r="I24" i="7" s="1"/>
  <c r="J24" i="7" s="1"/>
  <c r="H24" i="7" s="1"/>
  <c r="D21" i="7" a="1"/>
  <c r="D21" i="7" s="1"/>
  <c r="F21" i="7" s="1"/>
  <c r="O5" i="7"/>
  <c r="M5" i="7" s="1"/>
  <c r="O7" i="7"/>
  <c r="M7" i="7" s="1"/>
  <c r="P4" i="7"/>
  <c r="O8" i="7"/>
  <c r="M8" i="7" s="1"/>
  <c r="P6" i="7"/>
  <c r="Q34" i="1"/>
  <c r="Q12" i="1"/>
  <c r="B15" i="7"/>
  <c r="Q52" i="1"/>
  <c r="Q48" i="1"/>
  <c r="Q61" i="1"/>
  <c r="Q36" i="1"/>
  <c r="Q62" i="1"/>
  <c r="Q46" i="1"/>
  <c r="Q43" i="1"/>
  <c r="Q38" i="1"/>
  <c r="Q35" i="1"/>
  <c r="Q19" i="1"/>
  <c r="Q37" i="1"/>
  <c r="G12" i="7"/>
  <c r="I12" i="7" s="1" a="1"/>
  <c r="I12" i="7" s="1"/>
  <c r="J12" i="7" s="1"/>
  <c r="H12" i="7" s="1"/>
  <c r="B14" i="7"/>
  <c r="D14" i="7" s="1" a="1"/>
  <c r="D14" i="7" s="1"/>
  <c r="E14" i="7" s="1"/>
  <c r="C14" i="7" s="1"/>
  <c r="G14" i="7"/>
  <c r="I14" i="7" s="1" a="1"/>
  <c r="I14" i="7" s="1"/>
  <c r="G16" i="7"/>
  <c r="G15" i="7"/>
  <c r="I15" i="7" s="1" a="1"/>
  <c r="I15" i="7" s="1"/>
  <c r="K15" i="7" s="1"/>
  <c r="B13" i="7"/>
  <c r="D13" i="7" s="1" a="1"/>
  <c r="D13" i="7" s="1"/>
  <c r="F13" i="7" s="1"/>
  <c r="B16" i="7"/>
  <c r="G13" i="7"/>
  <c r="B12" i="7"/>
  <c r="D12" i="7" s="1" a="1"/>
  <c r="D12" i="7" s="1"/>
  <c r="F12" i="7" s="1"/>
  <c r="I13" i="7" a="1"/>
  <c r="I13" i="7" s="1"/>
  <c r="I16" i="7" l="1" a="1"/>
  <c r="I16" i="7" s="1"/>
  <c r="J16" i="7" s="1"/>
  <c r="H16" i="7" s="1"/>
  <c r="D15" i="7" a="1"/>
  <c r="D15" i="7" s="1"/>
  <c r="E15" i="7" s="1"/>
  <c r="C15" i="7" s="1"/>
  <c r="D16" i="7" a="1"/>
  <c r="D16" i="7" s="1"/>
  <c r="F16" i="7" s="1"/>
  <c r="K21" i="7"/>
  <c r="E22" i="7"/>
  <c r="C22" i="7" s="1"/>
  <c r="K20" i="7"/>
  <c r="F24" i="7"/>
  <c r="F20" i="7"/>
  <c r="AC9" i="1"/>
  <c r="AD2" i="1" s="1"/>
  <c r="K24" i="7"/>
  <c r="J22" i="7"/>
  <c r="H22" i="7" s="1"/>
  <c r="E21" i="7"/>
  <c r="C21" i="7" s="1"/>
  <c r="K23" i="7"/>
  <c r="F23" i="7"/>
  <c r="B6" i="7"/>
  <c r="D6" i="7" s="1" a="1"/>
  <c r="D6" i="7" s="1"/>
  <c r="E6" i="7" s="1"/>
  <c r="C6" i="7" s="1"/>
  <c r="B4" i="7"/>
  <c r="D4" i="7" s="1" a="1"/>
  <c r="D4" i="7" s="1"/>
  <c r="F4" i="7" s="1"/>
  <c r="G6" i="7"/>
  <c r="G4" i="7"/>
  <c r="I4" i="7" s="1" a="1"/>
  <c r="I4" i="7" s="1"/>
  <c r="K4" i="7" s="1"/>
  <c r="K12" i="7"/>
  <c r="B5" i="7"/>
  <c r="D5" i="7" s="1" a="1"/>
  <c r="D5" i="7" s="1"/>
  <c r="F5" i="7" s="1"/>
  <c r="G5" i="7"/>
  <c r="G8" i="7"/>
  <c r="B7" i="7"/>
  <c r="G7" i="7"/>
  <c r="B8" i="7"/>
  <c r="D8" i="7" s="1" a="1"/>
  <c r="D8" i="7" s="1"/>
  <c r="F8" i="7" s="1"/>
  <c r="E12" i="7"/>
  <c r="C12" i="7" s="1"/>
  <c r="D7" i="7" a="1"/>
  <c r="D7" i="7" s="1"/>
  <c r="E7" i="7" s="1"/>
  <c r="C7" i="7" s="1"/>
  <c r="I5" i="7" a="1"/>
  <c r="I5" i="7" s="1"/>
  <c r="J5" i="7" s="1"/>
  <c r="H5" i="7" s="1"/>
  <c r="F14" i="7"/>
  <c r="I8" i="7" a="1"/>
  <c r="I8" i="7" s="1"/>
  <c r="K8" i="7" s="1"/>
  <c r="I6" i="7" a="1"/>
  <c r="I6" i="7" s="1"/>
  <c r="J6" i="7" s="1"/>
  <c r="H6" i="7" s="1"/>
  <c r="J15" i="7"/>
  <c r="H15" i="7" s="1"/>
  <c r="I7" i="7" a="1"/>
  <c r="I7" i="7" s="1"/>
  <c r="J7" i="7" s="1"/>
  <c r="H7" i="7" s="1"/>
  <c r="E13" i="7"/>
  <c r="C13" i="7" s="1"/>
  <c r="J13" i="7"/>
  <c r="H13" i="7" s="1"/>
  <c r="K13" i="7"/>
  <c r="K14" i="7"/>
  <c r="J14" i="7"/>
  <c r="H14" i="7" s="1"/>
  <c r="K16" i="7" l="1"/>
  <c r="F15" i="7"/>
  <c r="E16" i="7"/>
  <c r="C16" i="7" s="1"/>
  <c r="AD3" i="1"/>
  <c r="AD7" i="1"/>
  <c r="AD4" i="1"/>
  <c r="AD5" i="1"/>
  <c r="AD6" i="1"/>
  <c r="E4" i="7"/>
  <c r="C4" i="7" s="1"/>
  <c r="F6" i="7"/>
  <c r="E5" i="7"/>
  <c r="C5" i="7" s="1"/>
  <c r="J4" i="7"/>
  <c r="H4" i="7" s="1"/>
  <c r="E8" i="7"/>
  <c r="C8" i="7" s="1"/>
  <c r="K5" i="7"/>
  <c r="F7" i="7"/>
  <c r="J8" i="7"/>
  <c r="H8" i="7" s="1"/>
  <c r="K6" i="7"/>
  <c r="K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tc={DC36AB38-1C26-4EC4-8C26-D3555B580DB9}</author>
  </authors>
  <commentList>
    <comment ref="D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  <comment ref="D23" authorId="1" shapeId="0" xr:uid="{DC36AB38-1C26-4EC4-8C26-D3555B580DB9}">
      <text>
        <t>[Threaded comment]
Your version of Excel allows you to read this threaded comment; however, any edits to it will get removed if the file is opened in a newer version of Excel. Learn more: https://go.microsoft.com/fwlink/?linkid=870924
Comment:
    Ukjent kilde. Sommerfest?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tc={4208EDE5-A356-4EB8-A913-C5AAB120C3F6}</author>
  </authors>
  <commentList>
    <comment ref="J7" authorId="0" shapeId="0" xr:uid="{4208EDE5-A356-4EB8-A913-C5AAB120C3F6}">
      <text>
        <t>[Threaded comment]
Your version of Excel allows you to read this threaded comment; however, any edits to it will get removed if the file is opened in a newer version of Excel. Learn more: https://go.microsoft.com/fwlink/?linkid=870924
Comment:
    Midler overført mellom personer. Renter ikke overført.</t>
      </text>
    </comment>
  </commentList>
</comments>
</file>

<file path=xl/sharedStrings.xml><?xml version="1.0" encoding="utf-8"?>
<sst xmlns="http://schemas.openxmlformats.org/spreadsheetml/2006/main" count="489" uniqueCount="207">
  <si>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</si>
  <si>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</si>
  <si>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</si>
  <si>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</si>
  <si>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</si>
  <si>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</si>
  <si>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</si>
  <si>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</si>
  <si>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</si>
  <si>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</si>
  <si>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</si>
  <si>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</si>
  <si>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</si>
  <si>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</si>
  <si>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</si>
  <si>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</si>
  <si>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</si>
  <si>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</si>
  <si>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</si>
  <si>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</si>
  <si>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</si>
  <si>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</si>
  <si>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</si>
  <si>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</si>
  <si>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</si>
  <si>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</si>
  <si>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</si>
  <si>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</si>
  <si>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</si>
  <si>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</si>
  <si>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</si>
  <si>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</si>
  <si>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</si>
  <si>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</si>
  <si>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</si>
  <si>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</si>
  <si>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</si>
  <si>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</si>
  <si>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</si>
  <si>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</si>
  <si>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</si>
  <si>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</si>
  <si>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</si>
  <si>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</si>
  <si>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</si>
  <si>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</si>
  <si>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</si>
  <si>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</si>
  <si>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</si>
  <si>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</si>
  <si>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</si>
  <si>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</si>
  <si>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</si>
  <si>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</si>
  <si>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</si>
  <si>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</si>
  <si>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</si>
  <si>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</si>
  <si>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</si>
  <si>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</si>
  <si>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</si>
  <si>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</si>
  <si>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</si>
  <si>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</si>
  <si>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</si>
  <si>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</si>
  <si>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</si>
  <si>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</si>
  <si>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</si>
  <si>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</si>
  <si>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</si>
  <si>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</si>
  <si>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</si>
  <si>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</si>
  <si>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</si>
  <si>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</si>
  <si>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</si>
  <si>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</si>
  <si>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</si>
  <si>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</si>
  <si>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</si>
  <si>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</si>
  <si>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</si>
  <si>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</si>
  <si>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</si>
  <si>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</si>
  <si>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</si>
  <si>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</si>
  <si>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</si>
  <si>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</si>
  <si>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</si>
  <si>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</si>
  <si>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</si>
  <si>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</si>
  <si>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</si>
  <si>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</si>
  <si>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</si>
  <si>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</si>
  <si>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</si>
  <si>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</si>
  <si>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</si>
  <si>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</si>
  <si>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</si>
  <si>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</si>
  <si>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</si>
  <si>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</si>
  <si>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</si>
  <si>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</si>
  <si>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</si>
  <si>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</si>
  <si>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</si>
  <si>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</si>
  <si>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</si>
  <si>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</si>
  <si>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</si>
  <si>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</si>
  <si>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</si>
  <si>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</si>
  <si>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</si>
  <si>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</si>
  <si>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</si>
  <si>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</si>
  <si>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</si>
  <si>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</si>
  <si>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</si>
  <si>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</si>
  <si>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</si>
  <si>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</si>
  <si>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</si>
  <si>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</si>
  <si>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</si>
  <si>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</si>
  <si>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</si>
  <si>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</si>
  <si>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</si>
  <si>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</si>
  <si>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</si>
  <si>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</si>
  <si>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</si>
  <si>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Eli</t>
  </si>
  <si>
    <t>Jøran</t>
  </si>
  <si>
    <t>Kristin G</t>
  </si>
  <si>
    <t>Kristin T</t>
  </si>
  <si>
    <t>{"name": "Yngvar", "tickets": 6},</t>
  </si>
  <si>
    <t>{"name": "Anders A", "tickets": 10},</t>
  </si>
  <si>
    <t>{"name": "Stein",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</si>
  <si>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</si>
  <si>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</si>
  <si>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</si>
  <si>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</si>
  <si>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</si>
  <si>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</si>
  <si>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</si>
  <si>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</si>
  <si>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</si>
  <si>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</si>
  <si>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</si>
  <si>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</si>
  <si>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</si>
  <si>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</si>
  <si>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</si>
  <si>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</si>
  <si>
    <t>{"name": "Ivan", "tickets": 5},</t>
  </si>
  <si>
    <t>{"name": "Anders Sz", "tickets": 13, "prizes": 1},</t>
  </si>
  <si>
    <t>{"name": "Sondre", "tickets": 5},</t>
  </si>
  <si>
    <t>{"name": "Truls", "tickets": 5},</t>
  </si>
  <si>
    <t>{"name": "Ruben O", "tickets": 10},</t>
  </si>
  <si>
    <t>{"name": "Magnus B", "tickets": 10},</t>
  </si>
  <si>
    <t>{"name": "Anders Sz", "tickets": 14},</t>
  </si>
  <si>
    <t>{"name": "Eli", "tickets": 10},</t>
  </si>
  <si>
    <t>{"name": "Ciaran", "tickets": 6, "prizes": 1},</t>
  </si>
  <si>
    <t>{"name": "Martin", "tickets": 20, "prizes": 2},</t>
  </si>
  <si>
    <t>{"name": "Kenneth", "tickets": 15},</t>
  </si>
  <si>
    <t>{"name": "Odd", "tickets": 10, "prizes": 1},</t>
  </si>
  <si>
    <t>{"name": "Anders Sz", "tickets": 14, "prizes": 1},</t>
  </si>
  <si>
    <t>{"name": "Asgeir", "tickets": 6},</t>
  </si>
  <si>
    <t>{"name": "Ingvild", "tickets": 5},</t>
  </si>
  <si>
    <t>{"name": "Fridtjof", "tickets": 10},</t>
  </si>
  <si>
    <t>{"name": "Terje", "tickets": 5},</t>
  </si>
  <si>
    <t>{"name": "Jan", "tickets": 5},</t>
  </si>
  <si>
    <t>{"name": "Tone", "tickets": 6}</t>
  </si>
  <si>
    <t>{"name": "Kristin G", "tickets": 1},</t>
  </si>
  <si>
    <t>{"name": "Sven", "tickets": 10},</t>
  </si>
  <si>
    <t>Larger than</t>
  </si>
  <si>
    <t>Smaller than</t>
  </si>
  <si>
    <t>Previous top 5</t>
  </si>
  <si>
    <t>Copy</t>
  </si>
  <si>
    <t>OB 5300704</t>
  </si>
  <si>
    <t>Renter 2020</t>
  </si>
  <si>
    <t>Øystein</t>
  </si>
  <si>
    <t>{"name": "Anders A", "tickets": 10, "prizes": 1},</t>
  </si>
  <si>
    <t>{"name": "Ruben B", "tickets": 5, "prizes": 1},</t>
  </si>
  <si>
    <t>{"name": "Odd", "tickets": 10},</t>
  </si>
  <si>
    <t>{"name": "Ciaran", "tickets": 4},</t>
  </si>
  <si>
    <t>{"name": "Gaute", "tickets": 5},</t>
  </si>
  <si>
    <t>{"name": "Jøran", "tickets": 10},</t>
  </si>
  <si>
    <t>{"name": "Helga", "tickets": 4, "prizes": 1},</t>
  </si>
  <si>
    <t>{"name": "Truls", "tickets": 10, "prizes": 2},</t>
  </si>
  <si>
    <t>{"name": "Tone", "tickets": 3},</t>
  </si>
  <si>
    <t>{"name": "Johan", "tickets": 10},</t>
  </si>
  <si>
    <t>{"name": "Håkon", "tickets": 6},</t>
  </si>
  <si>
    <t>{"name": "Martin", "tickets": 10},</t>
  </si>
  <si>
    <t>{"name": "Ivan", "tickets": 5, "prizes": 1},</t>
  </si>
  <si>
    <t>{"name": "Øystein", "tickets": 4, "prizes": 2}</t>
  </si>
  <si>
    <t>Johan</t>
  </si>
  <si>
    <t>Gaute</t>
  </si>
  <si>
    <t>Renter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</si>
</sst>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40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6" fillId="19" borderId="1" xfId="2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3" fontId="0" fillId="0" borderId="0" xfId="0" applyNumberFormat="1" applyBorder="1"/>
    <xf numFmtId="0" fontId="11" fillId="0" borderId="8" xfId="0" applyFont="1" applyBorder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7" fillId="19" borderId="0" xfId="2" applyFont="1" applyFill="1" applyBorder="1" applyAlignment="1">
      <alignment horizontal="center"/>
    </xf>
    <xf numFmtId="0" fontId="8" fillId="20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7" fillId="16" borderId="0" xfId="2" applyFont="1" applyFill="1" applyBorder="1" applyAlignment="1">
      <alignment horizontal="center"/>
    </xf>
    <xf numFmtId="0" fontId="8" fillId="17" borderId="0" xfId="1" applyFont="1" applyFill="1" applyBorder="1" applyAlignment="1">
      <alignment horizontal="center"/>
    </xf>
    <xf numFmtId="0" fontId="8" fillId="23" borderId="0" xfId="1" applyFont="1" applyFill="1" applyBorder="1" applyAlignment="1">
      <alignment horizontal="center"/>
    </xf>
    <xf numFmtId="0" fontId="7" fillId="22" borderId="0" xfId="1" applyFont="1" applyFill="1" applyBorder="1" applyAlignment="1">
      <alignment horizontal="center"/>
    </xf>
    <xf numFmtId="0" fontId="11" fillId="0" borderId="10" xfId="0" applyFont="1" applyFill="1" applyBorder="1"/>
    <xf numFmtId="44" fontId="0" fillId="0" borderId="1" xfId="5" applyFont="1" applyBorder="1"/>
    <xf numFmtId="44" fontId="0" fillId="0" borderId="0" xfId="5" applyFont="1"/>
    <xf numFmtId="44" fontId="0" fillId="0" borderId="0" xfId="5" applyFont="1" applyBorder="1"/>
    <xf numFmtId="44" fontId="11" fillId="0" borderId="0" xfId="5" applyFont="1"/>
    <xf numFmtId="44" fontId="11" fillId="0" borderId="10" xfId="5" applyFont="1" applyBorder="1"/>
  </cellXfs>
  <cellStyles count="6">
    <cellStyle name="Comma" xfId="3" builtinId="3"/>
    <cellStyle name="Currency" xfId="5" builtinId="4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E6B3FF"/>
      <color rgb="FFB3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ersons" displayName="Persons" ref="A1:U68" totalsRowShown="0" headerRowDxfId="40" dataDxfId="39">
  <autoFilter ref="A1:U68" xr:uid="{00000000-0009-0000-0100-000006000000}"/>
  <sortState xmlns:xlrd2="http://schemas.microsoft.com/office/spreadsheetml/2017/richdata2" ref="A2:U65">
    <sortCondition ref="A1:A65"/>
  </sortState>
  <tableColumns count="21">
    <tableColumn id="1" xr3:uid="{00000000-0010-0000-0000-000001000000}" name="id" dataDxfId="38"/>
    <tableColumn id="2" xr3:uid="{00000000-0010-0000-0000-000002000000}" name="name" dataDxfId="37"/>
    <tableColumn id="3" xr3:uid="{00000000-0010-0000-0000-000003000000}" name="stats?" dataDxfId="36"/>
    <tableColumn id="20" xr3:uid="{00000000-0010-0000-0000-000014000000}" name="last lottery" dataDxfId="35">
      <calculatedColumnFormula array="1">MAX(IF(Sales!B:B=A2,Sales!C:C))</calculatedColumnFormula>
    </tableColumn>
    <tableColumn id="8" xr3:uid="{00000000-0010-0000-0000-000008000000}" name="cost" dataDxfId="34">
      <calculatedColumnFormula>SUMIF(Sales!B:B,A2,Sales!E:E)</calculatedColumnFormula>
    </tableColumn>
    <tableColumn id="18" xr3:uid="{00000000-0010-0000-0000-000012000000}" name="#cost" dataDxfId="33">
      <calculatedColumnFormula>IF($C2=0," ",COUNTIFS($C:$C,1,E:E,"&gt;"&amp;E2)+1)</calculatedColumnFormula>
    </tableColumn>
    <tableColumn id="9" xr3:uid="{00000000-0010-0000-0000-000009000000}" name="tickets" dataDxfId="32">
      <calculatedColumnFormula>SUMIF(Sales!B:B,A2,Sales!D:D)</calculatedColumnFormula>
    </tableColumn>
    <tableColumn id="12" xr3:uid="{00000000-0010-0000-0000-00000C000000}" name="#tickets" dataDxfId="31">
      <calculatedColumnFormula>IF($C2=0," ",COUNTIFS($C:$C,1,G:G,"&gt;"&amp;G2)+1)</calculatedColumnFormula>
    </tableColumn>
    <tableColumn id="10" xr3:uid="{00000000-0010-0000-0000-00000A000000}" name="prizes" dataDxfId="30">
      <calculatedColumnFormula>SUMIF(Prizes!B:B,A2,Prizes!D:D)</calculatedColumnFormula>
    </tableColumn>
    <tableColumn id="13" xr3:uid="{00000000-0010-0000-0000-00000D000000}" name="#prizes" dataDxfId="29">
      <calculatedColumnFormula>IF($C2=0," ",COUNTIFS($C:$C,1,I:I,"&gt;"&amp;I2)+1)</calculatedColumnFormula>
    </tableColumn>
    <tableColumn id="7" xr3:uid="{00000000-0010-0000-0000-000007000000}" name="μ" dataDxfId="28">
      <calculatedColumnFormula>SUMIF(Sales!B:B,A2,Sales!F:F)</calculatedColumnFormula>
    </tableColumn>
    <tableColumn id="16" xr3:uid="{00000000-0010-0000-0000-000010000000}" name="#μ" dataDxfId="27">
      <calculatedColumnFormula>IF($C2=0," ",COUNTIFS($C:$C,1,K:K,"&gt;"&amp;K2)+1)</calculatedColumnFormula>
    </tableColumn>
    <tableColumn id="11" xr3:uid="{00000000-0010-0000-0000-00000B000000}" name="σ" dataDxfId="26">
      <calculatedColumnFormula>SQRT(SUMIF(Sales!B:B,A2,Sales!G:G))</calculatedColumnFormula>
    </tableColumn>
    <tableColumn id="19" xr3:uid="{00000000-0010-0000-0000-000013000000}" name="prizes - µ" dataDxfId="25">
      <calculatedColumnFormula>I2-K2</calculatedColumnFormula>
    </tableColumn>
    <tableColumn id="21" xr3:uid="{00000000-0010-0000-0000-000015000000}" name="#prizes - µ" dataDxfId="24">
      <calculatedColumnFormula>IF($C2=0," ",COUNTIFS($C:$C,1,N:N,"&gt;"&amp;N2)+1)</calculatedColumnFormula>
    </tableColumn>
    <tableColumn id="5" xr3:uid="{00000000-0010-0000-0000-000005000000}" name="Nσ" dataDxfId="23">
      <calculatedColumnFormula>N2/M2</calculatedColumnFormula>
    </tableColumn>
    <tableColumn id="6" xr3:uid="{00000000-0010-0000-0000-000006000000}" name="#Nσ" dataDxfId="22">
      <calculatedColumnFormula>IF($C2=0," ",COUNTIFS($C:$C,1,P:P,"&gt;"&amp;P2)+1)</calculatedColumnFormula>
    </tableColumn>
    <tableColumn id="15" xr3:uid="{00000000-0010-0000-0000-00000F000000}" name="P" dataDxfId="21" dataCellStyle="Percent">
      <calculatedColumnFormula>IF(I2&gt;K2,1-_xlfn.NORM.DIST(I2,K2,M2,1),_xlfn.NORM.DIST(I2,K2,M2,1))</calculatedColumnFormula>
    </tableColumn>
    <tableColumn id="17" xr3:uid="{00000000-0010-0000-0000-000011000000}" name="#P" dataDxfId="20" dataCellStyle="Percent">
      <calculatedColumnFormula>IF($C2=0," ",COUNTIFS($C:$C,1,R:R,"&gt;"&amp;R2)+1)</calculatedColumnFormula>
    </tableColumn>
    <tableColumn id="4" xr3:uid="{00000000-0010-0000-0000-000004000000}" name="cost/μ" dataDxfId="19">
      <calculatedColumnFormula>E2/K2</calculatedColumnFormula>
    </tableColumn>
    <tableColumn id="14" xr3:uid="{00000000-0010-0000-0000-00000E000000}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Lotteries" displayName="Lotteries" ref="A1:H27">
  <autoFilter ref="A1:H27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100-000001000000}" name="id" totalsRowLabel="Total"/>
    <tableColumn id="2" xr3:uid="{00000000-0010-0000-0100-000002000000}" name="date" dataDxfId="17"/>
    <tableColumn id="4" xr3:uid="{00000000-0010-0000-0100-000004000000}" name="cost" dataDxfId="16"/>
    <tableColumn id="3" xr3:uid="{00000000-0010-0000-0100-000003000000}" name="sales" dataDxfId="15">
      <calculatedColumnFormula>SUMIFS(Sales!D:D,Sales!C:C,A2)</calculatedColumnFormula>
    </tableColumn>
    <tableColumn id="8" xr3:uid="{00000000-0010-0000-0100-000008000000}" name="income" dataDxfId="14" dataCellStyle="Comma">
      <calculatedColumnFormula>C2*D2</calculatedColumnFormula>
    </tableColumn>
    <tableColumn id="5" xr3:uid="{00000000-0010-0000-0100-000005000000}" name="prizes" totalsRowFunction="sum" dataDxfId="13">
      <calculatedColumnFormula>SUMIFS(Prizes!D:D,Prizes!C:C,A2)</calculatedColumnFormula>
    </tableColumn>
    <tableColumn id="6" xr3:uid="{00000000-0010-0000-0100-000006000000}" name="µ/ticket" dataDxfId="12" totalsRowDxfId="11">
      <calculatedColumnFormula>F2/D2</calculatedColumnFormula>
    </tableColumn>
    <tableColumn id="7" xr3:uid="{00000000-0010-0000-0100-000007000000}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ales" displayName="Sales" ref="A1:G498" totalsRowShown="0">
  <autoFilter ref="A1:G498" xr:uid="{00000000-0009-0000-0100-000004000000}"/>
  <tableColumns count="7">
    <tableColumn id="1" xr3:uid="{00000000-0010-0000-0200-000001000000}" name="id"/>
    <tableColumn id="2" xr3:uid="{00000000-0010-0000-0200-000002000000}" name="person_id"/>
    <tableColumn id="3" xr3:uid="{00000000-0010-0000-0200-000003000000}" name="lottery_id" dataDxfId="9" totalsRowDxfId="8"/>
    <tableColumn id="4" xr3:uid="{00000000-0010-0000-0200-000004000000}" name="tickets"/>
    <tableColumn id="5" xr3:uid="{00000000-0010-0000-0200-000005000000}" name="cost" dataDxfId="7" totalsRowDxfId="6">
      <calculatedColumnFormula>INDEX(Lotteries!C:C,MATCH(C2,Lotteries!A:A,0))*D2</calculatedColumnFormula>
    </tableColumn>
    <tableColumn id="6" xr3:uid="{00000000-0010-0000-0200-000006000000}" name="µ" dataDxfId="5">
      <calculatedColumnFormula>D2*INDEX(Lotteries!G:G,MATCH(C2,Lotteries!A:A,0))</calculatedColumnFormula>
    </tableColumn>
    <tableColumn id="7" xr3:uid="{00000000-0010-0000-0200-000007000000}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rizes" displayName="Prizes" ref="A1:D145" totalsRowShown="0" headerRowDxfId="3">
  <autoFilter ref="A1:D145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id"/>
    <tableColumn id="2" xr3:uid="{00000000-0010-0000-0300-000002000000}" name="person_id"/>
    <tableColumn id="3" xr3:uid="{00000000-0010-0000-0300-000003000000}" name="lottery_id"/>
    <tableColumn id="4" xr3:uid="{00000000-0010-0000-0300-000004000000}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23" totalsRowShown="0" headerRowDxfId="2">
  <autoFilter ref="A1:E2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id"/>
    <tableColumn id="2" xr3:uid="{00000000-0010-0000-0400-000002000000}" name="date" dataDxfId="1"/>
    <tableColumn id="4" xr3:uid="{00000000-0010-0000-0400-000004000000}" name="cost" dataDxfId="0" dataCellStyle="Comma"/>
    <tableColumn id="3" xr3:uid="{00000000-0010-0000-0400-000003000000}" name="prizes"/>
    <tableColumn id="5" xr3:uid="{00000000-0010-0000-0400-000005000000}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3" dT="2022-04-26T08:37:47.96" personId="{00000000-0000-0000-0000-000000000000}" id="{DC36AB38-1C26-4EC4-8C26-D3555B580DB9}">
    <text>Ukjent kilde. Sommerfest?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7" dT="2022-04-26T08:40:28.16" personId="{00000000-0000-0000-0000-000000000000}" id="{4208EDE5-A356-4EB8-A913-C5AAB120C3F6}">
    <text>Midler overført mellom personer. Renter ikke overført.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W49"/>
  <sheetViews>
    <sheetView showGridLines="0" tabSelected="1" zoomScaleNormal="100" workbookViewId="0">
      <selection activeCell="AI33" sqref="AI33"/>
    </sheetView>
  </sheetViews>
  <sheetFormatPr defaultColWidth="10.109375" defaultRowHeight="14.4" x14ac:dyDescent="0.3"/>
  <cols>
    <col min="2" max="2" width="3.44140625" customWidth="1"/>
    <col min="3" max="3" width="2.33203125" style="56" hidden="1" customWidth="1"/>
    <col min="4" max="4" width="8" hidden="1" customWidth="1"/>
    <col min="5" max="5" width="11.109375" customWidth="1"/>
    <col min="6" max="6" width="9" customWidth="1"/>
    <col min="7" max="7" width="3.44140625" bestFit="1" customWidth="1"/>
    <col min="8" max="8" width="2.33203125" hidden="1" customWidth="1"/>
    <col min="9" max="9" width="2.44140625" hidden="1" customWidth="1"/>
    <col min="10" max="10" width="11.109375" customWidth="1"/>
    <col min="11" max="11" width="9" customWidth="1"/>
    <col min="12" max="12" width="3.44140625" customWidth="1"/>
    <col min="13" max="13" width="2.33203125" hidden="1" customWidth="1"/>
    <col min="14" max="14" width="1.33203125" hidden="1" customWidth="1"/>
    <col min="15" max="15" width="11.109375" customWidth="1"/>
    <col min="16" max="16" width="9" customWidth="1"/>
    <col min="17" max="17" width="0" hidden="1" customWidth="1"/>
    <col min="18" max="32" width="9.109375" hidden="1" customWidth="1"/>
    <col min="36" max="49" width="0" hidden="1" customWidth="1"/>
  </cols>
  <sheetData>
    <row r="1" spans="2:41" ht="15" thickBot="1" x14ac:dyDescent="0.35">
      <c r="R1" s="124" t="s">
        <v>186</v>
      </c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</row>
    <row r="2" spans="2:41" x14ac:dyDescent="0.3">
      <c r="B2" s="125" t="s">
        <v>40</v>
      </c>
      <c r="C2" s="125"/>
      <c r="D2" s="125"/>
      <c r="E2" s="125"/>
      <c r="F2" s="125"/>
      <c r="G2" s="126" t="s">
        <v>39</v>
      </c>
      <c r="H2" s="126"/>
      <c r="I2" s="126"/>
      <c r="J2" s="126"/>
      <c r="K2" s="126"/>
      <c r="L2" s="129" t="s">
        <v>161</v>
      </c>
      <c r="M2" s="129"/>
      <c r="N2" s="129"/>
      <c r="O2" s="129"/>
      <c r="P2" s="129"/>
      <c r="R2" s="111" t="s">
        <v>40</v>
      </c>
      <c r="S2" s="112"/>
      <c r="T2" s="112"/>
      <c r="U2" s="112"/>
      <c r="V2" s="112"/>
      <c r="W2" s="112" t="s">
        <v>39</v>
      </c>
      <c r="X2" s="112"/>
      <c r="Y2" s="112"/>
      <c r="Z2" s="112"/>
      <c r="AA2" s="112"/>
      <c r="AB2" s="112" t="s">
        <v>161</v>
      </c>
      <c r="AC2" s="112"/>
      <c r="AD2" s="112"/>
      <c r="AE2" s="112"/>
      <c r="AF2" s="113"/>
    </row>
    <row r="3" spans="2:41" s="40" customFormat="1" x14ac:dyDescent="0.3">
      <c r="B3" s="90" t="s">
        <v>41</v>
      </c>
      <c r="C3" s="99"/>
      <c r="D3" s="67" t="s">
        <v>19</v>
      </c>
      <c r="E3" s="67" t="s">
        <v>1</v>
      </c>
      <c r="F3" s="90" t="s">
        <v>105</v>
      </c>
      <c r="G3" s="97" t="s">
        <v>41</v>
      </c>
      <c r="H3" s="75"/>
      <c r="I3" s="75" t="s">
        <v>19</v>
      </c>
      <c r="J3" s="75" t="s">
        <v>1</v>
      </c>
      <c r="K3" s="97" t="s">
        <v>105</v>
      </c>
      <c r="L3" s="98" t="s">
        <v>41</v>
      </c>
      <c r="M3" s="85"/>
      <c r="N3" s="85" t="s">
        <v>19</v>
      </c>
      <c r="O3" s="85" t="s">
        <v>1</v>
      </c>
      <c r="P3" s="98" t="s">
        <v>83</v>
      </c>
      <c r="R3" s="120" t="s">
        <v>41</v>
      </c>
      <c r="S3" s="121"/>
      <c r="T3" s="121" t="s">
        <v>19</v>
      </c>
      <c r="U3" s="121" t="s">
        <v>1</v>
      </c>
      <c r="V3" s="121" t="s">
        <v>105</v>
      </c>
      <c r="W3" s="121" t="s">
        <v>41</v>
      </c>
      <c r="X3" s="121"/>
      <c r="Y3" s="121" t="s">
        <v>19</v>
      </c>
      <c r="Z3" s="121" t="s">
        <v>1</v>
      </c>
      <c r="AA3" s="121" t="s">
        <v>105</v>
      </c>
      <c r="AB3" s="121" t="s">
        <v>41</v>
      </c>
      <c r="AC3" s="121"/>
      <c r="AD3" s="121" t="s">
        <v>19</v>
      </c>
      <c r="AE3" s="121" t="s">
        <v>1</v>
      </c>
      <c r="AF3" s="122" t="s">
        <v>83</v>
      </c>
    </row>
    <row r="4" spans="2:41" x14ac:dyDescent="0.3">
      <c r="B4" s="61">
        <f>SMALL(Persons!$Q:$Q,1+ROW(B4)-ROW(B$4))</f>
        <v>1</v>
      </c>
      <c r="C4" s="100">
        <f>IFERROR(INDEX(R$29:R$33,MATCH(E4,U$29:U$33,0))-B4,6-B4)</f>
        <v>5</v>
      </c>
      <c r="D4" s="61">
        <f t="array" ref="D4">INDEX(Persons!$A:$A,SMALL(IF(Persons!$Q:$Q=B4,ROW(Persons!$A:$A)-ROW(Persons!$A$1)+1),COUNTIF(B$4:B4,B4)))</f>
        <v>64</v>
      </c>
      <c r="E4" s="61" t="str">
        <f>INDEX(Persons!$B:$B,MATCH(D4,Persons!$A:$A,0))</f>
        <v>Øystein</v>
      </c>
      <c r="F4" s="68">
        <f>INDEX(Persons!$R:$R,MATCH(D4,Persons!$A:$A,0))</f>
        <v>7.460691399774344E-5</v>
      </c>
      <c r="G4" s="58">
        <f>LARGE(Persons!$Q:$Q,1+ROW(G4)-ROW(G$4))</f>
        <v>28</v>
      </c>
      <c r="H4" s="108">
        <f>IFERROR(INDEX(W$29:W$33,MATCH(J4,Z$29:Z$33,0))-G4,$G$4-5-G4)</f>
        <v>1</v>
      </c>
      <c r="I4" s="58">
        <f t="array" ref="I4">INDEX(Persons!$A:$A,SMALL(IF(Persons!$Q:$Q=G4,ROW(Persons!$A:$A)-ROW(Persons!$A$1)+1),COUNTIF(G$4:G4,G4)))</f>
        <v>45</v>
      </c>
      <c r="J4" s="58" t="str">
        <f>INDEX(Persons!$B:$B,MATCH(I4,Persons!$A:$A,0))</f>
        <v>Fridtjof</v>
      </c>
      <c r="K4" s="76">
        <f>INDEX(Persons!$R:$R,MATCH(I4,Persons!$A:$A,0))</f>
        <v>6.5714737540230952E-2</v>
      </c>
      <c r="L4" s="64">
        <f>SMALL(Persons!$L:$L,1+ROW(L4)-ROW(L$4))</f>
        <v>1</v>
      </c>
      <c r="M4" s="107">
        <f>IFERROR(INDEX(AB$29:AB$33,MATCH(O4,AE$29:AE$33,0))-L4,6-L4)</f>
        <v>0</v>
      </c>
      <c r="N4" s="64">
        <f t="array" ref="N4">INDEX(Persons!$A:$A,SMALL(IF(Persons!$L:$L=L4,ROW(Persons!$A:$A)-ROW(Persons!$A$1)+1),COUNTIF(L$4:L4,L4)))</f>
        <v>10</v>
      </c>
      <c r="O4" s="64" t="str">
        <f>INDEX(Persons!$B:$B,MATCH(N4,Persons!$A:$A,0))</f>
        <v>Odd</v>
      </c>
      <c r="P4" s="86">
        <f>INDEX(Persons!$K:$K,MATCH(N4,Persons!$A:$A,0))</f>
        <v>9.9171526329478112</v>
      </c>
      <c r="R4" s="114">
        <v>1</v>
      </c>
      <c r="S4" s="115">
        <v>3</v>
      </c>
      <c r="T4" s="115">
        <v>46</v>
      </c>
      <c r="U4" s="115" t="s">
        <v>97</v>
      </c>
      <c r="V4" s="115">
        <v>8.0672057401270703E-2</v>
      </c>
      <c r="W4" s="115">
        <v>32</v>
      </c>
      <c r="X4" s="115">
        <v>0</v>
      </c>
      <c r="Y4" s="115">
        <v>11</v>
      </c>
      <c r="Z4" s="115" t="s">
        <v>12</v>
      </c>
      <c r="AA4" s="115">
        <v>3.5605216057864056E-2</v>
      </c>
      <c r="AB4" s="115">
        <v>1</v>
      </c>
      <c r="AC4" s="115">
        <v>0</v>
      </c>
      <c r="AD4" s="123">
        <v>10</v>
      </c>
      <c r="AE4" s="115" t="s">
        <v>11</v>
      </c>
      <c r="AF4" s="116">
        <v>9.3289173388301645</v>
      </c>
    </row>
    <row r="5" spans="2:41" x14ac:dyDescent="0.3">
      <c r="B5" s="61">
        <f>SMALL(Persons!$Q:$Q,1+ROW(B5)-ROW(B$4))</f>
        <v>2</v>
      </c>
      <c r="C5" s="100">
        <f>IFERROR(INDEX(R$29:R$33,MATCH(E5,U$29:U$33,0))-B5,6-B5)</f>
        <v>0</v>
      </c>
      <c r="D5" s="61">
        <f t="array" ref="D5">INDEX(Persons!$A:$A,SMALL(IF(Persons!$Q:$Q=B5,ROW(Persons!$A:$A)-ROW(Persons!$A$1)+1),COUNTIF(B$4:B5,B5)))</f>
        <v>14</v>
      </c>
      <c r="E5" s="61" t="str">
        <f>INDEX(Persons!$B:$B,MATCH(D5,Persons!$A:$A,0))</f>
        <v>Truls</v>
      </c>
      <c r="F5" s="68">
        <f>INDEX(Persons!$R:$R,MATCH(D5,Persons!$A:$A,0))</f>
        <v>4.2023076554305816E-2</v>
      </c>
      <c r="G5" s="58">
        <f>LARGE(Persons!$Q:$Q,1+ROW(G5)-ROW(G$4))</f>
        <v>27</v>
      </c>
      <c r="H5" s="108">
        <f>IFERROR(INDEX(W$29:W$33,MATCH(J5,Z$29:Z$33,0))-G5,$G$4-5-G5)</f>
        <v>3</v>
      </c>
      <c r="I5" s="58">
        <f t="array" ref="I5">INDEX(Persons!$A:$A,SMALL(IF(Persons!$Q:$Q=G5,ROW(Persons!$A:$A)-ROW(Persons!$A$1)+1),COUNTIF(G$4:G5,G5)))</f>
        <v>47</v>
      </c>
      <c r="J5" s="58" t="str">
        <f>INDEX(Persons!$B:$B,MATCH(I5,Persons!$A:$A,0))</f>
        <v>Kenneth</v>
      </c>
      <c r="K5" s="76">
        <f>INDEX(Persons!$R:$R,MATCH(I5,Persons!$A:$A,0))</f>
        <v>6.9435223995632137E-2</v>
      </c>
      <c r="L5" s="64">
        <f>SMALL(Persons!$L:$L,1+ROW(L5)-ROW(L$4))</f>
        <v>2</v>
      </c>
      <c r="M5" s="107">
        <f>IFERROR(INDEX(AB$29:AB$33,MATCH(O5,AE$29:AE$33,0))-L5,6-L5)</f>
        <v>0</v>
      </c>
      <c r="N5" s="64">
        <f t="array" ref="N5">INDEX(Persons!$A:$A,SMALL(IF(Persons!$L:$L=L5,ROW(Persons!$A:$A)-ROW(Persons!$A$1)+1),COUNTIF(L$4:L5,L5)))</f>
        <v>33</v>
      </c>
      <c r="O5" s="64" t="str">
        <f>INDEX(Persons!$B:$B,MATCH(N5,Persons!$A:$A,0))</f>
        <v>Anders A</v>
      </c>
      <c r="P5" s="86">
        <f>INDEX(Persons!$K:$K,MATCH(N5,Persons!$A:$A,0))</f>
        <v>9.1223730299035672</v>
      </c>
      <c r="R5" s="114">
        <v>2</v>
      </c>
      <c r="S5" s="115">
        <v>0</v>
      </c>
      <c r="T5" s="115">
        <v>14</v>
      </c>
      <c r="U5" s="115" t="s">
        <v>15</v>
      </c>
      <c r="V5" s="115">
        <v>0.11965482403334105</v>
      </c>
      <c r="W5" s="115">
        <v>31</v>
      </c>
      <c r="X5" s="115">
        <v>-1</v>
      </c>
      <c r="Y5" s="115">
        <v>47</v>
      </c>
      <c r="Z5" s="115" t="s">
        <v>7</v>
      </c>
      <c r="AA5" s="115">
        <v>6.9435223995632137E-2</v>
      </c>
      <c r="AB5" s="115">
        <v>2</v>
      </c>
      <c r="AC5" s="115">
        <v>0</v>
      </c>
      <c r="AD5" s="115">
        <v>33</v>
      </c>
      <c r="AE5" s="115" t="s">
        <v>75</v>
      </c>
      <c r="AF5" s="116">
        <v>8.5341377357859205</v>
      </c>
    </row>
    <row r="6" spans="2:41" x14ac:dyDescent="0.3">
      <c r="B6" s="61">
        <f>SMALL(Persons!$Q:$Q,1+ROW(B6)-ROW(B$4))</f>
        <v>3</v>
      </c>
      <c r="C6" s="100">
        <f>IFERROR(INDEX(R$29:R$33,MATCH(E6,U$29:U$33,0))-B6,6-B6)</f>
        <v>1</v>
      </c>
      <c r="D6" s="61">
        <f t="array" ref="D6">INDEX(Persons!$A:$A,SMALL(IF(Persons!$Q:$Q=B6,ROW(Persons!$A:$A)-ROW(Persons!$A$1)+1),COUNTIF(B$4:B6,B6)))</f>
        <v>46</v>
      </c>
      <c r="E6" s="61" t="str">
        <f>INDEX(Persons!$B:$B,MATCH(D6,Persons!$A:$A,0))</f>
        <v>Ciaran</v>
      </c>
      <c r="F6" s="68">
        <f>INDEX(Persons!$R:$R,MATCH(D6,Persons!$A:$A,0))</f>
        <v>0.12205767468285544</v>
      </c>
      <c r="G6" s="58">
        <f>LARGE(Persons!$Q:$Q,1+ROW(G6)-ROW(G$4))</f>
        <v>26</v>
      </c>
      <c r="H6" s="108">
        <f>IFERROR(INDEX(W$29:W$33,MATCH(J6,Z$29:Z$33,0))-G6,$G$4-5-G6)</f>
        <v>5</v>
      </c>
      <c r="I6" s="58">
        <f t="array" ref="I6">INDEX(Persons!$A:$A,SMALL(IF(Persons!$Q:$Q=G6,ROW(Persons!$A:$A)-ROW(Persons!$A$1)+1),COUNTIF(G$4:G6,G6)))</f>
        <v>24</v>
      </c>
      <c r="J6" s="58" t="str">
        <f>INDEX(Persons!$B:$B,MATCH(I6,Persons!$A:$A,0))</f>
        <v>Terje</v>
      </c>
      <c r="K6" s="76">
        <f>INDEX(Persons!$R:$R,MATCH(I6,Persons!$A:$A,0))</f>
        <v>7.6543540741150745E-2</v>
      </c>
      <c r="L6" s="64">
        <f>SMALL(Persons!$L:$L,1+ROW(L6)-ROW(L$4))</f>
        <v>3</v>
      </c>
      <c r="M6" s="107">
        <f>IFERROR(INDEX(AB$29:AB$33,MATCH(O6,AE$29:AE$33,0))-L6,6-L6)</f>
        <v>0</v>
      </c>
      <c r="N6" s="64">
        <f t="array" ref="N6">INDEX(Persons!$A:$A,SMALL(IF(Persons!$L:$L=L6,ROW(Persons!$A:$A)-ROW(Persons!$A$1)+1),COUNTIF(L$4:L6,L6)))</f>
        <v>37</v>
      </c>
      <c r="O6" s="64" t="str">
        <f>INDEX(Persons!$B:$B,MATCH(N6,Persons!$A:$A,0))</f>
        <v>Ruben O</v>
      </c>
      <c r="P6" s="86">
        <f>INDEX(Persons!$K:$K,MATCH(N6,Persons!$A:$A,0))</f>
        <v>8.6919842363072259</v>
      </c>
      <c r="R6" s="114">
        <v>3</v>
      </c>
      <c r="S6" s="115">
        <v>-2</v>
      </c>
      <c r="T6" s="115">
        <v>48</v>
      </c>
      <c r="U6" s="115" t="s">
        <v>100</v>
      </c>
      <c r="V6" s="115">
        <v>0.13372682121489554</v>
      </c>
      <c r="W6" s="115">
        <v>30</v>
      </c>
      <c r="X6" s="115">
        <v>1</v>
      </c>
      <c r="Y6" s="115">
        <v>24</v>
      </c>
      <c r="Z6" s="115" t="s">
        <v>31</v>
      </c>
      <c r="AA6" s="115">
        <v>7.6543540741150745E-2</v>
      </c>
      <c r="AB6" s="115">
        <v>3</v>
      </c>
      <c r="AC6" s="115">
        <v>0</v>
      </c>
      <c r="AD6" s="115">
        <v>37</v>
      </c>
      <c r="AE6" s="115" t="s">
        <v>79</v>
      </c>
      <c r="AF6" s="116">
        <v>8.1037489421895792</v>
      </c>
    </row>
    <row r="7" spans="2:41" x14ac:dyDescent="0.3">
      <c r="B7" s="61">
        <f>SMALL(Persons!$Q:$Q,1+ROW(B7)-ROW(B$4))</f>
        <v>4</v>
      </c>
      <c r="C7" s="100">
        <f>IFERROR(INDEX(R$29:R$33,MATCH(E7,U$29:U$33,0))-B7,6-B7)</f>
        <v>-1</v>
      </c>
      <c r="D7" s="61">
        <f t="array" ref="D7">INDEX(Persons!$A:$A,SMALL(IF(Persons!$Q:$Q=B7,ROW(Persons!$A:$A)-ROW(Persons!$A$1)+1),COUNTIF(B$4:B7,B7)))</f>
        <v>60</v>
      </c>
      <c r="E7" s="61" t="str">
        <f>INDEX(Persons!$B:$B,MATCH(D7,Persons!$A:$A,0))</f>
        <v>Kristin G</v>
      </c>
      <c r="F7" s="68">
        <f>INDEX(Persons!$R:$R,MATCH(D7,Persons!$A:$A,0))</f>
        <v>0.19253288029890714</v>
      </c>
      <c r="G7" s="58">
        <f>LARGE(Persons!$Q:$Q,1+ROW(G7)-ROW(G$4))</f>
        <v>25</v>
      </c>
      <c r="H7" s="108">
        <f>IFERROR(INDEX(W$29:W$33,MATCH(J7,Z$29:Z$33,0))-G7,$G$4-5-G7)</f>
        <v>-2</v>
      </c>
      <c r="I7" s="58">
        <f t="array" ref="I7">INDEX(Persons!$A:$A,SMALL(IF(Persons!$Q:$Q=G7,ROW(Persons!$A:$A)-ROW(Persons!$A$1)+1),COUNTIF(G$4:G7,G7)))</f>
        <v>37</v>
      </c>
      <c r="J7" s="58" t="str">
        <f>INDEX(Persons!$B:$B,MATCH(I7,Persons!$A:$A,0))</f>
        <v>Ruben O</v>
      </c>
      <c r="K7" s="76">
        <f>INDEX(Persons!$R:$R,MATCH(I7,Persons!$A:$A,0))</f>
        <v>9.1042640238874775E-2</v>
      </c>
      <c r="L7" s="64">
        <f>SMALL(Persons!$L:$L,1+ROW(L7)-ROW(L$4))</f>
        <v>4</v>
      </c>
      <c r="M7" s="107">
        <f>IFERROR(INDEX(AB$29:AB$33,MATCH(O7,AE$29:AE$33,0))-L7,6-L7)</f>
        <v>0</v>
      </c>
      <c r="N7" s="64">
        <f t="array" ref="N7">INDEX(Persons!$A:$A,SMALL(IF(Persons!$L:$L=L7,ROW(Persons!$A:$A)-ROW(Persons!$A$1)+1),COUNTIF(L$4:L7,L7)))</f>
        <v>29</v>
      </c>
      <c r="O7" s="64" t="str">
        <f>INDEX(Persons!$B:$B,MATCH(N7,Persons!$A:$A,0))</f>
        <v>Magnus B</v>
      </c>
      <c r="P7" s="86">
        <f>INDEX(Persons!$K:$K,MATCH(N7,Persons!$A:$A,0))</f>
        <v>6.5416851543041465</v>
      </c>
      <c r="R7" s="114">
        <v>4</v>
      </c>
      <c r="S7" s="115">
        <v>-1</v>
      </c>
      <c r="T7" s="115">
        <v>60</v>
      </c>
      <c r="U7" s="115" t="s">
        <v>141</v>
      </c>
      <c r="V7" s="115">
        <v>0.19253288029890714</v>
      </c>
      <c r="W7" s="115">
        <v>29</v>
      </c>
      <c r="X7" s="115">
        <v>0</v>
      </c>
      <c r="Y7" s="115">
        <v>45</v>
      </c>
      <c r="Z7" s="115" t="s">
        <v>96</v>
      </c>
      <c r="AA7" s="115">
        <v>0.1024822505159142</v>
      </c>
      <c r="AB7" s="115">
        <v>4</v>
      </c>
      <c r="AC7" s="115">
        <v>0</v>
      </c>
      <c r="AD7" s="115">
        <v>29</v>
      </c>
      <c r="AE7" s="115" t="s">
        <v>131</v>
      </c>
      <c r="AF7" s="116">
        <v>5.9534498601864998</v>
      </c>
      <c r="AL7">
        <f>SUMPRODUCT(AK8:AK17,AL8:AL17)</f>
        <v>112</v>
      </c>
    </row>
    <row r="8" spans="2:41" x14ac:dyDescent="0.3">
      <c r="B8" s="61">
        <f>SMALL(Persons!$Q:$Q,1+ROW(B8)-ROW(B$4))</f>
        <v>5</v>
      </c>
      <c r="C8" s="100">
        <f>IFERROR(INDEX(R$29:R$33,MATCH(E8,U$29:U$33,0))-B8,6-B8)</f>
        <v>1</v>
      </c>
      <c r="D8" s="61">
        <f t="array" ref="D8">INDEX(Persons!$A:$A,SMALL(IF(Persons!$Q:$Q=B8,ROW(Persons!$A:$A)-ROW(Persons!$A$1)+1),COUNTIF(B$4:B8,B8)))</f>
        <v>41</v>
      </c>
      <c r="E8" s="61" t="str">
        <f>INDEX(Persons!$B:$B,MATCH(D8,Persons!$A:$A,0))</f>
        <v>Ruben B</v>
      </c>
      <c r="F8" s="68">
        <f>INDEX(Persons!$R:$R,MATCH(D8,Persons!$A:$A,0))</f>
        <v>0.24634237410081439</v>
      </c>
      <c r="G8" s="58">
        <f>LARGE(Persons!$Q:$Q,1+ROW(G8)-ROW(G$4))</f>
        <v>24</v>
      </c>
      <c r="H8" s="108">
        <f>IFERROR(INDEX(W$29:W$33,MATCH(J8,Z$29:Z$33,0))-G8,$G$4-5-G8)</f>
        <v>-1</v>
      </c>
      <c r="I8" s="58">
        <f t="array" ref="I8">INDEX(Persons!$A:$A,SMALL(IF(Persons!$Q:$Q=G8,ROW(Persons!$A:$A)-ROW(Persons!$A$1)+1),COUNTIF(G$4:G8,G8)))</f>
        <v>35</v>
      </c>
      <c r="J8" s="58" t="str">
        <f>INDEX(Persons!$B:$B,MATCH(I8,Persons!$A:$A,0))</f>
        <v>Mathias</v>
      </c>
      <c r="K8" s="76">
        <f>INDEX(Persons!$R:$R,MATCH(I8,Persons!$A:$A,0))</f>
        <v>0.1249230930239314</v>
      </c>
      <c r="L8" s="64">
        <f>SMALL(Persons!$L:$L,1+ROW(L8)-ROW(L$4))</f>
        <v>5</v>
      </c>
      <c r="M8" s="107">
        <f>IFERROR(INDEX(AB$29:AB$33,MATCH(O8,AE$29:AE$33,0))-L8,6-L8)</f>
        <v>0</v>
      </c>
      <c r="N8" s="64">
        <f t="array" ref="N8">INDEX(Persons!$A:$A,SMALL(IF(Persons!$L:$L=L8,ROW(Persons!$A:$A)-ROW(Persons!$A$1)+1),COUNTIF(L$4:L8,L8)))</f>
        <v>14</v>
      </c>
      <c r="O8" s="64" t="str">
        <f>INDEX(Persons!$B:$B,MATCH(N8,Persons!$A:$A,0))</f>
        <v>Truls</v>
      </c>
      <c r="P8" s="86">
        <f>INDEX(Persons!$K:$K,MATCH(N8,Persons!$A:$A,0))</f>
        <v>5.9946715092465954</v>
      </c>
      <c r="R8" s="114">
        <v>5</v>
      </c>
      <c r="S8" s="115">
        <v>1</v>
      </c>
      <c r="T8" s="115">
        <v>32</v>
      </c>
      <c r="U8" s="115" t="s">
        <v>38</v>
      </c>
      <c r="V8" s="115">
        <v>0.20836480528324852</v>
      </c>
      <c r="W8" s="115">
        <v>28</v>
      </c>
      <c r="X8" s="115">
        <v>-1</v>
      </c>
      <c r="Y8" s="115">
        <v>37</v>
      </c>
      <c r="Z8" s="115" t="s">
        <v>79</v>
      </c>
      <c r="AA8" s="115">
        <v>0.12268881136621305</v>
      </c>
      <c r="AB8" s="115">
        <v>5</v>
      </c>
      <c r="AC8" s="115">
        <v>1</v>
      </c>
      <c r="AD8" s="115">
        <v>15</v>
      </c>
      <c r="AE8" s="115" t="s">
        <v>16</v>
      </c>
      <c r="AF8" s="116">
        <v>5.4122891600672816</v>
      </c>
      <c r="AJ8">
        <v>0</v>
      </c>
      <c r="AK8">
        <f>2^AJ8</f>
        <v>1</v>
      </c>
      <c r="AL8">
        <v>0</v>
      </c>
    </row>
    <row r="9" spans="2:41" x14ac:dyDescent="0.3">
      <c r="R9" s="114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6"/>
      <c r="AJ9">
        <v>1</v>
      </c>
      <c r="AK9">
        <f t="shared" ref="AK9:AK17" si="0">2^AJ9</f>
        <v>2</v>
      </c>
      <c r="AL9">
        <v>0</v>
      </c>
      <c r="AN9" s="4" t="s">
        <v>40</v>
      </c>
      <c r="AO9" s="33"/>
    </row>
    <row r="10" spans="2:41" x14ac:dyDescent="0.3">
      <c r="B10" s="127" t="s">
        <v>116</v>
      </c>
      <c r="C10" s="127"/>
      <c r="D10" s="127"/>
      <c r="E10" s="127"/>
      <c r="F10" s="127"/>
      <c r="G10" s="130" t="s">
        <v>117</v>
      </c>
      <c r="H10" s="130"/>
      <c r="I10" s="130"/>
      <c r="J10" s="130"/>
      <c r="K10" s="130"/>
      <c r="L10" s="133" t="s">
        <v>43</v>
      </c>
      <c r="M10" s="133"/>
      <c r="N10" s="133"/>
      <c r="O10" s="133"/>
      <c r="P10" s="133"/>
      <c r="R10" s="114" t="s">
        <v>116</v>
      </c>
      <c r="S10" s="115"/>
      <c r="T10" s="115"/>
      <c r="U10" s="115"/>
      <c r="V10" s="115"/>
      <c r="W10" s="115" t="s">
        <v>117</v>
      </c>
      <c r="X10" s="115"/>
      <c r="Y10" s="115"/>
      <c r="Z10" s="115"/>
      <c r="AA10" s="115"/>
      <c r="AB10" s="115" t="s">
        <v>43</v>
      </c>
      <c r="AC10" s="115"/>
      <c r="AD10" s="115"/>
      <c r="AE10" s="115"/>
      <c r="AF10" s="116"/>
      <c r="AJ10">
        <v>2</v>
      </c>
      <c r="AK10">
        <f t="shared" si="0"/>
        <v>4</v>
      </c>
      <c r="AL10">
        <v>0</v>
      </c>
      <c r="AN10" s="4" t="s">
        <v>39</v>
      </c>
      <c r="AO10" s="31"/>
    </row>
    <row r="11" spans="2:41" x14ac:dyDescent="0.3">
      <c r="B11" s="91" t="s">
        <v>41</v>
      </c>
      <c r="C11" s="101"/>
      <c r="D11" s="69" t="s">
        <v>19</v>
      </c>
      <c r="E11" s="69" t="s">
        <v>1</v>
      </c>
      <c r="F11" s="91" t="s">
        <v>110</v>
      </c>
      <c r="G11" s="96" t="s">
        <v>41</v>
      </c>
      <c r="H11" s="77"/>
      <c r="I11" s="77" t="s">
        <v>19</v>
      </c>
      <c r="J11" s="77" t="s">
        <v>1</v>
      </c>
      <c r="K11" s="96" t="s">
        <v>110</v>
      </c>
      <c r="L11" s="95" t="s">
        <v>41</v>
      </c>
      <c r="M11" s="80"/>
      <c r="N11" s="80" t="s">
        <v>19</v>
      </c>
      <c r="O11" s="80" t="s">
        <v>1</v>
      </c>
      <c r="P11" s="95" t="s">
        <v>21</v>
      </c>
      <c r="R11" s="114" t="s">
        <v>41</v>
      </c>
      <c r="S11" s="115"/>
      <c r="T11" s="115" t="s">
        <v>19</v>
      </c>
      <c r="U11" s="115" t="s">
        <v>1</v>
      </c>
      <c r="V11" s="115" t="s">
        <v>110</v>
      </c>
      <c r="W11" s="115" t="s">
        <v>41</v>
      </c>
      <c r="X11" s="115"/>
      <c r="Y11" s="115" t="s">
        <v>19</v>
      </c>
      <c r="Z11" s="115" t="s">
        <v>1</v>
      </c>
      <c r="AA11" s="115" t="s">
        <v>110</v>
      </c>
      <c r="AB11" s="115" t="s">
        <v>41</v>
      </c>
      <c r="AC11" s="115"/>
      <c r="AD11" s="115" t="s">
        <v>19</v>
      </c>
      <c r="AE11" s="115" t="s">
        <v>1</v>
      </c>
      <c r="AF11" s="116" t="s">
        <v>21</v>
      </c>
      <c r="AJ11">
        <v>3</v>
      </c>
      <c r="AK11">
        <f t="shared" si="0"/>
        <v>8</v>
      </c>
      <c r="AL11">
        <v>0</v>
      </c>
      <c r="AN11" s="4" t="s">
        <v>114</v>
      </c>
      <c r="AO11" s="32"/>
    </row>
    <row r="12" spans="2:41" x14ac:dyDescent="0.3">
      <c r="B12" s="70">
        <f>SMALL(Persons!$O:$O,1+ROW(B12)-ROW(B$12))</f>
        <v>1</v>
      </c>
      <c r="C12" s="103">
        <f>IFERROR(INDEX(R$37:R$41,MATCH(E12,U$37:U$41,0))-B12,6-B12)</f>
        <v>0</v>
      </c>
      <c r="D12" s="70">
        <f t="array" ref="D12">INDEX(Persons!$A:$A,SMALL(IF(Persons!$O:$O=B12,ROW(Persons!$A:$A)-ROW(Persons!$A$1)+1),COUNTIF(B$12:B12,B12)))</f>
        <v>14</v>
      </c>
      <c r="E12" s="70" t="str">
        <f>INDEX(Persons!$B:$B,MATCH(D12,Persons!$A:$A,0))</f>
        <v>Truls</v>
      </c>
      <c r="F12" s="71">
        <f>INDEX(Persons!$N:$N,MATCH(D12,Persons!$A:$A,0))</f>
        <v>4.0053284907534046</v>
      </c>
      <c r="G12" s="78">
        <f>LARGE(Persons!$O:$O,1+ROW(G12)-ROW(G$12))</f>
        <v>28</v>
      </c>
      <c r="H12" s="106">
        <f>IFERROR(INDEX(W$37:W$41,MATCH(J12,Z$37:Z$41,0))-G12,$G$12-5-G12)</f>
        <v>4</v>
      </c>
      <c r="I12" s="78">
        <f t="array" ref="I12">INDEX(Persons!$A:$A,SMALL(IF(Persons!$O:$O=G12,ROW(Persons!$A:$A)-ROW(Persons!$A$1)+1),COUNTIF(G$12:G12,G12)))</f>
        <v>37</v>
      </c>
      <c r="J12" s="78" t="str">
        <f>INDEX(Persons!$B:$B,MATCH(I12,Persons!$A:$A,0))</f>
        <v>Ruben O</v>
      </c>
      <c r="K12" s="79">
        <f>INDEX(Persons!$N:$N,MATCH(I12,Persons!$A:$A,0))</f>
        <v>-3.6919842363072259</v>
      </c>
      <c r="L12" s="81">
        <f>SMALL(Persons!$J:$J,1+ROW(L12)-ROW(L$12))</f>
        <v>1</v>
      </c>
      <c r="M12" s="110">
        <f>IFERROR(INDEX(AB$37:AB$41,MATCH(O12,AE$37:AE$41,0))-L12,6-L12)</f>
        <v>0</v>
      </c>
      <c r="N12" s="81">
        <f t="array" ref="N12">INDEX(Persons!$A:$A,SMALL(IF(Persons!$J:$J=L12,ROW(Persons!$A:$A)-ROW(Persons!$A$1)+1),COUNTIF(L$12:L12,L12)))</f>
        <v>10</v>
      </c>
      <c r="O12" s="81" t="str">
        <f>INDEX(Persons!$B:$B,MATCH(N12,Persons!$A:$A,0))</f>
        <v>Odd</v>
      </c>
      <c r="P12" s="81">
        <f>INDEX(Persons!$I:$I,MATCH(N12,Persons!$A:$A,0))</f>
        <v>11</v>
      </c>
      <c r="R12" s="114">
        <v>1</v>
      </c>
      <c r="S12" s="115">
        <v>0</v>
      </c>
      <c r="T12" s="115">
        <v>14</v>
      </c>
      <c r="U12" s="115" t="s">
        <v>15</v>
      </c>
      <c r="V12" s="115">
        <v>2.5935637848710513</v>
      </c>
      <c r="W12" s="115">
        <v>32</v>
      </c>
      <c r="X12" s="115">
        <v>0</v>
      </c>
      <c r="Y12" s="115">
        <v>37</v>
      </c>
      <c r="Z12" s="115" t="s">
        <v>79</v>
      </c>
      <c r="AA12" s="115">
        <v>-3.1037489421895792</v>
      </c>
      <c r="AB12" s="115">
        <v>1</v>
      </c>
      <c r="AC12" s="115">
        <v>0</v>
      </c>
      <c r="AD12" s="115">
        <v>10</v>
      </c>
      <c r="AE12" s="115" t="s">
        <v>11</v>
      </c>
      <c r="AF12" s="116">
        <v>11</v>
      </c>
      <c r="AJ12">
        <v>4</v>
      </c>
      <c r="AK12">
        <f t="shared" si="0"/>
        <v>16</v>
      </c>
      <c r="AL12">
        <v>1</v>
      </c>
      <c r="AN12" s="4" t="s">
        <v>43</v>
      </c>
      <c r="AO12" s="34"/>
    </row>
    <row r="13" spans="2:41" x14ac:dyDescent="0.3">
      <c r="B13" s="70">
        <f>SMALL(Persons!$O:$O,1+ROW(B13)-ROW(B$12))</f>
        <v>2</v>
      </c>
      <c r="C13" s="103">
        <f>IFERROR(INDEX(R$37:R$41,MATCH(E13,U$37:U$41,0))-B13,6-B13)</f>
        <v>4</v>
      </c>
      <c r="D13" s="70">
        <f t="array" ref="D13">INDEX(Persons!$A:$A,SMALL(IF(Persons!$O:$O=B13,ROW(Persons!$A:$A)-ROW(Persons!$A$1)+1),COUNTIF(B$12:B13,B13)))</f>
        <v>64</v>
      </c>
      <c r="E13" s="70" t="str">
        <f>INDEX(Persons!$B:$B,MATCH(D13,Persons!$A:$A,0))</f>
        <v>Øystein</v>
      </c>
      <c r="F13" s="71">
        <f>INDEX(Persons!$N:$N,MATCH(D13,Persons!$A:$A,0))</f>
        <v>1.7647058823529411</v>
      </c>
      <c r="G13" s="78">
        <f>LARGE(Persons!$O:$O,1+ROW(G13)-ROW(G$12))</f>
        <v>27</v>
      </c>
      <c r="H13" s="106">
        <f>IFERROR(INDEX(W$37:W$41,MATCH(J13,Z$37:Z$41,0))-G13,$G$12-5-G13)</f>
        <v>3</v>
      </c>
      <c r="I13" s="78">
        <f t="array" ref="I13">INDEX(Persons!$A:$A,SMALL(IF(Persons!$O:$O=G13,ROW(Persons!$A:$A)-ROW(Persons!$A$1)+1),COUNTIF(G$12:G13,G13)))</f>
        <v>24</v>
      </c>
      <c r="J13" s="78" t="str">
        <f>INDEX(Persons!$B:$B,MATCH(I13,Persons!$A:$A,0))</f>
        <v>Terje</v>
      </c>
      <c r="K13" s="79">
        <f>INDEX(Persons!$N:$N,MATCH(I13,Persons!$A:$A,0))</f>
        <v>-2.562488369159555</v>
      </c>
      <c r="L13" s="81">
        <f>SMALL(Persons!$J:$J,1+ROW(L13)-ROW(L$12))</f>
        <v>2</v>
      </c>
      <c r="M13" s="110">
        <f>IFERROR(INDEX(AB$37:AB$41,MATCH(O13,AE$37:AE$41,0))-L13,6-L13)</f>
        <v>0</v>
      </c>
      <c r="N13" s="81">
        <f t="array" ref="N13">INDEX(Persons!$A:$A,SMALL(IF(Persons!$J:$J=L13,ROW(Persons!$A:$A)-ROW(Persons!$A$1)+1),COUNTIF(L$12:L13,L13)))</f>
        <v>14</v>
      </c>
      <c r="O13" s="81" t="str">
        <f>INDEX(Persons!$B:$B,MATCH(N13,Persons!$A:$A,0))</f>
        <v>Truls</v>
      </c>
      <c r="P13" s="81">
        <f>INDEX(Persons!$I:$I,MATCH(N13,Persons!$A:$A,0))</f>
        <v>10</v>
      </c>
      <c r="R13" s="114">
        <v>2</v>
      </c>
      <c r="S13" s="115">
        <v>2</v>
      </c>
      <c r="T13" s="115">
        <v>46</v>
      </c>
      <c r="U13" s="115" t="s">
        <v>97</v>
      </c>
      <c r="V13" s="115">
        <v>1.927149472196807</v>
      </c>
      <c r="W13" s="115">
        <v>31</v>
      </c>
      <c r="X13" s="115">
        <v>0</v>
      </c>
      <c r="Y13" s="115">
        <v>11</v>
      </c>
      <c r="Z13" s="115" t="s">
        <v>12</v>
      </c>
      <c r="AA13" s="115">
        <v>-2.9277262781608777</v>
      </c>
      <c r="AB13" s="115">
        <v>2</v>
      </c>
      <c r="AC13" s="115">
        <v>0</v>
      </c>
      <c r="AD13" s="115">
        <v>14</v>
      </c>
      <c r="AE13" s="115" t="s">
        <v>15</v>
      </c>
      <c r="AF13" s="116">
        <v>8</v>
      </c>
      <c r="AJ13">
        <v>5</v>
      </c>
      <c r="AK13">
        <f t="shared" si="0"/>
        <v>32</v>
      </c>
      <c r="AL13">
        <v>1</v>
      </c>
      <c r="AN13" s="4" t="s">
        <v>110</v>
      </c>
      <c r="AO13" s="36"/>
    </row>
    <row r="14" spans="2:41" x14ac:dyDescent="0.3">
      <c r="B14" s="70">
        <f>SMALL(Persons!$O:$O,1+ROW(B14)-ROW(B$12))</f>
        <v>3</v>
      </c>
      <c r="C14" s="103">
        <f>IFERROR(INDEX(R$37:R$41,MATCH(E14,U$37:U$41,0))-B14,6-B14)</f>
        <v>1</v>
      </c>
      <c r="D14" s="70">
        <f t="array" ref="D14">INDEX(Persons!$A:$A,SMALL(IF(Persons!$O:$O=B14,ROW(Persons!$A:$A)-ROW(Persons!$A$1)+1),COUNTIF(B$12:B14,B14)))</f>
        <v>46</v>
      </c>
      <c r="E14" s="70" t="str">
        <f>INDEX(Persons!$B:$B,MATCH(D14,Persons!$A:$A,0))</f>
        <v>Ciaran</v>
      </c>
      <c r="F14" s="71">
        <f>INDEX(Persons!$N:$N,MATCH(D14,Persons!$A:$A,0))</f>
        <v>1.6918553545497481</v>
      </c>
      <c r="G14" s="78">
        <f>LARGE(Persons!$O:$O,1+ROW(G14)-ROW(G$12))</f>
        <v>26</v>
      </c>
      <c r="H14" s="106">
        <f>IFERROR(INDEX(W$37:W$41,MATCH(J14,Z$37:Z$41,0))-G14,$G$12-5-G14)</f>
        <v>2</v>
      </c>
      <c r="I14" s="78">
        <f t="array" ref="I14">INDEX(Persons!$A:$A,SMALL(IF(Persons!$O:$O=G14,ROW(Persons!$A:$A)-ROW(Persons!$A$1)+1),COUNTIF(G$12:G14,G14)))</f>
        <v>29</v>
      </c>
      <c r="J14" s="78" t="str">
        <f>INDEX(Persons!$B:$B,MATCH(I14,Persons!$A:$A,0))</f>
        <v>Magnus B</v>
      </c>
      <c r="K14" s="79">
        <f>INDEX(Persons!$N:$N,MATCH(I14,Persons!$A:$A,0))</f>
        <v>-2.5416851543041465</v>
      </c>
      <c r="L14" s="81">
        <f>SMALL(Persons!$J:$J,1+ROW(L14)-ROW(L$12))</f>
        <v>3</v>
      </c>
      <c r="M14" s="110">
        <f>IFERROR(INDEX(AB$37:AB$41,MATCH(O14,AE$37:AE$41,0))-L14,6-L14)</f>
        <v>0</v>
      </c>
      <c r="N14" s="81">
        <f t="array" ref="N14">INDEX(Persons!$A:$A,SMALL(IF(Persons!$J:$J=L14,ROW(Persons!$A:$A)-ROW(Persons!$A$1)+1),COUNTIF(L$12:L14,L14)))</f>
        <v>33</v>
      </c>
      <c r="O14" s="81" t="str">
        <f>INDEX(Persons!$B:$B,MATCH(N14,Persons!$A:$A,0))</f>
        <v>Anders A</v>
      </c>
      <c r="P14" s="81">
        <f>INDEX(Persons!$I:$I,MATCH(N14,Persons!$A:$A,0))</f>
        <v>8</v>
      </c>
      <c r="R14" s="114">
        <v>3</v>
      </c>
      <c r="S14" s="115">
        <v>3</v>
      </c>
      <c r="T14" s="115">
        <v>10</v>
      </c>
      <c r="U14" s="115" t="s">
        <v>11</v>
      </c>
      <c r="V14" s="115">
        <v>1.6710826611698355</v>
      </c>
      <c r="W14" s="115">
        <v>30</v>
      </c>
      <c r="X14" s="115">
        <v>0</v>
      </c>
      <c r="Y14" s="115">
        <v>24</v>
      </c>
      <c r="Z14" s="115" t="s">
        <v>31</v>
      </c>
      <c r="AA14" s="115">
        <v>-2.562488369159555</v>
      </c>
      <c r="AB14" s="115">
        <v>3</v>
      </c>
      <c r="AC14" s="115">
        <v>0</v>
      </c>
      <c r="AD14" s="115">
        <v>33</v>
      </c>
      <c r="AE14" s="115" t="s">
        <v>75</v>
      </c>
      <c r="AF14" s="116">
        <v>7</v>
      </c>
      <c r="AJ14">
        <v>6</v>
      </c>
      <c r="AK14">
        <f t="shared" si="0"/>
        <v>64</v>
      </c>
      <c r="AL14">
        <v>1</v>
      </c>
      <c r="AN14" s="4" t="s">
        <v>110</v>
      </c>
      <c r="AO14" s="35"/>
    </row>
    <row r="15" spans="2:41" x14ac:dyDescent="0.3">
      <c r="B15" s="70">
        <f>SMALL(Persons!$O:$O,1+ROW(B15)-ROW(B$12))</f>
        <v>4</v>
      </c>
      <c r="C15" s="103">
        <f>IFERROR(INDEX(R$37:R$41,MATCH(E15,U$37:U$41,0))-B15,6-B15)</f>
        <v>2</v>
      </c>
      <c r="D15" s="70">
        <f t="array" ref="D15">INDEX(Persons!$A:$A,SMALL(IF(Persons!$O:$O=B15,ROW(Persons!$A:$A)-ROW(Persons!$A$1)+1),COUNTIF(B$12:B15,B15)))</f>
        <v>41</v>
      </c>
      <c r="E15" s="70" t="str">
        <f>INDEX(Persons!$B:$B,MATCH(D15,Persons!$A:$A,0))</f>
        <v>Ruben B</v>
      </c>
      <c r="F15" s="71">
        <f>INDEX(Persons!$N:$N,MATCH(D15,Persons!$A:$A,0))</f>
        <v>1.2651848742160414</v>
      </c>
      <c r="G15" s="78">
        <f>LARGE(Persons!$O:$O,1+ROW(G15)-ROW(G$12))</f>
        <v>25</v>
      </c>
      <c r="H15" s="106">
        <f>IFERROR(INDEX(W$37:W$41,MATCH(J15,Z$37:Z$41,0))-G15,$G$12-5-G15)</f>
        <v>4</v>
      </c>
      <c r="I15" s="78">
        <f t="array" ref="I15">INDEX(Persons!$A:$A,SMALL(IF(Persons!$O:$O=G15,ROW(Persons!$A:$A)-ROW(Persons!$A$1)+1),COUNTIF(G$12:G15,G15)))</f>
        <v>35</v>
      </c>
      <c r="J15" s="78" t="str">
        <f>INDEX(Persons!$B:$B,MATCH(I15,Persons!$A:$A,0))</f>
        <v>Mathias</v>
      </c>
      <c r="K15" s="79">
        <f>INDEX(Persons!$N:$N,MATCH(I15,Persons!$A:$A,0))</f>
        <v>-2.2733273926499367</v>
      </c>
      <c r="L15" s="81">
        <f>SMALL(Persons!$J:$J,1+ROW(L15)-ROW(L$12))</f>
        <v>4</v>
      </c>
      <c r="M15" s="110">
        <f>IFERROR(INDEX(AB$37:AB$41,MATCH(O15,AE$37:AE$41,0))-L15,6-L15)</f>
        <v>0</v>
      </c>
      <c r="N15" s="81">
        <f t="array" ref="N15">INDEX(Persons!$A:$A,SMALL(IF(Persons!$J:$J=L15,ROW(Persons!$A:$A)-ROW(Persons!$A$1)+1),COUNTIF(L$12:L15,L15)))</f>
        <v>15</v>
      </c>
      <c r="O15" s="81" t="str">
        <f>INDEX(Persons!$B:$B,MATCH(N15,Persons!$A:$A,0))</f>
        <v>Yngvar</v>
      </c>
      <c r="P15" s="81">
        <f>INDEX(Persons!$I:$I,MATCH(N15,Persons!$A:$A,0))</f>
        <v>6</v>
      </c>
      <c r="R15" s="114">
        <v>4</v>
      </c>
      <c r="S15" s="115">
        <v>2</v>
      </c>
      <c r="T15" s="115">
        <v>32</v>
      </c>
      <c r="U15" s="115" t="s">
        <v>38</v>
      </c>
      <c r="V15" s="115">
        <v>1.6091980020774379</v>
      </c>
      <c r="W15" s="115">
        <v>29</v>
      </c>
      <c r="X15" s="115">
        <v>0</v>
      </c>
      <c r="Y15" s="115">
        <v>35</v>
      </c>
      <c r="Z15" s="115" t="s">
        <v>46</v>
      </c>
      <c r="AA15" s="115">
        <v>-1.9792097455911128</v>
      </c>
      <c r="AB15" s="115">
        <v>4</v>
      </c>
      <c r="AC15" s="115">
        <v>2</v>
      </c>
      <c r="AD15" s="115">
        <v>32</v>
      </c>
      <c r="AE15" s="115" t="s">
        <v>38</v>
      </c>
      <c r="AF15" s="116">
        <v>6</v>
      </c>
      <c r="AJ15">
        <v>7</v>
      </c>
      <c r="AK15">
        <f t="shared" si="0"/>
        <v>128</v>
      </c>
      <c r="AL15">
        <v>0</v>
      </c>
      <c r="AN15" s="4" t="s">
        <v>112</v>
      </c>
      <c r="AO15" s="37"/>
    </row>
    <row r="16" spans="2:41" x14ac:dyDescent="0.3">
      <c r="B16" s="70">
        <f>SMALL(Persons!$O:$O,1+ROW(B16)-ROW(B$12))</f>
        <v>5</v>
      </c>
      <c r="C16" s="103">
        <f>IFERROR(INDEX(R$37:R$41,MATCH(E16,U$37:U$41,0))-B16,6-B16)</f>
        <v>1</v>
      </c>
      <c r="D16" s="70">
        <f t="array" ref="D16">INDEX(Persons!$A:$A,SMALL(IF(Persons!$O:$O=B16,ROW(Persons!$A:$A)-ROW(Persons!$A$1)+1),COUNTIF(B$12:B16,B16)))</f>
        <v>10</v>
      </c>
      <c r="E16" s="70" t="str">
        <f>INDEX(Persons!$B:$B,MATCH(D16,Persons!$A:$A,0))</f>
        <v>Odd</v>
      </c>
      <c r="F16" s="71">
        <f>INDEX(Persons!$N:$N,MATCH(D16,Persons!$A:$A,0))</f>
        <v>1.0828473670521888</v>
      </c>
      <c r="G16" s="78">
        <f>LARGE(Persons!$O:$O,1+ROW(G16)-ROW(G$12))</f>
        <v>24</v>
      </c>
      <c r="H16" s="106">
        <f>IFERROR(INDEX(W$37:W$41,MATCH(J16,Z$37:Z$41,0))-G16,$G$12-5-G16)</f>
        <v>-1</v>
      </c>
      <c r="I16" s="78">
        <f t="array" ref="I16">INDEX(Persons!$A:$A,SMALL(IF(Persons!$O:$O=G16,ROW(Persons!$A:$A)-ROW(Persons!$A$1)+1),COUNTIF(G$12:G16,G16)))</f>
        <v>45</v>
      </c>
      <c r="J16" s="78" t="str">
        <f>INDEX(Persons!$B:$B,MATCH(I16,Persons!$A:$A,0))</f>
        <v>Fridtjof</v>
      </c>
      <c r="K16" s="79">
        <f>INDEX(Persons!$N:$N,MATCH(I16,Persons!$A:$A,0))</f>
        <v>-2.0572677415738649</v>
      </c>
      <c r="L16" s="81">
        <f>SMALL(Persons!$J:$J,1+ROW(L16)-ROW(L$12))</f>
        <v>5</v>
      </c>
      <c r="M16" s="110">
        <f>IFERROR(INDEX(AB$37:AB$41,MATCH(O16,AE$37:AE$41,0))-L16,6-L16)</f>
        <v>0</v>
      </c>
      <c r="N16" s="81">
        <f t="array" ref="N16">INDEX(Persons!$A:$A,SMALL(IF(Persons!$J:$J=L16,ROW(Persons!$A:$A)-ROW(Persons!$A$1)+1),COUNTIF(L$12:L16,L16)))</f>
        <v>37</v>
      </c>
      <c r="O16" s="81" t="str">
        <f>INDEX(Persons!$B:$B,MATCH(N16,Persons!$A:$A,0))</f>
        <v>Ruben O</v>
      </c>
      <c r="P16" s="81">
        <f>INDEX(Persons!$I:$I,MATCH(N16,Persons!$A:$A,0))</f>
        <v>5</v>
      </c>
      <c r="R16" s="114">
        <v>5</v>
      </c>
      <c r="S16" s="115">
        <v>-3</v>
      </c>
      <c r="T16" s="115">
        <v>48</v>
      </c>
      <c r="U16" s="115" t="s">
        <v>100</v>
      </c>
      <c r="V16" s="115">
        <v>1.3551764073920212</v>
      </c>
      <c r="W16" s="115">
        <v>28</v>
      </c>
      <c r="X16" s="115">
        <v>-1</v>
      </c>
      <c r="Y16" s="115">
        <v>47</v>
      </c>
      <c r="Z16" s="115" t="s">
        <v>7</v>
      </c>
      <c r="AA16" s="115">
        <v>-1.975786479492849</v>
      </c>
      <c r="AB16" s="115">
        <v>4</v>
      </c>
      <c r="AC16" s="115">
        <v>2</v>
      </c>
      <c r="AD16" s="115">
        <v>52</v>
      </c>
      <c r="AE16" s="115" t="s">
        <v>126</v>
      </c>
      <c r="AF16" s="116">
        <v>6</v>
      </c>
      <c r="AJ16">
        <v>8</v>
      </c>
      <c r="AK16">
        <f t="shared" si="0"/>
        <v>256</v>
      </c>
      <c r="AL16">
        <v>0</v>
      </c>
      <c r="AN16" s="4" t="s">
        <v>56</v>
      </c>
      <c r="AO16" s="39"/>
    </row>
    <row r="17" spans="2:49" x14ac:dyDescent="0.3">
      <c r="R17" s="114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6"/>
      <c r="AJ17">
        <v>9</v>
      </c>
      <c r="AK17">
        <f t="shared" si="0"/>
        <v>512</v>
      </c>
      <c r="AL17">
        <v>0</v>
      </c>
      <c r="AN17" s="4" t="s">
        <v>56</v>
      </c>
      <c r="AO17" s="38"/>
    </row>
    <row r="18" spans="2:49" x14ac:dyDescent="0.3">
      <c r="B18" s="128" t="s">
        <v>118</v>
      </c>
      <c r="C18" s="128"/>
      <c r="D18" s="128"/>
      <c r="E18" s="128"/>
      <c r="F18" s="128"/>
      <c r="G18" s="131" t="s">
        <v>119</v>
      </c>
      <c r="H18" s="131"/>
      <c r="I18" s="131"/>
      <c r="J18" s="131"/>
      <c r="K18" s="131"/>
      <c r="L18" s="132" t="s">
        <v>42</v>
      </c>
      <c r="M18" s="132"/>
      <c r="N18" s="132"/>
      <c r="O18" s="132"/>
      <c r="P18" s="132"/>
      <c r="R18" s="114" t="s">
        <v>118</v>
      </c>
      <c r="S18" s="115"/>
      <c r="T18" s="115"/>
      <c r="U18" s="115"/>
      <c r="V18" s="115"/>
      <c r="W18" s="115" t="s">
        <v>119</v>
      </c>
      <c r="X18" s="115"/>
      <c r="Y18" s="115"/>
      <c r="Z18" s="115"/>
      <c r="AA18" s="115"/>
      <c r="AB18" s="115" t="s">
        <v>42</v>
      </c>
      <c r="AC18" s="115"/>
      <c r="AD18" s="115"/>
      <c r="AE18" s="115"/>
      <c r="AF18" s="116"/>
    </row>
    <row r="19" spans="2:49" x14ac:dyDescent="0.3">
      <c r="B19" s="92" t="s">
        <v>41</v>
      </c>
      <c r="C19" s="102"/>
      <c r="D19" s="72" t="s">
        <v>19</v>
      </c>
      <c r="E19" s="72" t="s">
        <v>1</v>
      </c>
      <c r="F19" s="92" t="s">
        <v>56</v>
      </c>
      <c r="G19" s="93" t="s">
        <v>41</v>
      </c>
      <c r="H19" s="82"/>
      <c r="I19" s="82" t="s">
        <v>19</v>
      </c>
      <c r="J19" s="82" t="s">
        <v>1</v>
      </c>
      <c r="K19" s="93" t="s">
        <v>56</v>
      </c>
      <c r="L19" s="94" t="s">
        <v>41</v>
      </c>
      <c r="M19" s="87"/>
      <c r="N19" s="87" t="s">
        <v>19</v>
      </c>
      <c r="O19" s="87" t="s">
        <v>1</v>
      </c>
      <c r="P19" s="94" t="s">
        <v>20</v>
      </c>
      <c r="R19" s="114" t="s">
        <v>41</v>
      </c>
      <c r="S19" s="115"/>
      <c r="T19" s="115" t="s">
        <v>19</v>
      </c>
      <c r="U19" s="115" t="s">
        <v>1</v>
      </c>
      <c r="V19" s="115" t="s">
        <v>56</v>
      </c>
      <c r="W19" s="115" t="s">
        <v>41</v>
      </c>
      <c r="X19" s="115"/>
      <c r="Y19" s="115" t="s">
        <v>19</v>
      </c>
      <c r="Z19" s="115" t="s">
        <v>1</v>
      </c>
      <c r="AA19" s="115" t="s">
        <v>56</v>
      </c>
      <c r="AB19" s="115" t="s">
        <v>41</v>
      </c>
      <c r="AC19" s="115"/>
      <c r="AD19" s="115" t="s">
        <v>19</v>
      </c>
      <c r="AE19" s="115" t="s">
        <v>1</v>
      </c>
      <c r="AF19" s="116" t="s">
        <v>20</v>
      </c>
      <c r="AJ19" s="56" t="s">
        <v>41</v>
      </c>
      <c r="AK19" s="56" t="s">
        <v>157</v>
      </c>
      <c r="AL19" s="56" t="s">
        <v>149</v>
      </c>
      <c r="AM19" s="56" t="s">
        <v>150</v>
      </c>
      <c r="AN19" s="56" t="s">
        <v>151</v>
      </c>
      <c r="AO19" s="56" t="s">
        <v>152</v>
      </c>
      <c r="AP19" s="56" t="s">
        <v>153</v>
      </c>
      <c r="AQ19" s="56" t="s">
        <v>154</v>
      </c>
      <c r="AR19" s="56" t="s">
        <v>155</v>
      </c>
      <c r="AS19" s="56" t="s">
        <v>156</v>
      </c>
      <c r="AT19" s="56" t="s">
        <v>158</v>
      </c>
      <c r="AU19" s="56" t="s">
        <v>159</v>
      </c>
      <c r="AV19" s="56" t="s">
        <v>160</v>
      </c>
    </row>
    <row r="20" spans="2:49" x14ac:dyDescent="0.3">
      <c r="B20" s="73">
        <f>SMALL(Persons!$U:$U,1+ROW(B20)-ROW(B$20))</f>
        <v>1</v>
      </c>
      <c r="C20" s="104">
        <f>IFERROR(INDEX(R$45:R$49,MATCH(E20,U$45:U$49,0))-B20,6-B20)</f>
        <v>5</v>
      </c>
      <c r="D20" s="73">
        <f t="array" ref="D20">INDEX(Persons!$A:$A,SMALL(IF(Persons!$U:$U=B20,ROW(Persons!$A:$A)-ROW(Persons!$A$1)+1),COUNTIF(B$20:B20,B20)))</f>
        <v>64</v>
      </c>
      <c r="E20" s="73" t="str">
        <f>INDEX(Persons!$B:$B,MATCH(D20,Persons!$A:$A,0))</f>
        <v>Øystein</v>
      </c>
      <c r="F20" s="74">
        <f>INDEX(Persons!$T:$T,MATCH(D20,Persons!$A:$A,0))</f>
        <v>170</v>
      </c>
      <c r="G20" s="83">
        <f>LARGE(Persons!$U:$U,1+ROW(G20)-ROW(G$20))</f>
        <v>28</v>
      </c>
      <c r="H20" s="105">
        <f>IFERROR(INDEX(W$45:W$49,MATCH(J20,Z$45:Z$49,0))-G20,$G$20-5-G20)</f>
        <v>-5</v>
      </c>
      <c r="I20" s="83">
        <f t="array" ref="I20">INDEX(Persons!$A:$A,SMALL(IF(Persons!$U:$U=G20,ROW(Persons!$A:$A)-ROW(Persons!$A$1)+1),COUNTIF(G$20:G20,G20)))</f>
        <v>47</v>
      </c>
      <c r="J20" s="83" t="str">
        <f>INDEX(Persons!$B:$B,MATCH(I20,Persons!$A:$A,0))</f>
        <v>Kenneth</v>
      </c>
      <c r="K20" s="84">
        <f>INDEX(Persons!$T:$T,MATCH(I20,Persons!$A:$A,0))</f>
        <v>253.06378254412468</v>
      </c>
      <c r="L20" s="88">
        <f>SMALL(Persons!$H:$H,1+ROW(L20)-ROW(L$20))</f>
        <v>1</v>
      </c>
      <c r="M20" s="109">
        <f>IFERROR(INDEX(AB$45:AB$49,MATCH(O20,AE$45:AE$49,0))-L20,6-L20)</f>
        <v>0</v>
      </c>
      <c r="N20" s="88">
        <f t="array" ref="N20">INDEX(Persons!$A:$A,SMALL(IF(Persons!$H:$H=L20,ROW(Persons!$A:$A)-ROW(Persons!$A$1)+1),COUNTIF(L$20:L20,L20)))</f>
        <v>10</v>
      </c>
      <c r="O20" s="88" t="str">
        <f>INDEX(Persons!$B:$B,MATCH(N20,Persons!$A:$A,0))</f>
        <v>Odd</v>
      </c>
      <c r="P20" s="89">
        <f>INDEX(Persons!$G:$G,MATCH(N20,Persons!$A:$A,0))</f>
        <v>220</v>
      </c>
      <c r="R20" s="114">
        <v>1</v>
      </c>
      <c r="S20" s="115">
        <v>0</v>
      </c>
      <c r="T20" s="115">
        <v>63</v>
      </c>
      <c r="U20" s="115" t="s">
        <v>148</v>
      </c>
      <c r="V20" s="115">
        <v>174.28571428571428</v>
      </c>
      <c r="W20" s="115">
        <v>32</v>
      </c>
      <c r="X20" s="115">
        <v>0</v>
      </c>
      <c r="Y20" s="115">
        <v>52</v>
      </c>
      <c r="Z20" s="115" t="s">
        <v>126</v>
      </c>
      <c r="AA20" s="115">
        <v>285.82190412653893</v>
      </c>
      <c r="AB20" s="115">
        <v>1</v>
      </c>
      <c r="AC20" s="115">
        <v>0</v>
      </c>
      <c r="AD20" s="115">
        <v>10</v>
      </c>
      <c r="AE20" s="115" t="s">
        <v>11</v>
      </c>
      <c r="AF20" s="116">
        <v>210</v>
      </c>
      <c r="AJ20">
        <v>1</v>
      </c>
      <c r="AK20">
        <v>0</v>
      </c>
      <c r="AL20" s="55">
        <v>0.3</v>
      </c>
      <c r="AM20" s="55">
        <v>1</v>
      </c>
      <c r="AN20" s="57">
        <f>AL20*AM20</f>
        <v>0.3</v>
      </c>
      <c r="AO20" s="49">
        <f>AN20*(1-ABS(MOD(AK20/60,2)-1))</f>
        <v>0</v>
      </c>
      <c r="AP20" s="57">
        <f>AM20-AN20</f>
        <v>0.7</v>
      </c>
      <c r="AQ20" s="49">
        <f>IF(OR(AND(AK20&gt;=0,AK20&lt;60),AND(AK20&gt;=300,AK20&lt;360)),AN20,IF(OR(AND(AK20&gt;=60,AK20&lt;120),AND(AK20&gt;=240,AK20&lt;300)),AO20,0))</f>
        <v>0.3</v>
      </c>
      <c r="AR20" s="49">
        <f>IF(OR(AND(AK20&gt;=60,AK20&lt;120),AND(AK20&gt;=120,AK20&lt;180)),AN20,IF(OR(AND(AK20&gt;=0,AK20&lt;60),AND(AK20&gt;=180,AK20&lt;240)),AO20,0))</f>
        <v>0</v>
      </c>
      <c r="AS20" s="49">
        <f>IF(OR(AND(AK20&gt;=180,AK20&lt;240),AND(AK20&gt;=240,AK20&lt;300)),AN20,IF(OR(AND(AK20&gt;=120,AK20&lt;180),AND(AK20&gt;=300,AK20&lt;360)),AO20,0))</f>
        <v>0</v>
      </c>
      <c r="AT20" s="25">
        <f>($AP20+AQ20)*255</f>
        <v>255</v>
      </c>
      <c r="AU20" s="25">
        <f>($AP20+AR20)*255</f>
        <v>178.5</v>
      </c>
      <c r="AV20" s="25">
        <f>($AP20+AS20)*255</f>
        <v>178.5</v>
      </c>
      <c r="AW20" s="58"/>
    </row>
    <row r="21" spans="2:49" x14ac:dyDescent="0.3">
      <c r="B21" s="73">
        <f>SMALL(Persons!$U:$U,1+ROW(B21)-ROW(B$20))</f>
        <v>1</v>
      </c>
      <c r="C21" s="104">
        <f>IFERROR(INDEX(R$45:R$49,MATCH(E21,U$45:U$49,0))-B21,6-B21)</f>
        <v>5</v>
      </c>
      <c r="D21" s="73">
        <f t="array" ref="D21">INDEX(Persons!$A:$A,SMALL(IF(Persons!$U:$U=B21,ROW(Persons!$A:$A)-ROW(Persons!$A$1)+1),COUNTIF(B$20:B21,B21)))</f>
        <v>65</v>
      </c>
      <c r="E21" s="73" t="str">
        <f>INDEX(Persons!$B:$B,MATCH(D21,Persons!$A:$A,0))</f>
        <v>Johan</v>
      </c>
      <c r="F21" s="74">
        <f>INDEX(Persons!$T:$T,MATCH(D21,Persons!$A:$A,0))</f>
        <v>170</v>
      </c>
      <c r="G21" s="83">
        <f>LARGE(Persons!$U:$U,1+ROW(G21)-ROW(G$20))</f>
        <v>27</v>
      </c>
      <c r="H21" s="105">
        <f>IFERROR(INDEX(W$45:W$49,MATCH(J21,Z$45:Z$49,0))-G21,$G$20-5-G21)</f>
        <v>4</v>
      </c>
      <c r="I21" s="83">
        <f t="array" ref="I21">INDEX(Persons!$A:$A,SMALL(IF(Persons!$U:$U=G21,ROW(Persons!$A:$A)-ROW(Persons!$A$1)+1),COUNTIF(G$20:G21,G21)))</f>
        <v>24</v>
      </c>
      <c r="J21" s="83" t="str">
        <f>INDEX(Persons!$B:$B,MATCH(I21,Persons!$A:$A,0))</f>
        <v>Terje</v>
      </c>
      <c r="K21" s="84">
        <f>INDEX(Persons!$T:$T,MATCH(I21,Persons!$A:$A,0))</f>
        <v>252.63240374096256</v>
      </c>
      <c r="L21" s="88">
        <f>SMALL(Persons!$H:$H,1+ROW(L21)-ROW(L$20))</f>
        <v>2</v>
      </c>
      <c r="M21" s="109">
        <f>IFERROR(INDEX(AB$45:AB$49,MATCH(O21,AE$45:AE$49,0))-L21,6-L21)</f>
        <v>0</v>
      </c>
      <c r="N21" s="88">
        <f t="array" ref="N21">INDEX(Persons!$A:$A,SMALL(IF(Persons!$H:$H=L21,ROW(Persons!$A:$A)-ROW(Persons!$A$1)+1),COUNTIF(L$20:L21,L21)))</f>
        <v>33</v>
      </c>
      <c r="O21" s="88" t="str">
        <f>INDEX(Persons!$B:$B,MATCH(N21,Persons!$A:$A,0))</f>
        <v>Anders A</v>
      </c>
      <c r="P21" s="89">
        <f>INDEX(Persons!$G:$G,MATCH(N21,Persons!$A:$A,0))</f>
        <v>202</v>
      </c>
      <c r="R21" s="114">
        <v>2</v>
      </c>
      <c r="S21" s="115">
        <v>2</v>
      </c>
      <c r="T21" s="115">
        <v>27</v>
      </c>
      <c r="U21" s="115" t="s">
        <v>142</v>
      </c>
      <c r="V21" s="115">
        <v>199.43598420755782</v>
      </c>
      <c r="W21" s="115">
        <v>31</v>
      </c>
      <c r="X21" s="115">
        <v>-4</v>
      </c>
      <c r="Y21" s="115">
        <v>32</v>
      </c>
      <c r="Z21" s="115" t="s">
        <v>38</v>
      </c>
      <c r="AA21" s="115">
        <v>255.0786850625262</v>
      </c>
      <c r="AB21" s="115">
        <v>2</v>
      </c>
      <c r="AC21" s="115">
        <v>0</v>
      </c>
      <c r="AD21" s="115">
        <v>33</v>
      </c>
      <c r="AE21" s="115" t="s">
        <v>75</v>
      </c>
      <c r="AF21" s="116">
        <v>192</v>
      </c>
      <c r="AJ21">
        <v>2</v>
      </c>
      <c r="AK21">
        <f>AK20+360/9</f>
        <v>40</v>
      </c>
      <c r="AL21" s="55">
        <v>0.3</v>
      </c>
      <c r="AM21" s="55">
        <v>1</v>
      </c>
      <c r="AN21" s="57">
        <f t="shared" ref="AN21:AN28" si="1">AL21*AM21</f>
        <v>0.3</v>
      </c>
      <c r="AO21" s="49">
        <f t="shared" ref="AO21:AO28" si="2">AN21*(1-ABS(MOD(AK21/60,2)-1))</f>
        <v>0.19999999999999998</v>
      </c>
      <c r="AP21" s="57">
        <f t="shared" ref="AP21:AP28" si="3">AM21-AN21</f>
        <v>0.7</v>
      </c>
      <c r="AQ21" s="49">
        <f t="shared" ref="AQ21:AQ28" si="4">IF(OR(AND(AK21&gt;=0,AK21&lt;60),AND(AK21&gt;=300,AK21&lt;360)),AN21,IF(OR(AND(AK21&gt;=60,AK21&lt;120),AND(AK21&gt;=240,AK21&lt;300)),AO21,0))</f>
        <v>0.3</v>
      </c>
      <c r="AR21" s="49">
        <f t="shared" ref="AR21:AR28" si="5">IF(OR(AND(AK21&gt;=60,AK21&lt;120),AND(AK21&gt;=120,AK21&lt;180)),AN21,IF(OR(AND(AK21&gt;=0,AK21&lt;60),AND(AK21&gt;=180,AK21&lt;240)),AO21,0))</f>
        <v>0.19999999999999998</v>
      </c>
      <c r="AS21" s="49">
        <f t="shared" ref="AS21:AS28" si="6">IF(OR(AND(AK21&gt;=180,AK21&lt;240),AND(AK21&gt;=240,AK21&lt;300)),AN21,IF(OR(AND(AK21&gt;=120,AK21&lt;180),AND(AK21&gt;=300,AK21&lt;360)),AO21,0))</f>
        <v>0</v>
      </c>
      <c r="AT21" s="25">
        <f t="shared" ref="AT21:AV26" si="7">($AP21+AQ21)*255</f>
        <v>255</v>
      </c>
      <c r="AU21" s="25">
        <f t="shared" si="7"/>
        <v>229.49999999999997</v>
      </c>
      <c r="AV21" s="25">
        <f t="shared" si="7"/>
        <v>178.5</v>
      </c>
      <c r="AW21" s="59"/>
    </row>
    <row r="22" spans="2:49" x14ac:dyDescent="0.3">
      <c r="B22" s="73">
        <f>SMALL(Persons!$U:$U,1+ROW(B22)-ROW(B$20))</f>
        <v>1</v>
      </c>
      <c r="C22" s="104">
        <f>IFERROR(INDEX(R$45:R$49,MATCH(E22,U$45:U$49,0))-B22,6-B22)</f>
        <v>5</v>
      </c>
      <c r="D22" s="73">
        <f t="array" ref="D22">INDEX(Persons!$A:$A,SMALL(IF(Persons!$U:$U=B22,ROW(Persons!$A:$A)-ROW(Persons!$A$1)+1),COUNTIF(B$20:B22,B22)))</f>
        <v>66</v>
      </c>
      <c r="E22" s="73" t="str">
        <f>INDEX(Persons!$B:$B,MATCH(D22,Persons!$A:$A,0))</f>
        <v>Gaute</v>
      </c>
      <c r="F22" s="74">
        <f>INDEX(Persons!$T:$T,MATCH(D22,Persons!$A:$A,0))</f>
        <v>170</v>
      </c>
      <c r="G22" s="83">
        <f>LARGE(Persons!$U:$U,1+ROW(G22)-ROW(G$20))</f>
        <v>26</v>
      </c>
      <c r="H22" s="105">
        <f>IFERROR(INDEX(W$45:W$49,MATCH(J22,Z$45:Z$49,0))-G22,$G$20-5-G22)</f>
        <v>-3</v>
      </c>
      <c r="I22" s="83">
        <f t="array" ref="I22">INDEX(Persons!$A:$A,SMALL(IF(Persons!$U:$U=G22,ROW(Persons!$A:$A)-ROW(Persons!$A$1)+1),COUNTIF(G$20:G22,G22)))</f>
        <v>60</v>
      </c>
      <c r="J22" s="83" t="str">
        <f>INDEX(Persons!$B:$B,MATCH(I22,Persons!$A:$A,0))</f>
        <v>Kristin G</v>
      </c>
      <c r="K22" s="84">
        <f>INDEX(Persons!$T:$T,MATCH(I22,Persons!$A:$A,0))</f>
        <v>247.13398402839397</v>
      </c>
      <c r="L22" s="88">
        <f>SMALL(Persons!$H:$H,1+ROW(L22)-ROW(L$20))</f>
        <v>3</v>
      </c>
      <c r="M22" s="109">
        <f>IFERROR(INDEX(AB$45:AB$49,MATCH(O22,AE$45:AE$49,0))-L22,6-L22)</f>
        <v>0</v>
      </c>
      <c r="N22" s="88">
        <f t="array" ref="N22">INDEX(Persons!$A:$A,SMALL(IF(Persons!$H:$H=L22,ROW(Persons!$A:$A)-ROW(Persons!$A$1)+1),COUNTIF(L$20:L22,L22)))</f>
        <v>37</v>
      </c>
      <c r="O22" s="88" t="str">
        <f>INDEX(Persons!$B:$B,MATCH(N22,Persons!$A:$A,0))</f>
        <v>Ruben O</v>
      </c>
      <c r="P22" s="89">
        <f>INDEX(Persons!$G:$G,MATCH(N22,Persons!$A:$A,0))</f>
        <v>191</v>
      </c>
      <c r="R22" s="114">
        <v>3</v>
      </c>
      <c r="S22" s="115">
        <v>2</v>
      </c>
      <c r="T22" s="115">
        <v>44</v>
      </c>
      <c r="U22" s="115" t="s">
        <v>82</v>
      </c>
      <c r="V22" s="115">
        <v>209.96943899925887</v>
      </c>
      <c r="W22" s="115">
        <v>30</v>
      </c>
      <c r="X22" s="115">
        <v>-3</v>
      </c>
      <c r="Y22" s="115">
        <v>47</v>
      </c>
      <c r="Z22" s="115" t="s">
        <v>7</v>
      </c>
      <c r="AA22" s="115">
        <v>253.06378254412468</v>
      </c>
      <c r="AB22" s="115">
        <v>3</v>
      </c>
      <c r="AC22" s="115">
        <v>0</v>
      </c>
      <c r="AD22" s="115">
        <v>37</v>
      </c>
      <c r="AE22" s="115" t="s">
        <v>79</v>
      </c>
      <c r="AF22" s="116">
        <v>181</v>
      </c>
      <c r="AJ22">
        <v>3</v>
      </c>
      <c r="AK22">
        <f>AK21+360/9</f>
        <v>80</v>
      </c>
      <c r="AL22" s="55">
        <v>0.3</v>
      </c>
      <c r="AM22" s="55">
        <v>1</v>
      </c>
      <c r="AN22" s="57">
        <f t="shared" si="1"/>
        <v>0.3</v>
      </c>
      <c r="AO22" s="49">
        <f t="shared" si="2"/>
        <v>0.2</v>
      </c>
      <c r="AP22" s="57">
        <f t="shared" si="3"/>
        <v>0.7</v>
      </c>
      <c r="AQ22" s="49">
        <f t="shared" si="4"/>
        <v>0.2</v>
      </c>
      <c r="AR22" s="49">
        <f t="shared" si="5"/>
        <v>0.3</v>
      </c>
      <c r="AS22" s="49">
        <f t="shared" si="6"/>
        <v>0</v>
      </c>
      <c r="AT22" s="25">
        <f t="shared" si="7"/>
        <v>229.49999999999997</v>
      </c>
      <c r="AU22" s="25">
        <f t="shared" si="7"/>
        <v>255</v>
      </c>
      <c r="AV22" s="25">
        <f t="shared" si="7"/>
        <v>178.5</v>
      </c>
      <c r="AW22" s="60"/>
    </row>
    <row r="23" spans="2:49" x14ac:dyDescent="0.3">
      <c r="B23" s="73">
        <f>SMALL(Persons!$U:$U,1+ROW(B23)-ROW(B$20))</f>
        <v>4</v>
      </c>
      <c r="C23" s="104">
        <f>IFERROR(INDEX(R$45:R$49,MATCH(E23,U$45:U$49,0))-B23,6-B23)</f>
        <v>-3</v>
      </c>
      <c r="D23" s="73">
        <f t="array" ref="D23">INDEX(Persons!$A:$A,SMALL(IF(Persons!$U:$U=B23,ROW(Persons!$A:$A)-ROW(Persons!$A$1)+1),COUNTIF(B$20:B23,B23)))</f>
        <v>63</v>
      </c>
      <c r="E23" s="73" t="str">
        <f>INDEX(Persons!$B:$B,MATCH(D23,Persons!$A:$A,0))</f>
        <v>Håkon</v>
      </c>
      <c r="F23" s="74">
        <f>INDEX(Persons!$T:$T,MATCH(D23,Persons!$A:$A,0))</f>
        <v>171.68874172185431</v>
      </c>
      <c r="G23" s="83">
        <f>LARGE(Persons!$U:$U,1+ROW(G23)-ROW(G$20))</f>
        <v>25</v>
      </c>
      <c r="H23" s="105">
        <f>IFERROR(INDEX(W$45:W$49,MATCH(J23,Z$45:Z$49,0))-G23,$G$20-5-G23)</f>
        <v>4</v>
      </c>
      <c r="I23" s="83">
        <f t="array" ref="I23">INDEX(Persons!$A:$A,SMALL(IF(Persons!$U:$U=G23,ROW(Persons!$A:$A)-ROW(Persons!$A$1)+1),COUNTIF(G$20:G23,G23)))</f>
        <v>17</v>
      </c>
      <c r="J23" s="83" t="str">
        <f>INDEX(Persons!$B:$B,MATCH(I23,Persons!$A:$A,0))</f>
        <v>Hanne</v>
      </c>
      <c r="K23" s="84">
        <f>INDEX(Persons!$T:$T,MATCH(I23,Persons!$A:$A,0))</f>
        <v>245.46125885069893</v>
      </c>
      <c r="L23" s="88">
        <f>SMALL(Persons!$H:$H,1+ROW(L23)-ROW(L$20))</f>
        <v>4</v>
      </c>
      <c r="M23" s="109">
        <f>IFERROR(INDEX(AB$45:AB$49,MATCH(O23,AE$45:AE$49,0))-L23,6-L23)</f>
        <v>0</v>
      </c>
      <c r="N23" s="88">
        <f t="array" ref="N23">INDEX(Persons!$A:$A,SMALL(IF(Persons!$H:$H=L23,ROW(Persons!$A:$A)-ROW(Persons!$A$1)+1),COUNTIF(L$20:L23,L23)))</f>
        <v>29</v>
      </c>
      <c r="O23" s="88" t="str">
        <f>INDEX(Persons!$B:$B,MATCH(N23,Persons!$A:$A,0))</f>
        <v>Magnus B</v>
      </c>
      <c r="P23" s="89">
        <f>INDEX(Persons!$G:$G,MATCH(N23,Persons!$A:$A,0))</f>
        <v>151</v>
      </c>
      <c r="R23" s="114">
        <v>4</v>
      </c>
      <c r="S23" s="115">
        <v>2</v>
      </c>
      <c r="T23" s="115">
        <v>43</v>
      </c>
      <c r="U23" s="115" t="s">
        <v>81</v>
      </c>
      <c r="V23" s="115">
        <v>212.40896207491642</v>
      </c>
      <c r="W23" s="115">
        <v>29</v>
      </c>
      <c r="X23" s="115">
        <v>2</v>
      </c>
      <c r="Y23" s="115">
        <v>24</v>
      </c>
      <c r="Z23" s="115" t="s">
        <v>31</v>
      </c>
      <c r="AA23" s="115">
        <v>252.63240374096256</v>
      </c>
      <c r="AB23" s="115">
        <v>4</v>
      </c>
      <c r="AC23" s="115">
        <v>2</v>
      </c>
      <c r="AD23" s="115">
        <v>52</v>
      </c>
      <c r="AE23" s="115" t="s">
        <v>126</v>
      </c>
      <c r="AF23" s="116">
        <v>146</v>
      </c>
      <c r="AJ23">
        <v>4</v>
      </c>
      <c r="AK23">
        <f t="shared" ref="AK23:AK28" si="8">AK22+360/9</f>
        <v>120</v>
      </c>
      <c r="AL23" s="55">
        <v>0.3</v>
      </c>
      <c r="AM23" s="55">
        <v>1</v>
      </c>
      <c r="AN23" s="57">
        <f t="shared" si="1"/>
        <v>0.3</v>
      </c>
      <c r="AO23" s="49">
        <f t="shared" si="2"/>
        <v>0</v>
      </c>
      <c r="AP23" s="57">
        <f t="shared" si="3"/>
        <v>0.7</v>
      </c>
      <c r="AQ23" s="49">
        <f t="shared" si="4"/>
        <v>0</v>
      </c>
      <c r="AR23" s="49">
        <f t="shared" si="5"/>
        <v>0.3</v>
      </c>
      <c r="AS23" s="49">
        <f t="shared" si="6"/>
        <v>0</v>
      </c>
      <c r="AT23" s="25">
        <f t="shared" si="7"/>
        <v>178.5</v>
      </c>
      <c r="AU23" s="25">
        <f t="shared" si="7"/>
        <v>255</v>
      </c>
      <c r="AV23" s="25">
        <f t="shared" si="7"/>
        <v>178.5</v>
      </c>
      <c r="AW23" s="61"/>
    </row>
    <row r="24" spans="2:49" ht="15" thickBot="1" x14ac:dyDescent="0.35">
      <c r="B24" s="73">
        <f>SMALL(Persons!$U:$U,1+ROW(B24)-ROW(B$20))</f>
        <v>5</v>
      </c>
      <c r="C24" s="104">
        <f>IFERROR(INDEX(R$45:R$49,MATCH(E24,U$45:U$49,0))-B24,6-B24)</f>
        <v>1</v>
      </c>
      <c r="D24" s="73">
        <f t="array" ref="D24">INDEX(Persons!$A:$A,SMALL(IF(Persons!$U:$U=B24,ROW(Persons!$A:$A)-ROW(Persons!$A$1)+1),COUNTIF(B$20:B24,B24)))</f>
        <v>59</v>
      </c>
      <c r="E24" s="73" t="str">
        <f>INDEX(Persons!$B:$B,MATCH(D24,Persons!$A:$A,0))</f>
        <v>Jøran</v>
      </c>
      <c r="F24" s="74">
        <f>INDEX(Persons!$T:$T,MATCH(D24,Persons!$A:$A,0))</f>
        <v>188.30769230769229</v>
      </c>
      <c r="G24" s="83">
        <f>LARGE(Persons!$U:$U,1+ROW(G24)-ROW(G$20))</f>
        <v>24</v>
      </c>
      <c r="H24" s="105">
        <f>IFERROR(INDEX(W$45:W$49,MATCH(J24,Z$45:Z$49,0))-G24,$G$20-5-G24)</f>
        <v>-1</v>
      </c>
      <c r="I24" s="83">
        <f t="array" ref="I24">INDEX(Persons!$A:$A,SMALL(IF(Persons!$U:$U=G24,ROW(Persons!$A:$A)-ROW(Persons!$A$1)+1),COUNTIF(G$20:G24,G24)))</f>
        <v>12</v>
      </c>
      <c r="J24" s="83" t="str">
        <f>INDEX(Persons!$B:$B,MATCH(I24,Persons!$A:$A,0))</f>
        <v>Stig</v>
      </c>
      <c r="K24" s="84">
        <f>INDEX(Persons!$T:$T,MATCH(I24,Persons!$A:$A,0))</f>
        <v>244.85836578291148</v>
      </c>
      <c r="L24" s="88">
        <f>SMALL(Persons!$H:$H,1+ROW(L24)-ROW(L$20))</f>
        <v>5</v>
      </c>
      <c r="M24" s="109">
        <f>IFERROR(INDEX(AB$45:AB$49,MATCH(O24,AE$45:AE$49,0))-L24,6-L24)</f>
        <v>0</v>
      </c>
      <c r="N24" s="88">
        <f t="array" ref="N24">INDEX(Persons!$A:$A,SMALL(IF(Persons!$H:$H=L24,ROW(Persons!$A:$A)-ROW(Persons!$A$1)+1),COUNTIF(L$20:L24,L24)))</f>
        <v>14</v>
      </c>
      <c r="O24" s="88" t="str">
        <f>INDEX(Persons!$B:$B,MATCH(N24,Persons!$A:$A,0))</f>
        <v>Truls</v>
      </c>
      <c r="P24" s="89">
        <f>INDEX(Persons!$G:$G,MATCH(N24,Persons!$A:$A,0))</f>
        <v>128</v>
      </c>
      <c r="R24" s="117">
        <v>5</v>
      </c>
      <c r="S24" s="118">
        <v>-2</v>
      </c>
      <c r="T24" s="118">
        <v>53</v>
      </c>
      <c r="U24" s="118" t="s">
        <v>132</v>
      </c>
      <c r="V24" s="118">
        <v>213.57940233973241</v>
      </c>
      <c r="W24" s="118">
        <v>28</v>
      </c>
      <c r="X24" s="118">
        <v>-1</v>
      </c>
      <c r="Y24" s="118">
        <v>60</v>
      </c>
      <c r="Z24" s="118" t="s">
        <v>141</v>
      </c>
      <c r="AA24" s="118">
        <v>247.13398402839397</v>
      </c>
      <c r="AB24" s="118">
        <v>5</v>
      </c>
      <c r="AC24" s="118">
        <v>-1</v>
      </c>
      <c r="AD24" s="118">
        <v>29</v>
      </c>
      <c r="AE24" s="118" t="s">
        <v>131</v>
      </c>
      <c r="AF24" s="119">
        <v>141</v>
      </c>
      <c r="AJ24">
        <v>5</v>
      </c>
      <c r="AK24">
        <f t="shared" si="8"/>
        <v>160</v>
      </c>
      <c r="AL24" s="55">
        <v>0.3</v>
      </c>
      <c r="AM24" s="55">
        <v>1</v>
      </c>
      <c r="AN24" s="57">
        <f t="shared" si="1"/>
        <v>0.3</v>
      </c>
      <c r="AO24" s="49">
        <f t="shared" si="2"/>
        <v>0.19999999999999996</v>
      </c>
      <c r="AP24" s="57">
        <f t="shared" si="3"/>
        <v>0.7</v>
      </c>
      <c r="AQ24" s="49">
        <f t="shared" si="4"/>
        <v>0</v>
      </c>
      <c r="AR24" s="49">
        <f t="shared" si="5"/>
        <v>0.3</v>
      </c>
      <c r="AS24" s="49">
        <f t="shared" si="6"/>
        <v>0.19999999999999996</v>
      </c>
      <c r="AT24" s="25">
        <f t="shared" si="7"/>
        <v>178.5</v>
      </c>
      <c r="AU24" s="25">
        <f t="shared" si="7"/>
        <v>255</v>
      </c>
      <c r="AV24" s="25">
        <f t="shared" si="7"/>
        <v>229.49999999999997</v>
      </c>
      <c r="AW24" s="62"/>
    </row>
    <row r="25" spans="2:49" x14ac:dyDescent="0.3">
      <c r="AJ25">
        <v>6</v>
      </c>
      <c r="AK25">
        <f t="shared" si="8"/>
        <v>200</v>
      </c>
      <c r="AL25" s="55">
        <v>0.3</v>
      </c>
      <c r="AM25" s="55">
        <v>1</v>
      </c>
      <c r="AN25" s="57">
        <f t="shared" si="1"/>
        <v>0.3</v>
      </c>
      <c r="AO25" s="49">
        <f t="shared" si="2"/>
        <v>0.19999999999999996</v>
      </c>
      <c r="AP25" s="57">
        <f t="shared" si="3"/>
        <v>0.7</v>
      </c>
      <c r="AQ25" s="49">
        <f t="shared" si="4"/>
        <v>0</v>
      </c>
      <c r="AR25" s="49">
        <f t="shared" si="5"/>
        <v>0.19999999999999996</v>
      </c>
      <c r="AS25" s="49">
        <f t="shared" si="6"/>
        <v>0.3</v>
      </c>
      <c r="AT25" s="25">
        <f t="shared" si="7"/>
        <v>178.5</v>
      </c>
      <c r="AU25" s="25">
        <f t="shared" si="7"/>
        <v>229.49999999999997</v>
      </c>
      <c r="AV25" s="25">
        <f t="shared" si="7"/>
        <v>255</v>
      </c>
      <c r="AW25" s="63"/>
    </row>
    <row r="26" spans="2:49" ht="15" thickBot="1" x14ac:dyDescent="0.35">
      <c r="R26" s="124" t="s">
        <v>185</v>
      </c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H26" s="42" t="s">
        <v>123</v>
      </c>
      <c r="AI26" t="s">
        <v>120</v>
      </c>
      <c r="AJ26">
        <v>7</v>
      </c>
      <c r="AK26">
        <f t="shared" si="8"/>
        <v>240</v>
      </c>
      <c r="AL26" s="55">
        <v>0.3</v>
      </c>
      <c r="AM26" s="55">
        <v>1</v>
      </c>
      <c r="AN26" s="57">
        <f t="shared" si="1"/>
        <v>0.3</v>
      </c>
      <c r="AO26" s="49">
        <f t="shared" si="2"/>
        <v>0</v>
      </c>
      <c r="AP26" s="57">
        <f t="shared" si="3"/>
        <v>0.7</v>
      </c>
      <c r="AQ26" s="49">
        <f t="shared" si="4"/>
        <v>0</v>
      </c>
      <c r="AR26" s="49">
        <f t="shared" si="5"/>
        <v>0</v>
      </c>
      <c r="AS26" s="49">
        <f t="shared" si="6"/>
        <v>0.3</v>
      </c>
      <c r="AT26" s="25">
        <f t="shared" si="7"/>
        <v>178.5</v>
      </c>
      <c r="AU26" s="25">
        <f t="shared" si="7"/>
        <v>178.5</v>
      </c>
      <c r="AV26" s="25">
        <f t="shared" si="7"/>
        <v>255</v>
      </c>
      <c r="AW26" s="64"/>
    </row>
    <row r="27" spans="2:49" x14ac:dyDescent="0.3">
      <c r="R27" s="111" t="s">
        <v>40</v>
      </c>
      <c r="S27" s="112"/>
      <c r="T27" s="112"/>
      <c r="U27" s="112"/>
      <c r="V27" s="112"/>
      <c r="W27" s="112" t="s">
        <v>39</v>
      </c>
      <c r="X27" s="112"/>
      <c r="Y27" s="112"/>
      <c r="Z27" s="112"/>
      <c r="AA27" s="112"/>
      <c r="AB27" s="112" t="s">
        <v>161</v>
      </c>
      <c r="AC27" s="112"/>
      <c r="AD27" s="112"/>
      <c r="AE27" s="112"/>
      <c r="AF27" s="113"/>
      <c r="AH27" s="42" t="s">
        <v>124</v>
      </c>
      <c r="AI27" t="s">
        <v>121</v>
      </c>
      <c r="AJ27">
        <v>8</v>
      </c>
      <c r="AK27">
        <f>AK26+360/9</f>
        <v>280</v>
      </c>
      <c r="AL27" s="55">
        <v>0.3</v>
      </c>
      <c r="AM27" s="55">
        <v>1</v>
      </c>
      <c r="AN27" s="57">
        <f t="shared" si="1"/>
        <v>0.3</v>
      </c>
      <c r="AO27" s="49">
        <f t="shared" si="2"/>
        <v>0.20000000000000009</v>
      </c>
      <c r="AP27" s="57">
        <f t="shared" si="3"/>
        <v>0.7</v>
      </c>
      <c r="AQ27" s="49">
        <f t="shared" si="4"/>
        <v>0.20000000000000009</v>
      </c>
      <c r="AR27" s="49">
        <f t="shared" si="5"/>
        <v>0</v>
      </c>
      <c r="AS27" s="49">
        <f t="shared" si="6"/>
        <v>0.3</v>
      </c>
      <c r="AT27" s="25">
        <f t="shared" ref="AT27:AV28" si="9">($AP27+AQ27)*255</f>
        <v>229.5</v>
      </c>
      <c r="AU27" s="25">
        <f t="shared" si="9"/>
        <v>178.5</v>
      </c>
      <c r="AV27" s="25">
        <f t="shared" si="9"/>
        <v>255</v>
      </c>
      <c r="AW27" s="65"/>
    </row>
    <row r="28" spans="2:49" x14ac:dyDescent="0.3">
      <c r="R28" s="114" t="s">
        <v>41</v>
      </c>
      <c r="S28" s="115"/>
      <c r="T28" s="115" t="s">
        <v>19</v>
      </c>
      <c r="U28" s="115" t="s">
        <v>1</v>
      </c>
      <c r="V28" s="115" t="s">
        <v>105</v>
      </c>
      <c r="W28" s="115" t="s">
        <v>41</v>
      </c>
      <c r="X28" s="115"/>
      <c r="Y28" s="115" t="s">
        <v>19</v>
      </c>
      <c r="Z28" s="115" t="s">
        <v>1</v>
      </c>
      <c r="AA28" s="115" t="s">
        <v>105</v>
      </c>
      <c r="AB28" s="115" t="s">
        <v>41</v>
      </c>
      <c r="AC28" s="115"/>
      <c r="AD28" s="115" t="s">
        <v>19</v>
      </c>
      <c r="AE28" s="115" t="s">
        <v>1</v>
      </c>
      <c r="AF28" s="116" t="s">
        <v>83</v>
      </c>
      <c r="AJ28">
        <v>9</v>
      </c>
      <c r="AK28">
        <f t="shared" si="8"/>
        <v>320</v>
      </c>
      <c r="AL28" s="55">
        <v>0.3</v>
      </c>
      <c r="AM28" s="55">
        <v>1</v>
      </c>
      <c r="AN28" s="57">
        <f t="shared" si="1"/>
        <v>0.3</v>
      </c>
      <c r="AO28" s="49">
        <f t="shared" si="2"/>
        <v>0.20000000000000009</v>
      </c>
      <c r="AP28" s="57">
        <f t="shared" si="3"/>
        <v>0.7</v>
      </c>
      <c r="AQ28" s="49">
        <f t="shared" si="4"/>
        <v>0.3</v>
      </c>
      <c r="AR28" s="49">
        <f t="shared" si="5"/>
        <v>0</v>
      </c>
      <c r="AS28" s="49">
        <f t="shared" si="6"/>
        <v>0.20000000000000009</v>
      </c>
      <c r="AT28" s="25">
        <f t="shared" si="9"/>
        <v>255</v>
      </c>
      <c r="AU28" s="25">
        <f t="shared" si="9"/>
        <v>178.5</v>
      </c>
      <c r="AV28" s="25">
        <f t="shared" si="9"/>
        <v>229.5</v>
      </c>
      <c r="AW28" s="66"/>
    </row>
    <row r="29" spans="2:49" x14ac:dyDescent="0.3">
      <c r="R29" s="114">
        <v>1</v>
      </c>
      <c r="S29" s="115"/>
      <c r="T29" s="115"/>
      <c r="U29" s="115" t="s">
        <v>100</v>
      </c>
      <c r="V29" s="115">
        <v>9.9000000000000005E-2</v>
      </c>
      <c r="W29" s="115">
        <v>32</v>
      </c>
      <c r="X29" s="115"/>
      <c r="Y29" s="115"/>
      <c r="Z29" s="115" t="s">
        <v>12</v>
      </c>
      <c r="AA29" s="115">
        <v>3.9E-2</v>
      </c>
      <c r="AB29" s="115">
        <v>1</v>
      </c>
      <c r="AC29" s="115"/>
      <c r="AD29" s="115"/>
      <c r="AE29" s="115" t="s">
        <v>11</v>
      </c>
      <c r="AF29" s="116">
        <v>9</v>
      </c>
    </row>
    <row r="30" spans="2:49" x14ac:dyDescent="0.3">
      <c r="R30" s="114">
        <v>2</v>
      </c>
      <c r="S30" s="115"/>
      <c r="T30" s="115"/>
      <c r="U30" s="115" t="s">
        <v>15</v>
      </c>
      <c r="V30" s="115">
        <v>0.104</v>
      </c>
      <c r="W30" s="115">
        <v>31</v>
      </c>
      <c r="X30" s="115"/>
      <c r="Y30" s="115"/>
      <c r="Z30" s="115" t="s">
        <v>31</v>
      </c>
      <c r="AA30" s="115">
        <v>8.4000000000000005E-2</v>
      </c>
      <c r="AB30" s="115">
        <v>2</v>
      </c>
      <c r="AC30" s="115"/>
      <c r="AD30" s="115"/>
      <c r="AE30" s="115" t="s">
        <v>75</v>
      </c>
      <c r="AF30" s="116">
        <v>8.1999999999999993</v>
      </c>
    </row>
    <row r="31" spans="2:49" x14ac:dyDescent="0.3">
      <c r="R31" s="114">
        <v>3</v>
      </c>
      <c r="S31" s="115"/>
      <c r="T31" s="115"/>
      <c r="U31" s="115" t="s">
        <v>141</v>
      </c>
      <c r="V31" s="115">
        <v>0.17199999999999999</v>
      </c>
      <c r="W31" s="115">
        <v>30</v>
      </c>
      <c r="X31" s="115"/>
      <c r="Y31" s="115"/>
      <c r="Z31" s="115" t="s">
        <v>7</v>
      </c>
      <c r="AA31" s="115">
        <v>9.5000000000000001E-2</v>
      </c>
      <c r="AB31" s="115">
        <v>3</v>
      </c>
      <c r="AC31" s="115"/>
      <c r="AD31" s="115"/>
      <c r="AE31" s="115" t="s">
        <v>79</v>
      </c>
      <c r="AF31" s="116">
        <v>7.8</v>
      </c>
    </row>
    <row r="32" spans="2:49" x14ac:dyDescent="0.3">
      <c r="R32" s="114">
        <v>4</v>
      </c>
      <c r="S32" s="115"/>
      <c r="T32" s="115"/>
      <c r="U32" s="115" t="s">
        <v>97</v>
      </c>
      <c r="V32" s="115">
        <v>0.20200000000000001</v>
      </c>
      <c r="W32" s="115">
        <v>29</v>
      </c>
      <c r="X32" s="115"/>
      <c r="Y32" s="115"/>
      <c r="Z32" s="115" t="s">
        <v>96</v>
      </c>
      <c r="AA32" s="115">
        <v>0.127</v>
      </c>
      <c r="AB32" s="115">
        <v>4</v>
      </c>
      <c r="AC32" s="115"/>
      <c r="AD32" s="115"/>
      <c r="AE32" s="115" t="s">
        <v>131</v>
      </c>
      <c r="AF32" s="116">
        <v>5.7</v>
      </c>
    </row>
    <row r="33" spans="18:32" x14ac:dyDescent="0.3">
      <c r="R33" s="114">
        <v>5</v>
      </c>
      <c r="S33" s="115"/>
      <c r="T33" s="115"/>
      <c r="U33" s="115" t="s">
        <v>14</v>
      </c>
      <c r="V33" s="115">
        <v>0.26</v>
      </c>
      <c r="W33" s="115">
        <v>28</v>
      </c>
      <c r="X33" s="115"/>
      <c r="Y33" s="115"/>
      <c r="Z33" s="115" t="s">
        <v>23</v>
      </c>
      <c r="AA33" s="115">
        <v>0.13900000000000001</v>
      </c>
      <c r="AB33" s="115">
        <v>5</v>
      </c>
      <c r="AC33" s="115"/>
      <c r="AD33" s="115"/>
      <c r="AE33" s="115" t="s">
        <v>15</v>
      </c>
      <c r="AF33" s="116">
        <v>5.3</v>
      </c>
    </row>
    <row r="34" spans="18:32" x14ac:dyDescent="0.3">
      <c r="R34" s="114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6"/>
    </row>
    <row r="35" spans="18:32" x14ac:dyDescent="0.3">
      <c r="R35" s="114" t="s">
        <v>116</v>
      </c>
      <c r="S35" s="115"/>
      <c r="T35" s="115"/>
      <c r="U35" s="115"/>
      <c r="V35" s="115"/>
      <c r="W35" s="115" t="s">
        <v>117</v>
      </c>
      <c r="X35" s="115"/>
      <c r="Y35" s="115"/>
      <c r="Z35" s="115"/>
      <c r="AA35" s="115"/>
      <c r="AB35" s="115" t="s">
        <v>43</v>
      </c>
      <c r="AC35" s="115"/>
      <c r="AD35" s="115"/>
      <c r="AE35" s="115"/>
      <c r="AF35" s="116"/>
    </row>
    <row r="36" spans="18:32" x14ac:dyDescent="0.3">
      <c r="R36" s="114" t="s">
        <v>41</v>
      </c>
      <c r="S36" s="115"/>
      <c r="T36" s="115" t="s">
        <v>19</v>
      </c>
      <c r="U36" s="115" t="s">
        <v>1</v>
      </c>
      <c r="V36" s="115" t="s">
        <v>110</v>
      </c>
      <c r="W36" s="115" t="s">
        <v>41</v>
      </c>
      <c r="X36" s="115"/>
      <c r="Y36" s="115" t="s">
        <v>19</v>
      </c>
      <c r="Z36" s="115" t="s">
        <v>1</v>
      </c>
      <c r="AA36" s="115" t="s">
        <v>110</v>
      </c>
      <c r="AB36" s="115" t="s">
        <v>41</v>
      </c>
      <c r="AC36" s="115"/>
      <c r="AD36" s="115" t="s">
        <v>19</v>
      </c>
      <c r="AE36" s="115" t="s">
        <v>1</v>
      </c>
      <c r="AF36" s="116" t="s">
        <v>21</v>
      </c>
    </row>
    <row r="37" spans="18:32" x14ac:dyDescent="0.3">
      <c r="R37" s="114">
        <v>1</v>
      </c>
      <c r="S37" s="115"/>
      <c r="T37" s="115"/>
      <c r="U37" s="115" t="s">
        <v>15</v>
      </c>
      <c r="V37" s="115">
        <v>2.7</v>
      </c>
      <c r="W37" s="115">
        <v>32</v>
      </c>
      <c r="X37" s="115"/>
      <c r="Y37" s="115"/>
      <c r="Z37" s="115" t="s">
        <v>79</v>
      </c>
      <c r="AA37" s="115">
        <v>-2.8</v>
      </c>
      <c r="AB37" s="115">
        <v>1</v>
      </c>
      <c r="AC37" s="115"/>
      <c r="AD37" s="115"/>
      <c r="AE37" s="115" t="s">
        <v>11</v>
      </c>
      <c r="AF37" s="116">
        <v>10</v>
      </c>
    </row>
    <row r="38" spans="18:32" x14ac:dyDescent="0.3">
      <c r="R38" s="114">
        <v>2</v>
      </c>
      <c r="S38" s="115"/>
      <c r="T38" s="115"/>
      <c r="U38" s="115" t="s">
        <v>100</v>
      </c>
      <c r="V38" s="115">
        <v>1.5</v>
      </c>
      <c r="W38" s="115">
        <v>31</v>
      </c>
      <c r="X38" s="115"/>
      <c r="Y38" s="115"/>
      <c r="Z38" s="115" t="s">
        <v>12</v>
      </c>
      <c r="AA38" s="115">
        <v>-2.8</v>
      </c>
      <c r="AB38" s="115">
        <v>2</v>
      </c>
      <c r="AC38" s="115"/>
      <c r="AD38" s="115"/>
      <c r="AE38" s="115" t="s">
        <v>15</v>
      </c>
      <c r="AF38" s="116">
        <v>8</v>
      </c>
    </row>
    <row r="39" spans="18:32" x14ac:dyDescent="0.3">
      <c r="R39" s="114">
        <v>3</v>
      </c>
      <c r="S39" s="115"/>
      <c r="T39" s="115"/>
      <c r="U39" s="115" t="s">
        <v>14</v>
      </c>
      <c r="V39" s="115">
        <v>1.2</v>
      </c>
      <c r="W39" s="115">
        <v>30</v>
      </c>
      <c r="X39" s="115"/>
      <c r="Y39" s="115"/>
      <c r="Z39" s="115" t="s">
        <v>31</v>
      </c>
      <c r="AA39" s="115">
        <v>-2.4</v>
      </c>
      <c r="AB39" s="115">
        <v>3</v>
      </c>
      <c r="AC39" s="115"/>
      <c r="AD39" s="115"/>
      <c r="AE39" s="115" t="s">
        <v>75</v>
      </c>
      <c r="AF39" s="116">
        <v>7</v>
      </c>
    </row>
    <row r="40" spans="18:32" x14ac:dyDescent="0.3">
      <c r="R40" s="114">
        <v>4</v>
      </c>
      <c r="S40" s="115"/>
      <c r="T40" s="115"/>
      <c r="U40" s="115" t="s">
        <v>97</v>
      </c>
      <c r="V40" s="115">
        <v>1.1000000000000001</v>
      </c>
      <c r="W40" s="115">
        <v>29</v>
      </c>
      <c r="X40" s="115"/>
      <c r="Y40" s="115"/>
      <c r="Z40" s="115" t="s">
        <v>46</v>
      </c>
      <c r="AA40" s="115">
        <v>-1.8</v>
      </c>
      <c r="AB40" s="115">
        <v>4</v>
      </c>
      <c r="AC40" s="115"/>
      <c r="AD40" s="115"/>
      <c r="AE40" s="115" t="s">
        <v>16</v>
      </c>
      <c r="AF40" s="116">
        <v>6</v>
      </c>
    </row>
    <row r="41" spans="18:32" x14ac:dyDescent="0.3">
      <c r="R41" s="114">
        <v>5</v>
      </c>
      <c r="S41" s="115"/>
      <c r="T41" s="115"/>
      <c r="U41" s="115" t="s">
        <v>82</v>
      </c>
      <c r="V41" s="115">
        <v>1</v>
      </c>
      <c r="W41" s="115">
        <v>28</v>
      </c>
      <c r="X41" s="115"/>
      <c r="Y41" s="115"/>
      <c r="Z41" s="115" t="s">
        <v>131</v>
      </c>
      <c r="AA41" s="115">
        <v>-1.7</v>
      </c>
      <c r="AB41" s="115">
        <v>5</v>
      </c>
      <c r="AC41" s="115"/>
      <c r="AD41" s="115"/>
      <c r="AE41" s="115" t="s">
        <v>79</v>
      </c>
      <c r="AF41" s="116">
        <v>5</v>
      </c>
    </row>
    <row r="42" spans="18:32" x14ac:dyDescent="0.3">
      <c r="R42" s="114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6"/>
    </row>
    <row r="43" spans="18:32" x14ac:dyDescent="0.3">
      <c r="R43" s="114" t="s">
        <v>118</v>
      </c>
      <c r="S43" s="115"/>
      <c r="T43" s="115"/>
      <c r="U43" s="115"/>
      <c r="V43" s="115"/>
      <c r="W43" s="115" t="s">
        <v>119</v>
      </c>
      <c r="X43" s="115"/>
      <c r="Y43" s="115"/>
      <c r="Z43" s="115"/>
      <c r="AA43" s="115"/>
      <c r="AB43" s="115" t="s">
        <v>42</v>
      </c>
      <c r="AC43" s="115"/>
      <c r="AD43" s="115"/>
      <c r="AE43" s="115"/>
      <c r="AF43" s="116"/>
    </row>
    <row r="44" spans="18:32" x14ac:dyDescent="0.3">
      <c r="R44" s="114" t="s">
        <v>41</v>
      </c>
      <c r="S44" s="115"/>
      <c r="T44" s="115" t="s">
        <v>19</v>
      </c>
      <c r="U44" s="115" t="s">
        <v>1</v>
      </c>
      <c r="V44" s="115" t="s">
        <v>56</v>
      </c>
      <c r="W44" s="115" t="s">
        <v>41</v>
      </c>
      <c r="X44" s="115"/>
      <c r="Y44" s="115" t="s">
        <v>19</v>
      </c>
      <c r="Z44" s="115" t="s">
        <v>1</v>
      </c>
      <c r="AA44" s="115" t="s">
        <v>56</v>
      </c>
      <c r="AB44" s="115" t="s">
        <v>41</v>
      </c>
      <c r="AC44" s="115"/>
      <c r="AD44" s="115" t="s">
        <v>19</v>
      </c>
      <c r="AE44" s="115" t="s">
        <v>1</v>
      </c>
      <c r="AF44" s="116" t="s">
        <v>20</v>
      </c>
    </row>
    <row r="45" spans="18:32" x14ac:dyDescent="0.3">
      <c r="R45" s="114">
        <v>1</v>
      </c>
      <c r="S45" s="115"/>
      <c r="T45" s="115"/>
      <c r="U45" s="115" t="s">
        <v>146</v>
      </c>
      <c r="V45" s="115">
        <v>174</v>
      </c>
      <c r="W45" s="115">
        <v>32</v>
      </c>
      <c r="X45" s="115"/>
      <c r="Y45" s="115"/>
      <c r="Z45" s="115" t="s">
        <v>126</v>
      </c>
      <c r="AA45" s="115">
        <v>266</v>
      </c>
      <c r="AB45" s="115">
        <v>1</v>
      </c>
      <c r="AC45" s="115"/>
      <c r="AD45" s="115"/>
      <c r="AE45" s="115" t="s">
        <v>11</v>
      </c>
      <c r="AF45" s="116">
        <v>200</v>
      </c>
    </row>
    <row r="46" spans="18:32" x14ac:dyDescent="0.3">
      <c r="R46" s="114">
        <v>1</v>
      </c>
      <c r="S46" s="115"/>
      <c r="T46" s="115"/>
      <c r="U46" s="115" t="s">
        <v>148</v>
      </c>
      <c r="V46" s="115">
        <v>174</v>
      </c>
      <c r="W46" s="115">
        <v>31</v>
      </c>
      <c r="X46" s="115"/>
      <c r="Y46" s="115"/>
      <c r="Z46" s="115" t="s">
        <v>31</v>
      </c>
      <c r="AA46" s="115">
        <v>249</v>
      </c>
      <c r="AB46" s="115">
        <v>2</v>
      </c>
      <c r="AC46" s="115"/>
      <c r="AD46" s="115"/>
      <c r="AE46" s="115" t="s">
        <v>75</v>
      </c>
      <c r="AF46" s="116">
        <v>182</v>
      </c>
    </row>
    <row r="47" spans="18:32" x14ac:dyDescent="0.3">
      <c r="R47" s="114">
        <v>3</v>
      </c>
      <c r="S47" s="115"/>
      <c r="T47" s="115"/>
      <c r="U47" s="115" t="s">
        <v>132</v>
      </c>
      <c r="V47" s="115">
        <v>198</v>
      </c>
      <c r="W47" s="115">
        <v>30</v>
      </c>
      <c r="X47" s="115"/>
      <c r="Y47" s="115"/>
      <c r="Z47" s="115" t="s">
        <v>23</v>
      </c>
      <c r="AA47" s="115">
        <v>246</v>
      </c>
      <c r="AB47" s="115">
        <v>3</v>
      </c>
      <c r="AC47" s="115"/>
      <c r="AD47" s="115"/>
      <c r="AE47" s="115" t="s">
        <v>79</v>
      </c>
      <c r="AF47" s="116">
        <v>171</v>
      </c>
    </row>
    <row r="48" spans="18:32" x14ac:dyDescent="0.3">
      <c r="R48" s="114">
        <v>4</v>
      </c>
      <c r="S48" s="115"/>
      <c r="T48" s="115"/>
      <c r="U48" s="115" t="s">
        <v>142</v>
      </c>
      <c r="V48" s="115">
        <v>199</v>
      </c>
      <c r="W48" s="115">
        <v>29</v>
      </c>
      <c r="X48" s="115"/>
      <c r="Y48" s="115"/>
      <c r="Z48" s="115" t="s">
        <v>24</v>
      </c>
      <c r="AA48" s="115">
        <v>245</v>
      </c>
      <c r="AB48" s="115">
        <v>4</v>
      </c>
      <c r="AC48" s="115"/>
      <c r="AD48" s="115"/>
      <c r="AE48" s="115" t="s">
        <v>131</v>
      </c>
      <c r="AF48" s="116">
        <v>131</v>
      </c>
    </row>
    <row r="49" spans="18:32" ht="15" thickBot="1" x14ac:dyDescent="0.35">
      <c r="R49" s="117">
        <v>5</v>
      </c>
      <c r="S49" s="118"/>
      <c r="T49" s="118"/>
      <c r="U49" s="118" t="s">
        <v>82</v>
      </c>
      <c r="V49" s="118">
        <v>203</v>
      </c>
      <c r="W49" s="118">
        <v>28</v>
      </c>
      <c r="X49" s="118"/>
      <c r="Y49" s="118"/>
      <c r="Z49" s="118" t="s">
        <v>3</v>
      </c>
      <c r="AA49" s="118">
        <v>244</v>
      </c>
      <c r="AB49" s="118">
        <v>5</v>
      </c>
      <c r="AC49" s="118"/>
      <c r="AD49" s="118"/>
      <c r="AE49" s="118" t="s">
        <v>15</v>
      </c>
      <c r="AF49" s="119">
        <v>113</v>
      </c>
    </row>
  </sheetData>
  <mergeCells count="11">
    <mergeCell ref="R1:AF1"/>
    <mergeCell ref="R26:AF26"/>
    <mergeCell ref="B2:F2"/>
    <mergeCell ref="G2:K2"/>
    <mergeCell ref="B10:F10"/>
    <mergeCell ref="B18:F18"/>
    <mergeCell ref="L2:P2"/>
    <mergeCell ref="G10:K10"/>
    <mergeCell ref="G18:K18"/>
    <mergeCell ref="L18:P18"/>
    <mergeCell ref="L10:P10"/>
  </mergeCells>
  <pageMargins left="0.25" right="0.25" top="0.75" bottom="0.75" header="0.3" footer="0.3"/>
  <pageSetup paperSize="9" scale="8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68BE614-E819-4D39-9764-9432F9CA3407}">
            <x14:iconSet iconSet="5Arrows" showValue="0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Triangles" iconId="0"/>
              <x14:cfIcon iconSet="NoIcons" iconId="0"/>
              <x14:cfIcon iconSet="3Triangles" iconId="2"/>
              <x14:cfIcon iconSet="3Arrows" iconId="2"/>
            </x14:iconSet>
          </x14:cfRule>
          <xm:sqref>C4:C8 C12:C16 C20:C24 H4:H8 H12:H16 H20:H24 M4:M8 M12:M16 M20:M24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68"/>
  <sheetViews>
    <sheetView showGridLines="0" topLeftCell="A27" workbookViewId="0">
      <selection activeCell="C54" sqref="C54"/>
    </sheetView>
  </sheetViews>
  <sheetFormatPr defaultColWidth="8.88671875" defaultRowHeight="14.4" x14ac:dyDescent="0.3"/>
  <cols>
    <col min="1" max="1" width="8.88671875" style="4"/>
    <col min="2" max="2" width="10.88671875" style="4" bestFit="1" customWidth="1"/>
    <col min="3" max="4" width="8.88671875" style="4"/>
    <col min="7" max="10" width="8.88671875" style="4"/>
    <col min="11" max="15" width="8.88671875" style="5"/>
    <col min="16" max="19" width="8.88671875" style="4"/>
    <col min="23" max="23" width="8.88671875" style="4"/>
    <col min="24" max="24" width="8.88671875" style="6"/>
    <col min="26" max="16384" width="8.88671875" style="4"/>
  </cols>
  <sheetData>
    <row r="1" spans="1:30" ht="15.6" x14ac:dyDescent="0.35">
      <c r="A1" s="18" t="s">
        <v>0</v>
      </c>
      <c r="B1" s="18" t="s">
        <v>1</v>
      </c>
      <c r="C1" s="18" t="s">
        <v>136</v>
      </c>
      <c r="D1" s="50" t="s">
        <v>113</v>
      </c>
      <c r="E1" s="50" t="s">
        <v>49</v>
      </c>
      <c r="F1" s="50" t="s">
        <v>107</v>
      </c>
      <c r="G1" s="51" t="s">
        <v>20</v>
      </c>
      <c r="H1" s="51" t="s">
        <v>104</v>
      </c>
      <c r="I1" s="51" t="s">
        <v>21</v>
      </c>
      <c r="J1" s="51" t="s">
        <v>103</v>
      </c>
      <c r="K1" s="52" t="s">
        <v>22</v>
      </c>
      <c r="L1" s="52" t="s">
        <v>102</v>
      </c>
      <c r="M1" s="53" t="s">
        <v>90</v>
      </c>
      <c r="N1" s="53" t="s">
        <v>110</v>
      </c>
      <c r="O1" s="53" t="s">
        <v>115</v>
      </c>
      <c r="P1" s="51" t="s">
        <v>109</v>
      </c>
      <c r="Q1" s="51" t="s">
        <v>111</v>
      </c>
      <c r="R1" s="51" t="s">
        <v>105</v>
      </c>
      <c r="S1" s="51" t="s">
        <v>106</v>
      </c>
      <c r="T1" s="54" t="s">
        <v>56</v>
      </c>
      <c r="U1" s="51" t="s">
        <v>108</v>
      </c>
      <c r="V1" s="4"/>
      <c r="W1" s="4" t="s">
        <v>58</v>
      </c>
      <c r="X1" s="12">
        <f>INDEX(E:E,MATCH(0,A:A,0))</f>
        <v>100</v>
      </c>
      <c r="Y1" s="4"/>
      <c r="AA1" s="4" t="s">
        <v>183</v>
      </c>
      <c r="AB1" s="4" t="s">
        <v>184</v>
      </c>
    </row>
    <row r="2" spans="1:30" x14ac:dyDescent="0.3">
      <c r="A2" s="4">
        <v>0</v>
      </c>
      <c r="B2" s="4" t="s">
        <v>58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 t="shared" ref="F2:F33" si="0">IF($C2=0," ",COUNTIFS($C:$C,1,E:E,"&gt;"&amp;E2)+1)</f>
        <v xml:space="preserve"> </v>
      </c>
      <c r="G2" s="8">
        <f>SUMIF(Sales!B:B,A2,Sales!D:D)</f>
        <v>12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0.98785425101214575</v>
      </c>
      <c r="L2" s="28" t="str">
        <f t="shared" ref="L2:L33" si="3">IF($C2=0," ",COUNTIFS($C:$C,1,K:K,"&gt;"&amp;K2)+1)</f>
        <v xml:space="preserve"> </v>
      </c>
      <c r="M2" s="9">
        <f>SQRT(SUMIF(Sales!B:B,A2,Sales!G:G))</f>
        <v>0.90534417201851047</v>
      </c>
      <c r="N2" s="9">
        <f t="shared" ref="N2:N33" si="4">I2-K2</f>
        <v>-0.98785425101214575</v>
      </c>
      <c r="O2" s="6" t="str">
        <f t="shared" ref="O2:O33" si="5">IF($C2=0," ",COUNTIFS($C:$C,1,N:N,"&gt;"&amp;N2)+1)</f>
        <v xml:space="preserve"> </v>
      </c>
      <c r="P2" s="5">
        <f t="shared" ref="P2:P33" si="6">N2/M2</f>
        <v>-1.0911366986652986</v>
      </c>
      <c r="Q2" s="10" t="str">
        <f t="shared" ref="Q2:Q33" si="7">IF($C2=0," ",COUNTIFS($C:$C,1,P:P,"&gt;"&amp;P2)+1)</f>
        <v xml:space="preserve"> </v>
      </c>
      <c r="R2" s="16">
        <f t="shared" ref="R2:R33" si="8">IF(I2&gt;K2,1-_xlfn.NORM.DIST(I2,K2,M2,1),_xlfn.NORM.DIST(I2,K2,M2,1))</f>
        <v>0.137606368366785</v>
      </c>
      <c r="S2" s="6" t="str">
        <f t="shared" ref="S2:S33" si="9">IF($C2=0," ",COUNTIFS($C:$C,1,R:R,"&gt;"&amp;R2)+1)</f>
        <v xml:space="preserve"> </v>
      </c>
      <c r="T2" s="6">
        <f t="shared" ref="T2:T33" si="10">E2/K2</f>
        <v>101.22950819672131</v>
      </c>
      <c r="U2" s="6" t="str">
        <f t="shared" ref="U2:U33" si="11">IF($C2=0," ",COUNTIFS($C:$C,1,T:T,"&lt;"&amp;T2)+1)</f>
        <v xml:space="preserve"> </v>
      </c>
      <c r="X2" s="4"/>
      <c r="Y2" s="4"/>
      <c r="AA2" s="4">
        <v>2</v>
      </c>
      <c r="AC2" s="4">
        <f>COUNTIFS(P:P,"&gt;"&amp;AA2,C:C,1)</f>
        <v>1</v>
      </c>
      <c r="AD2" s="16">
        <f t="shared" ref="AD2:AD7" si="12">AC2/AC$9</f>
        <v>3.5714285714285712E-2</v>
      </c>
    </row>
    <row r="3" spans="1:30" x14ac:dyDescent="0.3">
      <c r="A3" s="4">
        <v>1</v>
      </c>
      <c r="B3" s="4" t="s">
        <v>44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 t="shared" si="0"/>
        <v xml:space="preserve"> </v>
      </c>
      <c r="G3" s="4">
        <f>SUMIF(Sales!B:B,A3,Sales!D:D)</f>
        <v>127</v>
      </c>
      <c r="H3" s="4" t="str">
        <f t="shared" si="1"/>
        <v xml:space="preserve"> </v>
      </c>
      <c r="I3" s="4">
        <f>SUMIF(Prizes!B:B,A3,Prizes!D:D)</f>
        <v>5</v>
      </c>
      <c r="J3" s="4" t="str">
        <f t="shared" si="2"/>
        <v xml:space="preserve"> </v>
      </c>
      <c r="K3" s="5">
        <f>SUMIF(Sales!B:B,A3,Sales!F:F)</f>
        <v>6.0719704412152948</v>
      </c>
      <c r="L3" s="6" t="str">
        <f t="shared" si="3"/>
        <v xml:space="preserve"> </v>
      </c>
      <c r="M3" s="5">
        <f>SQRT(SUMIF(Sales!B:B,A3,Sales!G:G))</f>
        <v>2.2871608424340759</v>
      </c>
      <c r="N3" s="5">
        <f t="shared" si="4"/>
        <v>-1.0719704412152948</v>
      </c>
      <c r="O3" s="6" t="str">
        <f t="shared" si="5"/>
        <v xml:space="preserve"> </v>
      </c>
      <c r="P3" s="5">
        <f t="shared" si="6"/>
        <v>-0.46869044858011238</v>
      </c>
      <c r="Q3" s="4" t="str">
        <f t="shared" si="7"/>
        <v xml:space="preserve"> </v>
      </c>
      <c r="R3" s="16">
        <f t="shared" si="8"/>
        <v>0.3196454575746297</v>
      </c>
      <c r="S3" s="30" t="str">
        <f t="shared" si="9"/>
        <v xml:space="preserve"> </v>
      </c>
      <c r="T3" s="6">
        <f t="shared" si="10"/>
        <v>223.98000997643169</v>
      </c>
      <c r="U3" s="4" t="str">
        <f t="shared" si="11"/>
        <v xml:space="preserve"> </v>
      </c>
      <c r="V3" s="4"/>
      <c r="X3" s="4"/>
      <c r="Y3" s="4"/>
      <c r="AA3" s="4">
        <v>1</v>
      </c>
      <c r="AB3" s="4">
        <v>2</v>
      </c>
      <c r="AC3" s="4">
        <f>COUNTIFS(P:P,"&gt;"&amp;AA3,P:P,"&lt;="&amp;AB3,C:C,1)</f>
        <v>2</v>
      </c>
      <c r="AD3" s="16">
        <f t="shared" si="12"/>
        <v>7.1428571428571425E-2</v>
      </c>
    </row>
    <row r="4" spans="1:30" x14ac:dyDescent="0.3">
      <c r="A4" s="4">
        <v>2</v>
      </c>
      <c r="B4" s="4" t="s">
        <v>3</v>
      </c>
      <c r="C4" s="4">
        <v>1</v>
      </c>
      <c r="D4" s="4">
        <f t="array" ref="D4">MAX(IF(Sales!B:B=A4,Sales!C:C))</f>
        <v>21</v>
      </c>
      <c r="E4" s="4">
        <f>SUMIF(Sales!B:B,A4,Sales!E:E)</f>
        <v>750</v>
      </c>
      <c r="F4" s="6">
        <f t="shared" si="0"/>
        <v>11</v>
      </c>
      <c r="G4" s="4">
        <f>SUMIF(Sales!B:B,A4,Sales!D:D)</f>
        <v>65</v>
      </c>
      <c r="H4" s="4">
        <f t="shared" si="1"/>
        <v>11</v>
      </c>
      <c r="I4" s="4">
        <f>SUMIF(Prizes!B:B,A4,Prizes!D:D)</f>
        <v>2</v>
      </c>
      <c r="J4" s="4">
        <f t="shared" si="2"/>
        <v>12</v>
      </c>
      <c r="K4" s="5">
        <f>SUMIF(Sales!B:B,A4,Sales!F:F)</f>
        <v>3.0749747879706155</v>
      </c>
      <c r="L4" s="6">
        <f t="shared" si="3"/>
        <v>12</v>
      </c>
      <c r="M4" s="5">
        <f>SQRT(SUMIF(Sales!B:B,A4,Sales!G:G))</f>
        <v>1.6670556241583492</v>
      </c>
      <c r="N4" s="5">
        <f t="shared" si="4"/>
        <v>-1.0749747879706155</v>
      </c>
      <c r="O4" s="6">
        <f t="shared" si="5"/>
        <v>20</v>
      </c>
      <c r="P4" s="5">
        <f t="shared" si="6"/>
        <v>-0.64483438488343237</v>
      </c>
      <c r="Q4" s="4">
        <f t="shared" si="7"/>
        <v>16</v>
      </c>
      <c r="R4" s="16">
        <f t="shared" si="8"/>
        <v>0.25951725827739575</v>
      </c>
      <c r="S4" s="30">
        <f t="shared" si="9"/>
        <v>11</v>
      </c>
      <c r="T4" s="6">
        <f t="shared" si="10"/>
        <v>243.90443880516364</v>
      </c>
      <c r="U4" s="4">
        <f t="shared" si="11"/>
        <v>23</v>
      </c>
      <c r="V4" s="4"/>
      <c r="X4" s="4"/>
      <c r="Y4" s="4"/>
      <c r="AA4" s="4">
        <v>0</v>
      </c>
      <c r="AB4" s="4">
        <v>1</v>
      </c>
      <c r="AC4" s="4">
        <f t="shared" ref="AC4:AC6" si="13">COUNTIFS(P:P,"&gt;"&amp;AA4,P:P,"&lt;="&amp;AB4,C:C,1)</f>
        <v>8</v>
      </c>
      <c r="AD4" s="16">
        <f t="shared" si="12"/>
        <v>0.2857142857142857</v>
      </c>
    </row>
    <row r="5" spans="1:30" x14ac:dyDescent="0.3">
      <c r="A5" s="4">
        <v>3</v>
      </c>
      <c r="B5" s="4" t="s">
        <v>4</v>
      </c>
      <c r="C5" s="4">
        <v>0</v>
      </c>
      <c r="D5" s="4">
        <f t="array" ref="D5">MAX(IF(Sales!B:B=A5,Sales!C:C))</f>
        <v>14</v>
      </c>
      <c r="E5" s="4">
        <f>SUMIF(Sales!B:B,A5,Sales!E:E)</f>
        <v>350</v>
      </c>
      <c r="F5" s="6" t="str">
        <f t="shared" si="0"/>
        <v xml:space="preserve"> </v>
      </c>
      <c r="G5" s="4">
        <f>SUMIF(Sales!B:B,A5,Sales!D:D)</f>
        <v>26</v>
      </c>
      <c r="H5" s="4" t="str">
        <f t="shared" si="1"/>
        <v xml:space="preserve"> </v>
      </c>
      <c r="I5" s="4">
        <f>SUMIF(Prizes!B:B,A5,Prizes!D:D)</f>
        <v>2</v>
      </c>
      <c r="J5" s="4" t="str">
        <f t="shared" si="2"/>
        <v xml:space="preserve"> </v>
      </c>
      <c r="K5" s="5">
        <f>SUMIF(Sales!B:B,A5,Sales!F:F)</f>
        <v>1.7386807932020698</v>
      </c>
      <c r="L5" s="6" t="str">
        <f t="shared" si="3"/>
        <v xml:space="preserve"> </v>
      </c>
      <c r="M5" s="5">
        <f>SQRT(SUMIF(Sales!B:B,A5,Sales!G:G))</f>
        <v>1.2196223879112047</v>
      </c>
      <c r="N5" s="5">
        <f t="shared" si="4"/>
        <v>0.26131920679793019</v>
      </c>
      <c r="O5" s="6" t="str">
        <f t="shared" si="5"/>
        <v xml:space="preserve"> </v>
      </c>
      <c r="P5" s="5">
        <f t="shared" si="6"/>
        <v>0.21426238923465521</v>
      </c>
      <c r="Q5" s="4" t="str">
        <f t="shared" si="7"/>
        <v xml:space="preserve"> </v>
      </c>
      <c r="R5" s="16">
        <f t="shared" si="8"/>
        <v>0.41517122299034059</v>
      </c>
      <c r="S5" s="30" t="str">
        <f t="shared" si="9"/>
        <v xml:space="preserve"> </v>
      </c>
      <c r="T5" s="6">
        <f t="shared" si="10"/>
        <v>201.3020454176737</v>
      </c>
      <c r="U5" s="4" t="str">
        <f t="shared" si="11"/>
        <v xml:space="preserve"> </v>
      </c>
      <c r="V5" s="4"/>
      <c r="X5" s="4"/>
      <c r="Y5" s="4"/>
      <c r="AA5" s="4">
        <v>-1</v>
      </c>
      <c r="AB5" s="4">
        <v>0</v>
      </c>
      <c r="AC5" s="4">
        <f t="shared" si="13"/>
        <v>10</v>
      </c>
      <c r="AD5" s="16">
        <f t="shared" si="12"/>
        <v>0.35714285714285715</v>
      </c>
    </row>
    <row r="6" spans="1:30" x14ac:dyDescent="0.3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 t="shared" si="0"/>
        <v xml:space="preserve"> </v>
      </c>
      <c r="G6" s="4">
        <f>SUMIF(Sales!B:B,A6,Sales!D:D)</f>
        <v>55</v>
      </c>
      <c r="H6" s="4" t="str">
        <f t="shared" si="1"/>
        <v xml:space="preserve"> </v>
      </c>
      <c r="I6" s="4">
        <f>SUMIF(Prizes!B:B,A6,Prizes!D:D)</f>
        <v>3</v>
      </c>
      <c r="J6" s="4" t="str">
        <f t="shared" si="2"/>
        <v xml:space="preserve"> </v>
      </c>
      <c r="K6" s="5">
        <f>SUMIF(Sales!B:B,A6,Sales!F:F)</f>
        <v>2.3740803347134869</v>
      </c>
      <c r="L6" s="6" t="str">
        <f t="shared" si="3"/>
        <v xml:space="preserve"> </v>
      </c>
      <c r="M6" s="5">
        <f>SQRT(SUMIF(Sales!B:B,A6,Sales!G:G))</f>
        <v>1.4608189121183603</v>
      </c>
      <c r="N6" s="5">
        <f t="shared" si="4"/>
        <v>0.6259196652865131</v>
      </c>
      <c r="O6" s="6" t="str">
        <f t="shared" si="5"/>
        <v xml:space="preserve"> </v>
      </c>
      <c r="P6" s="5">
        <f t="shared" si="6"/>
        <v>0.42847177024759042</v>
      </c>
      <c r="Q6" s="4" t="str">
        <f t="shared" si="7"/>
        <v xml:space="preserve"> </v>
      </c>
      <c r="R6" s="16">
        <f t="shared" si="8"/>
        <v>0.33415384099578926</v>
      </c>
      <c r="S6" s="30" t="str">
        <f t="shared" si="9"/>
        <v xml:space="preserve"> </v>
      </c>
      <c r="T6" s="6">
        <f t="shared" si="10"/>
        <v>244.30512797706007</v>
      </c>
      <c r="U6" s="4" t="str">
        <f t="shared" si="11"/>
        <v xml:space="preserve"> </v>
      </c>
      <c r="V6" s="4"/>
      <c r="X6" s="4"/>
      <c r="Y6" s="4"/>
      <c r="AA6" s="4">
        <v>-2</v>
      </c>
      <c r="AB6" s="4">
        <v>-1</v>
      </c>
      <c r="AC6" s="4">
        <f t="shared" si="13"/>
        <v>7</v>
      </c>
      <c r="AD6" s="16">
        <f t="shared" si="12"/>
        <v>0.25</v>
      </c>
    </row>
    <row r="7" spans="1:30" x14ac:dyDescent="0.3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 t="shared" si="0"/>
        <v xml:space="preserve"> </v>
      </c>
      <c r="G7" s="4">
        <f>SUMIF(Sales!B:B,A7,Sales!D:D)</f>
        <v>69</v>
      </c>
      <c r="H7" s="4" t="str">
        <f t="shared" si="1"/>
        <v xml:space="preserve"> </v>
      </c>
      <c r="I7" s="4">
        <f>SUMIF(Prizes!B:B,A7,Prizes!D:D)</f>
        <v>5</v>
      </c>
      <c r="J7" s="4" t="str">
        <f t="shared" si="2"/>
        <v xml:space="preserve"> </v>
      </c>
      <c r="K7" s="5">
        <f>SUMIF(Sales!B:B,A7,Sales!F:F)</f>
        <v>3.2250613603274099</v>
      </c>
      <c r="L7" s="6" t="str">
        <f t="shared" si="3"/>
        <v xml:space="preserve"> </v>
      </c>
      <c r="M7" s="5">
        <f>SQRT(SUMIF(Sales!B:B,A7,Sales!G:G))</f>
        <v>1.6993617556865768</v>
      </c>
      <c r="N7" s="5">
        <f t="shared" si="4"/>
        <v>1.7749386396725901</v>
      </c>
      <c r="O7" s="6" t="str">
        <f t="shared" si="5"/>
        <v xml:space="preserve"> </v>
      </c>
      <c r="P7" s="5">
        <f t="shared" si="6"/>
        <v>1.0444736876848677</v>
      </c>
      <c r="Q7" s="4" t="str">
        <f t="shared" si="7"/>
        <v xml:space="preserve"> </v>
      </c>
      <c r="R7" s="16">
        <f t="shared" si="8"/>
        <v>0.1481331433566947</v>
      </c>
      <c r="S7" s="30" t="str">
        <f t="shared" si="9"/>
        <v xml:space="preserve"> </v>
      </c>
      <c r="T7" s="6">
        <f t="shared" si="10"/>
        <v>244.95657965397558</v>
      </c>
      <c r="U7" s="4" t="str">
        <f t="shared" si="11"/>
        <v xml:space="preserve"> </v>
      </c>
      <c r="V7" s="4"/>
      <c r="X7" s="4"/>
      <c r="Y7" s="4"/>
      <c r="AB7" s="4">
        <v>-2</v>
      </c>
      <c r="AC7" s="4">
        <f>COUNTIFS(P:P,"&lt;"&amp;AB7,C:C,1)</f>
        <v>0</v>
      </c>
      <c r="AD7" s="16">
        <f t="shared" si="12"/>
        <v>0</v>
      </c>
    </row>
    <row r="8" spans="1:30" x14ac:dyDescent="0.3">
      <c r="A8" s="4">
        <v>6</v>
      </c>
      <c r="B8" s="4" t="s">
        <v>99</v>
      </c>
      <c r="C8" s="4">
        <v>0</v>
      </c>
      <c r="D8" s="4">
        <f t="array" ref="D8">MAX(IF(Sales!B:B=A8,Sales!C:C))</f>
        <v>3</v>
      </c>
      <c r="E8" s="4">
        <f>SUMIF(Sales!B:B,A8,Sales!E:E)</f>
        <v>300</v>
      </c>
      <c r="F8" s="6" t="str">
        <f t="shared" si="0"/>
        <v xml:space="preserve"> </v>
      </c>
      <c r="G8" s="4">
        <f>SUMIF(Sales!B:B,A8,Sales!D:D)</f>
        <v>20</v>
      </c>
      <c r="H8" s="4" t="str">
        <f t="shared" si="1"/>
        <v xml:space="preserve"> </v>
      </c>
      <c r="I8" s="4">
        <f>SUMIF(Prizes!B:B,A8,Prizes!D:D)</f>
        <v>2</v>
      </c>
      <c r="J8" s="4" t="str">
        <f t="shared" si="2"/>
        <v xml:space="preserve"> </v>
      </c>
      <c r="K8" s="5">
        <f>SUMIF(Sales!B:B,A8,Sales!F:F)</f>
        <v>1.3260933806146571</v>
      </c>
      <c r="L8" s="6" t="str">
        <f t="shared" si="3"/>
        <v xml:space="preserve"> </v>
      </c>
      <c r="M8" s="5">
        <f>SQRT(SUMIF(Sales!B:B,A8,Sales!G:G))</f>
        <v>1.0672538107751555</v>
      </c>
      <c r="N8" s="5">
        <f t="shared" si="4"/>
        <v>0.67390661938534291</v>
      </c>
      <c r="O8" s="6" t="str">
        <f t="shared" si="5"/>
        <v xml:space="preserve"> </v>
      </c>
      <c r="P8" s="5">
        <f t="shared" si="6"/>
        <v>0.63143988110558147</v>
      </c>
      <c r="Q8" s="4" t="str">
        <f t="shared" si="7"/>
        <v xml:space="preserve"> </v>
      </c>
      <c r="R8" s="16">
        <f t="shared" si="8"/>
        <v>0.26387647326386743</v>
      </c>
      <c r="S8" s="30" t="str">
        <f t="shared" si="9"/>
        <v xml:space="preserve"> </v>
      </c>
      <c r="T8" s="6">
        <f t="shared" si="10"/>
        <v>226.22841225626743</v>
      </c>
      <c r="U8" s="6" t="str">
        <f t="shared" si="11"/>
        <v xml:space="preserve"> </v>
      </c>
      <c r="V8" s="4"/>
      <c r="X8" s="4"/>
      <c r="Y8" s="4"/>
    </row>
    <row r="9" spans="1:30" x14ac:dyDescent="0.3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 t="shared" si="0"/>
        <v xml:space="preserve"> </v>
      </c>
      <c r="G9" s="4">
        <f>SUMIF(Sales!B:B,A9,Sales!D:D)</f>
        <v>75</v>
      </c>
      <c r="H9" s="4" t="str">
        <f t="shared" si="1"/>
        <v xml:space="preserve"> </v>
      </c>
      <c r="I9" s="4">
        <f>SUMIF(Prizes!B:B,A9,Prizes!D:D)</f>
        <v>4</v>
      </c>
      <c r="J9" s="4" t="str">
        <f t="shared" si="2"/>
        <v xml:space="preserve"> </v>
      </c>
      <c r="K9" s="5">
        <f>SUMIF(Sales!B:B,A9,Sales!F:F)</f>
        <v>3.0883035773743104</v>
      </c>
      <c r="L9" s="6" t="str">
        <f t="shared" si="3"/>
        <v xml:space="preserve"> </v>
      </c>
      <c r="M9" s="5">
        <f>SQRT(SUMIF(Sales!B:B,A9,Sales!G:G))</f>
        <v>1.645289709282524</v>
      </c>
      <c r="N9" s="5">
        <f t="shared" si="4"/>
        <v>0.91169642262568962</v>
      </c>
      <c r="O9" s="6" t="str">
        <f t="shared" si="5"/>
        <v xml:space="preserve"> </v>
      </c>
      <c r="P9" s="5">
        <f t="shared" si="6"/>
        <v>0.55412515952783847</v>
      </c>
      <c r="Q9" s="4" t="str">
        <f t="shared" si="7"/>
        <v xml:space="preserve"> </v>
      </c>
      <c r="R9" s="16">
        <f t="shared" si="8"/>
        <v>0.28974659632997213</v>
      </c>
      <c r="S9" s="30" t="str">
        <f t="shared" si="9"/>
        <v xml:space="preserve"> </v>
      </c>
      <c r="T9" s="6">
        <f t="shared" si="10"/>
        <v>259.04189143224175</v>
      </c>
      <c r="U9" s="4" t="str">
        <f t="shared" si="11"/>
        <v xml:space="preserve"> </v>
      </c>
      <c r="V9" s="4"/>
      <c r="X9" s="4"/>
      <c r="Y9" s="4"/>
      <c r="AC9" s="4">
        <f>SUM(AC2:AC7)</f>
        <v>28</v>
      </c>
    </row>
    <row r="10" spans="1:30" x14ac:dyDescent="0.3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 t="shared" si="0"/>
        <v xml:space="preserve"> </v>
      </c>
      <c r="G10" s="4">
        <f>SUMIF(Sales!B:B,A10,Sales!D:D)</f>
        <v>189</v>
      </c>
      <c r="H10" s="4" t="str">
        <f t="shared" si="1"/>
        <v xml:space="preserve"> </v>
      </c>
      <c r="I10" s="4">
        <f>SUMIF(Prizes!B:B,A10,Prizes!D:D)</f>
        <v>8</v>
      </c>
      <c r="J10" s="4" t="str">
        <f t="shared" si="2"/>
        <v xml:space="preserve"> </v>
      </c>
      <c r="K10" s="5">
        <f>SUMIF(Sales!B:B,A10,Sales!F:F)</f>
        <v>8.7731840201125806</v>
      </c>
      <c r="L10" s="6" t="str">
        <f t="shared" si="3"/>
        <v xml:space="preserve"> </v>
      </c>
      <c r="M10" s="5">
        <f>SQRT(SUMIF(Sales!B:B,A10,Sales!G:G))</f>
        <v>2.7176050085623271</v>
      </c>
      <c r="N10" s="5">
        <f t="shared" si="4"/>
        <v>-0.77318402011258058</v>
      </c>
      <c r="O10" s="6" t="str">
        <f t="shared" si="5"/>
        <v xml:space="preserve"> </v>
      </c>
      <c r="P10" s="5">
        <f t="shared" si="6"/>
        <v>-0.28450934469009237</v>
      </c>
      <c r="Q10" s="4" t="str">
        <f t="shared" si="7"/>
        <v xml:space="preserve"> </v>
      </c>
      <c r="R10" s="16">
        <f t="shared" si="8"/>
        <v>0.3880100368901796</v>
      </c>
      <c r="S10" s="30" t="str">
        <f t="shared" si="9"/>
        <v xml:space="preserve"> </v>
      </c>
      <c r="T10" s="6">
        <f t="shared" si="10"/>
        <v>234.80642777780983</v>
      </c>
      <c r="U10" s="4" t="str">
        <f t="shared" si="11"/>
        <v xml:space="preserve"> </v>
      </c>
      <c r="V10" s="4"/>
      <c r="X10" s="4"/>
      <c r="Y10" s="4"/>
    </row>
    <row r="11" spans="1:30" x14ac:dyDescent="0.3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 t="shared" si="0"/>
        <v xml:space="preserve"> </v>
      </c>
      <c r="G11" s="4">
        <f>SUMIF(Sales!B:B,A11,Sales!D:D)</f>
        <v>68</v>
      </c>
      <c r="H11" s="4" t="str">
        <f t="shared" si="1"/>
        <v xml:space="preserve"> </v>
      </c>
      <c r="I11" s="4">
        <f>SUMIF(Prizes!B:B,A11,Prizes!D:D)</f>
        <v>7</v>
      </c>
      <c r="J11" s="4" t="str">
        <f t="shared" si="2"/>
        <v xml:space="preserve"> </v>
      </c>
      <c r="K11" s="5">
        <f>SUMIF(Sales!B:B,A11,Sales!F:F)</f>
        <v>3.2402189600805982</v>
      </c>
      <c r="L11" s="6" t="str">
        <f t="shared" si="3"/>
        <v xml:space="preserve"> </v>
      </c>
      <c r="M11" s="5">
        <f>SQRT(SUMIF(Sales!B:B,A11,Sales!G:G))</f>
        <v>1.6903967309717229</v>
      </c>
      <c r="N11" s="5">
        <f t="shared" si="4"/>
        <v>3.7597810399194018</v>
      </c>
      <c r="O11" s="6" t="str">
        <f t="shared" si="5"/>
        <v xml:space="preserve"> </v>
      </c>
      <c r="P11" s="5">
        <f t="shared" si="6"/>
        <v>2.224200373221318</v>
      </c>
      <c r="Q11" s="4" t="str">
        <f t="shared" si="7"/>
        <v xml:space="preserve"> </v>
      </c>
      <c r="R11" s="16">
        <f t="shared" si="8"/>
        <v>1.3067482981361178E-2</v>
      </c>
      <c r="S11" s="30" t="str">
        <f t="shared" si="9"/>
        <v xml:space="preserve"> </v>
      </c>
      <c r="T11" s="6">
        <f t="shared" si="10"/>
        <v>222.20720539888777</v>
      </c>
      <c r="U11" s="4" t="str">
        <f t="shared" si="11"/>
        <v xml:space="preserve"> </v>
      </c>
      <c r="V11" s="4"/>
      <c r="X11" s="4"/>
      <c r="Y11" s="4"/>
    </row>
    <row r="12" spans="1:30" x14ac:dyDescent="0.3">
      <c r="A12" s="4">
        <v>10</v>
      </c>
      <c r="B12" s="4" t="s">
        <v>11</v>
      </c>
      <c r="C12" s="4">
        <v>1</v>
      </c>
      <c r="D12" s="4">
        <f t="array" ref="D12">MAX(IF(Sales!B:B=A12,Sales!C:C))</f>
        <v>26</v>
      </c>
      <c r="E12" s="4">
        <f>SUMIF(Sales!B:B,A12,Sales!E:E)</f>
        <v>2300</v>
      </c>
      <c r="F12" s="6">
        <f t="shared" si="0"/>
        <v>1</v>
      </c>
      <c r="G12" s="4">
        <f>SUMIF(Sales!B:B,A12,Sales!D:D)</f>
        <v>220</v>
      </c>
      <c r="H12" s="4">
        <f t="shared" si="1"/>
        <v>1</v>
      </c>
      <c r="I12" s="4">
        <f>SUMIF(Prizes!B:B,A12,Prizes!D:D)</f>
        <v>11</v>
      </c>
      <c r="J12" s="4">
        <f t="shared" si="2"/>
        <v>1</v>
      </c>
      <c r="K12" s="5">
        <f>SUMIF(Sales!B:B,A12,Sales!F:F)</f>
        <v>9.9171526329478112</v>
      </c>
      <c r="L12" s="6">
        <f t="shared" si="3"/>
        <v>1</v>
      </c>
      <c r="M12" s="5">
        <f>SQRT(SUMIF(Sales!B:B,A12,Sales!G:G))</f>
        <v>2.9642976278566855</v>
      </c>
      <c r="N12" s="5">
        <f t="shared" si="4"/>
        <v>1.0828473670521888</v>
      </c>
      <c r="O12" s="6">
        <f t="shared" si="5"/>
        <v>5</v>
      </c>
      <c r="P12" s="5">
        <f t="shared" si="6"/>
        <v>0.36529643881783014</v>
      </c>
      <c r="Q12" s="4">
        <f t="shared" si="7"/>
        <v>8</v>
      </c>
      <c r="R12" s="16">
        <f t="shared" si="8"/>
        <v>0.35744506821076094</v>
      </c>
      <c r="S12" s="30">
        <f t="shared" si="9"/>
        <v>4</v>
      </c>
      <c r="T12" s="6">
        <f t="shared" si="10"/>
        <v>231.92140779992607</v>
      </c>
      <c r="U12" s="4">
        <f t="shared" si="11"/>
        <v>22</v>
      </c>
      <c r="V12" s="4"/>
      <c r="X12" s="4"/>
      <c r="Y12" s="4"/>
    </row>
    <row r="13" spans="1:30" x14ac:dyDescent="0.3">
      <c r="A13" s="4">
        <v>11</v>
      </c>
      <c r="B13" s="4" t="s">
        <v>12</v>
      </c>
      <c r="C13" s="4">
        <v>0</v>
      </c>
      <c r="D13" s="4">
        <f t="array" ref="D13">MAX(IF(Sales!B:B=A13,Sales!C:C))</f>
        <v>25</v>
      </c>
      <c r="E13" s="4">
        <f>SUMIF(Sales!B:B,A13,Sales!E:E)</f>
        <v>660</v>
      </c>
      <c r="F13" s="6" t="str">
        <f t="shared" si="0"/>
        <v xml:space="preserve"> </v>
      </c>
      <c r="G13" s="4">
        <f>SUMIF(Sales!B:B,A13,Sales!D:D)</f>
        <v>59</v>
      </c>
      <c r="H13" s="4" t="str">
        <f t="shared" si="1"/>
        <v xml:space="preserve"> </v>
      </c>
      <c r="I13" s="4">
        <f>SUMIF(Prizes!B:B,A13,Prizes!D:D)</f>
        <v>0</v>
      </c>
      <c r="J13" s="4" t="str">
        <f t="shared" si="2"/>
        <v xml:space="preserve"> </v>
      </c>
      <c r="K13" s="5">
        <f>SUMIF(Sales!B:B,A13,Sales!F:F)</f>
        <v>2.9277262781608777</v>
      </c>
      <c r="L13" s="6" t="str">
        <f t="shared" si="3"/>
        <v xml:space="preserve"> </v>
      </c>
      <c r="M13" s="5">
        <f>SQRT(SUMIF(Sales!B:B,A13,Sales!G:G))</f>
        <v>1.6227883388892295</v>
      </c>
      <c r="N13" s="5">
        <f t="shared" si="4"/>
        <v>-2.9277262781608777</v>
      </c>
      <c r="O13" s="6" t="str">
        <f t="shared" si="5"/>
        <v xml:space="preserve"> </v>
      </c>
      <c r="P13" s="5">
        <f t="shared" si="6"/>
        <v>-1.8041331749800813</v>
      </c>
      <c r="Q13" s="4" t="str">
        <f t="shared" si="7"/>
        <v xml:space="preserve"> </v>
      </c>
      <c r="R13" s="16">
        <f t="shared" si="8"/>
        <v>3.5605216057864056E-2</v>
      </c>
      <c r="S13" s="30" t="str">
        <f t="shared" si="9"/>
        <v xml:space="preserve"> </v>
      </c>
      <c r="T13" s="6">
        <f t="shared" si="10"/>
        <v>225.43091030169495</v>
      </c>
      <c r="U13" s="4" t="str">
        <f t="shared" si="11"/>
        <v xml:space="preserve"> </v>
      </c>
      <c r="V13" s="4"/>
      <c r="X13" s="4"/>
      <c r="Y13" s="4"/>
    </row>
    <row r="14" spans="1:30" x14ac:dyDescent="0.3">
      <c r="A14" s="4">
        <v>12</v>
      </c>
      <c r="B14" s="4" t="s">
        <v>13</v>
      </c>
      <c r="C14" s="4">
        <v>1</v>
      </c>
      <c r="D14" s="4">
        <f t="array" ref="D14">MAX(IF(Sales!B:B=A14,Sales!C:C))</f>
        <v>9</v>
      </c>
      <c r="E14" s="4">
        <f>SUMIF(Sales!B:B,A14,Sales!E:E)</f>
        <v>530</v>
      </c>
      <c r="F14" s="6">
        <f t="shared" si="0"/>
        <v>13</v>
      </c>
      <c r="G14" s="4">
        <f>SUMIF(Sales!B:B,A14,Sales!D:D)</f>
        <v>48</v>
      </c>
      <c r="H14" s="4">
        <f t="shared" si="1"/>
        <v>15</v>
      </c>
      <c r="I14" s="4">
        <f>SUMIF(Prizes!B:B,A14,Prizes!D:D)</f>
        <v>3</v>
      </c>
      <c r="J14" s="4">
        <f t="shared" si="2"/>
        <v>10</v>
      </c>
      <c r="K14" s="5">
        <f>SUMIF(Sales!B:B,A14,Sales!F:F)</f>
        <v>2.1645166106756251</v>
      </c>
      <c r="L14" s="6">
        <f t="shared" si="3"/>
        <v>14</v>
      </c>
      <c r="M14" s="5">
        <f>SQRT(SUMIF(Sales!B:B,A14,Sales!G:G))</f>
        <v>1.3966272062273601</v>
      </c>
      <c r="N14" s="5">
        <f t="shared" si="4"/>
        <v>0.83548338932437494</v>
      </c>
      <c r="O14" s="6">
        <f t="shared" si="5"/>
        <v>7</v>
      </c>
      <c r="P14" s="5">
        <f t="shared" si="6"/>
        <v>0.59821503232865181</v>
      </c>
      <c r="Q14" s="4">
        <f t="shared" si="7"/>
        <v>6</v>
      </c>
      <c r="R14" s="16">
        <f t="shared" si="8"/>
        <v>0.27484823119819857</v>
      </c>
      <c r="S14" s="30">
        <f t="shared" si="9"/>
        <v>10</v>
      </c>
      <c r="T14" s="6">
        <f t="shared" si="10"/>
        <v>244.85836578291148</v>
      </c>
      <c r="U14" s="4">
        <f t="shared" si="11"/>
        <v>24</v>
      </c>
      <c r="V14" s="4"/>
      <c r="X14" s="4"/>
      <c r="Y14" s="4"/>
    </row>
    <row r="15" spans="1:30" x14ac:dyDescent="0.3">
      <c r="A15" s="4">
        <v>13</v>
      </c>
      <c r="B15" s="4" t="s">
        <v>14</v>
      </c>
      <c r="C15" s="4">
        <v>0</v>
      </c>
      <c r="D15" s="4">
        <f t="array" ref="D15">MAX(IF(Sales!B:B=A15,Sales!C:C))</f>
        <v>25</v>
      </c>
      <c r="E15" s="4">
        <f>SUMIF(Sales!B:B,A15,Sales!E:E)</f>
        <v>920</v>
      </c>
      <c r="F15" s="6" t="str">
        <f t="shared" si="0"/>
        <v xml:space="preserve"> </v>
      </c>
      <c r="G15" s="4">
        <f>SUMIF(Sales!B:B,A15,Sales!D:D)</f>
        <v>88</v>
      </c>
      <c r="H15" s="4" t="str">
        <f t="shared" si="1"/>
        <v xml:space="preserve"> </v>
      </c>
      <c r="I15" s="4">
        <f>SUMIF(Prizes!B:B,A15,Prizes!D:D)</f>
        <v>5</v>
      </c>
      <c r="J15" s="4" t="str">
        <f t="shared" si="2"/>
        <v xml:space="preserve"> </v>
      </c>
      <c r="K15" s="5">
        <f>SUMIF(Sales!B:B,A15,Sales!F:F)</f>
        <v>4.1072450031524976</v>
      </c>
      <c r="L15" s="6" t="str">
        <f t="shared" si="3"/>
        <v xml:space="preserve"> </v>
      </c>
      <c r="M15" s="5">
        <f>SQRT(SUMIF(Sales!B:B,A15,Sales!G:G))</f>
        <v>1.9022018705055272</v>
      </c>
      <c r="N15" s="5">
        <f t="shared" si="4"/>
        <v>0.89275499684750237</v>
      </c>
      <c r="O15" s="6" t="str">
        <f t="shared" si="5"/>
        <v xml:space="preserve"> </v>
      </c>
      <c r="P15" s="5">
        <f t="shared" si="6"/>
        <v>0.46932715748525927</v>
      </c>
      <c r="Q15" s="4" t="str">
        <f t="shared" si="7"/>
        <v xml:space="preserve"> </v>
      </c>
      <c r="R15" s="16">
        <f t="shared" si="8"/>
        <v>0.31941790315924523</v>
      </c>
      <c r="S15" s="30" t="str">
        <f t="shared" si="9"/>
        <v xml:space="preserve"> </v>
      </c>
      <c r="T15" s="6">
        <f t="shared" si="10"/>
        <v>223.99442918400487</v>
      </c>
      <c r="U15" s="4" t="str">
        <f t="shared" si="11"/>
        <v xml:space="preserve"> </v>
      </c>
      <c r="V15" s="4"/>
      <c r="X15" s="4"/>
      <c r="Y15" s="4"/>
    </row>
    <row r="16" spans="1:30" x14ac:dyDescent="0.3">
      <c r="A16" s="4">
        <v>14</v>
      </c>
      <c r="B16" s="4" t="s">
        <v>15</v>
      </c>
      <c r="C16" s="4">
        <v>1</v>
      </c>
      <c r="D16" s="4">
        <f t="array" ref="D16">MAX(IF(Sales!B:B=A16,Sales!C:C))</f>
        <v>26</v>
      </c>
      <c r="E16" s="4">
        <f>SUMIF(Sales!B:B,A16,Sales!E:E)</f>
        <v>1320</v>
      </c>
      <c r="F16" s="6">
        <f t="shared" si="0"/>
        <v>5</v>
      </c>
      <c r="G16" s="4">
        <f>SUMIF(Sales!B:B,A16,Sales!D:D)</f>
        <v>128</v>
      </c>
      <c r="H16" s="4">
        <f t="shared" si="1"/>
        <v>5</v>
      </c>
      <c r="I16" s="4">
        <f>SUMIF(Prizes!B:B,A16,Prizes!D:D)</f>
        <v>10</v>
      </c>
      <c r="J16" s="4">
        <f t="shared" si="2"/>
        <v>2</v>
      </c>
      <c r="K16" s="5">
        <f>SUMIF(Sales!B:B,A16,Sales!F:F)</f>
        <v>5.9946715092465954</v>
      </c>
      <c r="L16" s="6">
        <f t="shared" si="3"/>
        <v>5</v>
      </c>
      <c r="M16" s="5">
        <f>SQRT(SUMIF(Sales!B:B,A16,Sales!G:G))</f>
        <v>2.3183318060867322</v>
      </c>
      <c r="N16" s="5">
        <f t="shared" si="4"/>
        <v>4.0053284907534046</v>
      </c>
      <c r="O16" s="6">
        <f t="shared" si="5"/>
        <v>1</v>
      </c>
      <c r="P16" s="5">
        <f t="shared" si="6"/>
        <v>1.7276769788679505</v>
      </c>
      <c r="Q16" s="4">
        <f t="shared" si="7"/>
        <v>2</v>
      </c>
      <c r="R16" s="16">
        <f t="shared" si="8"/>
        <v>4.2023076554305816E-2</v>
      </c>
      <c r="S16" s="30">
        <f t="shared" si="9"/>
        <v>27</v>
      </c>
      <c r="T16" s="6">
        <f t="shared" si="10"/>
        <v>220.19555166016033</v>
      </c>
      <c r="U16" s="4">
        <f t="shared" si="11"/>
        <v>14</v>
      </c>
      <c r="V16" s="4"/>
      <c r="X16" s="4"/>
      <c r="Y16" s="4"/>
    </row>
    <row r="17" spans="1:25" x14ac:dyDescent="0.3">
      <c r="A17" s="4">
        <v>15</v>
      </c>
      <c r="B17" s="4" t="s">
        <v>16</v>
      </c>
      <c r="C17" s="4">
        <v>1</v>
      </c>
      <c r="D17" s="4">
        <f t="array" ref="D17">MAX(IF(Sales!B:B=A17,Sales!C:C))</f>
        <v>25</v>
      </c>
      <c r="E17" s="4">
        <f>SUMIF(Sales!B:B,A17,Sales!E:E)</f>
        <v>1160</v>
      </c>
      <c r="F17" s="6">
        <f t="shared" si="0"/>
        <v>6</v>
      </c>
      <c r="G17" s="4">
        <f>SUMIF(Sales!B:B,A17,Sales!D:D)</f>
        <v>106</v>
      </c>
      <c r="H17" s="4">
        <f t="shared" si="1"/>
        <v>6</v>
      </c>
      <c r="I17" s="4">
        <f>SUMIF(Prizes!B:B,A17,Prizes!D:D)</f>
        <v>6</v>
      </c>
      <c r="J17" s="4">
        <f t="shared" si="2"/>
        <v>4</v>
      </c>
      <c r="K17" s="5">
        <f>SUMIF(Sales!B:B,A17,Sales!F:F)</f>
        <v>5.4122891600672816</v>
      </c>
      <c r="L17" s="6">
        <f t="shared" si="3"/>
        <v>6</v>
      </c>
      <c r="M17" s="5">
        <f>SQRT(SUMIF(Sales!B:B,A17,Sales!G:G))</f>
        <v>2.195553702244792</v>
      </c>
      <c r="N17" s="5">
        <f t="shared" si="4"/>
        <v>0.58771083993271844</v>
      </c>
      <c r="O17" s="6">
        <f t="shared" si="5"/>
        <v>8</v>
      </c>
      <c r="P17" s="5">
        <f t="shared" si="6"/>
        <v>0.26768228867817145</v>
      </c>
      <c r="Q17" s="4">
        <f t="shared" si="7"/>
        <v>9</v>
      </c>
      <c r="R17" s="16">
        <f t="shared" si="8"/>
        <v>0.39447194202069991</v>
      </c>
      <c r="S17" s="30">
        <f t="shared" si="9"/>
        <v>3</v>
      </c>
      <c r="T17" s="6">
        <f t="shared" si="10"/>
        <v>214.32705564932894</v>
      </c>
      <c r="U17" s="4">
        <f t="shared" si="11"/>
        <v>11</v>
      </c>
      <c r="V17" s="4"/>
      <c r="X17" s="4"/>
      <c r="Y17" s="4"/>
    </row>
    <row r="18" spans="1:25" x14ac:dyDescent="0.3">
      <c r="A18" s="4">
        <v>16</v>
      </c>
      <c r="B18" s="4" t="s">
        <v>23</v>
      </c>
      <c r="C18" s="4">
        <v>0</v>
      </c>
      <c r="D18" s="4">
        <f t="array" ref="D18">MAX(IF(Sales!B:B=A18,Sales!C:C))</f>
        <v>23</v>
      </c>
      <c r="E18" s="4">
        <f>SUMIF(Sales!B:B,A18,Sales!E:E)</f>
        <v>270</v>
      </c>
      <c r="F18" s="6" t="str">
        <f t="shared" si="0"/>
        <v xml:space="preserve"> </v>
      </c>
      <c r="G18" s="4">
        <f>SUMIF(Sales!B:B,A18,Sales!D:D)</f>
        <v>24</v>
      </c>
      <c r="H18" s="4" t="str">
        <f t="shared" si="1"/>
        <v xml:space="preserve"> </v>
      </c>
      <c r="I18" s="4">
        <f>SUMIF(Prizes!B:B,A18,Prizes!D:D)</f>
        <v>0</v>
      </c>
      <c r="J18" s="4" t="str">
        <f t="shared" si="2"/>
        <v xml:space="preserve"> </v>
      </c>
      <c r="K18" s="5">
        <f>SUMIF(Sales!B:B,A18,Sales!F:F)</f>
        <v>1.0975313272294744</v>
      </c>
      <c r="L18" s="6" t="str">
        <f t="shared" si="3"/>
        <v xml:space="preserve"> </v>
      </c>
      <c r="M18" s="5">
        <f>SQRT(SUMIF(Sales!B:B,A18,Sales!G:G))</f>
        <v>1.0115690860951829</v>
      </c>
      <c r="N18" s="5">
        <f t="shared" si="4"/>
        <v>-1.0975313272294744</v>
      </c>
      <c r="O18" s="6" t="str">
        <f t="shared" si="5"/>
        <v xml:space="preserve"> </v>
      </c>
      <c r="P18" s="5">
        <f t="shared" si="6"/>
        <v>-1.0849791104887549</v>
      </c>
      <c r="Q18" s="4" t="str">
        <f t="shared" si="7"/>
        <v xml:space="preserve"> </v>
      </c>
      <c r="R18" s="16">
        <f t="shared" si="8"/>
        <v>0.13896545370290456</v>
      </c>
      <c r="S18" s="30" t="str">
        <f t="shared" si="9"/>
        <v xml:space="preserve"> </v>
      </c>
      <c r="T18" s="6">
        <f t="shared" si="10"/>
        <v>246.00664536981162</v>
      </c>
      <c r="U18" s="4" t="str">
        <f t="shared" si="11"/>
        <v xml:space="preserve"> </v>
      </c>
      <c r="V18" s="4"/>
      <c r="X18" s="4"/>
      <c r="Y18" s="4"/>
    </row>
    <row r="19" spans="1:25" x14ac:dyDescent="0.3">
      <c r="A19" s="4">
        <v>17</v>
      </c>
      <c r="B19" s="4" t="s">
        <v>24</v>
      </c>
      <c r="C19" s="4">
        <v>1</v>
      </c>
      <c r="D19" s="4">
        <f t="array" ref="D19">MAX(IF(Sales!B:B=A19,Sales!C:C))</f>
        <v>23</v>
      </c>
      <c r="E19" s="4">
        <f>SUMIF(Sales!B:B,A19,Sales!E:E)</f>
        <v>410</v>
      </c>
      <c r="F19" s="6">
        <f t="shared" si="0"/>
        <v>17</v>
      </c>
      <c r="G19" s="4">
        <f>SUMIF(Sales!B:B,A19,Sales!D:D)</f>
        <v>39</v>
      </c>
      <c r="H19" s="4">
        <f t="shared" si="1"/>
        <v>18</v>
      </c>
      <c r="I19" s="4">
        <f>SUMIF(Prizes!B:B,A19,Prizes!D:D)</f>
        <v>1</v>
      </c>
      <c r="J19" s="4">
        <f t="shared" si="2"/>
        <v>16</v>
      </c>
      <c r="K19" s="5">
        <f>SUMIF(Sales!B:B,A19,Sales!F:F)</f>
        <v>1.6703246855316638</v>
      </c>
      <c r="L19" s="6">
        <f t="shared" si="3"/>
        <v>19</v>
      </c>
      <c r="M19" s="5">
        <f>SQRT(SUMIF(Sales!B:B,A19,Sales!G:G))</f>
        <v>1.245982760280343</v>
      </c>
      <c r="N19" s="5">
        <f t="shared" si="4"/>
        <v>-0.6703246855316638</v>
      </c>
      <c r="O19" s="6">
        <f t="shared" si="5"/>
        <v>16</v>
      </c>
      <c r="P19" s="5">
        <f t="shared" si="6"/>
        <v>-0.5379887321882707</v>
      </c>
      <c r="Q19" s="4">
        <f t="shared" si="7"/>
        <v>13</v>
      </c>
      <c r="R19" s="16">
        <f t="shared" si="8"/>
        <v>0.29529241384275995</v>
      </c>
      <c r="S19" s="30">
        <f t="shared" si="9"/>
        <v>6</v>
      </c>
      <c r="T19" s="6">
        <f t="shared" si="10"/>
        <v>245.46125885069893</v>
      </c>
      <c r="U19" s="4">
        <f t="shared" si="11"/>
        <v>25</v>
      </c>
      <c r="V19" s="4"/>
      <c r="X19" s="4"/>
      <c r="Y19" s="4"/>
    </row>
    <row r="20" spans="1:25" x14ac:dyDescent="0.3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 t="shared" si="0"/>
        <v xml:space="preserve"> </v>
      </c>
      <c r="G20" s="4">
        <f>SUMIF(Sales!B:B,A20,Sales!D:D)</f>
        <v>11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0.70284369885433717</v>
      </c>
      <c r="L20" s="6" t="str">
        <f t="shared" si="3"/>
        <v xml:space="preserve"> </v>
      </c>
      <c r="M20" s="5">
        <f>SQRT(SUMIF(Sales!B:B,A20,Sales!G:G))</f>
        <v>0.78059289122728581</v>
      </c>
      <c r="N20" s="5">
        <f t="shared" si="4"/>
        <v>0.29715630114566283</v>
      </c>
      <c r="O20" s="6" t="str">
        <f t="shared" si="5"/>
        <v xml:space="preserve"> </v>
      </c>
      <c r="P20" s="5">
        <f t="shared" si="6"/>
        <v>0.38068025533573507</v>
      </c>
      <c r="Q20" s="4" t="str">
        <f t="shared" si="7"/>
        <v xml:space="preserve"> </v>
      </c>
      <c r="R20" s="16">
        <f t="shared" si="8"/>
        <v>0.35172026081826924</v>
      </c>
      <c r="S20" s="30" t="str">
        <f t="shared" si="9"/>
        <v xml:space="preserve"> </v>
      </c>
      <c r="T20" s="6">
        <f t="shared" si="10"/>
        <v>213.41871634405473</v>
      </c>
      <c r="U20" s="4" t="str">
        <f t="shared" si="11"/>
        <v xml:space="preserve"> </v>
      </c>
      <c r="V20" s="4"/>
      <c r="X20" s="4"/>
      <c r="Y20" s="4"/>
    </row>
    <row r="21" spans="1:25" x14ac:dyDescent="0.3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 t="shared" si="0"/>
        <v xml:space="preserve"> </v>
      </c>
      <c r="G21" s="4">
        <f>SUMIF(Sales!B:B,A21,Sales!D:D)</f>
        <v>147</v>
      </c>
      <c r="H21" s="4" t="str">
        <f t="shared" si="1"/>
        <v xml:space="preserve"> </v>
      </c>
      <c r="I21" s="4">
        <f>SUMIF(Prizes!B:B,A21,Prizes!D:D)</f>
        <v>4</v>
      </c>
      <c r="J21" s="4" t="str">
        <f t="shared" si="2"/>
        <v xml:space="preserve"> </v>
      </c>
      <c r="K21" s="5">
        <f>SUMIF(Sales!B:B,A21,Sales!F:F)</f>
        <v>5.3872370398255942</v>
      </c>
      <c r="L21" s="6" t="str">
        <f t="shared" si="3"/>
        <v xml:space="preserve"> </v>
      </c>
      <c r="M21" s="5">
        <f>SQRT(SUMIF(Sales!B:B,A21,Sales!G:G))</f>
        <v>2.1480307909963821</v>
      </c>
      <c r="N21" s="5">
        <f t="shared" si="4"/>
        <v>-1.3872370398255942</v>
      </c>
      <c r="O21" s="6" t="str">
        <f t="shared" si="5"/>
        <v xml:space="preserve"> </v>
      </c>
      <c r="P21" s="5">
        <f t="shared" si="6"/>
        <v>-0.6458180421064228</v>
      </c>
      <c r="Q21" s="4" t="str">
        <f t="shared" si="7"/>
        <v xml:space="preserve"> </v>
      </c>
      <c r="R21" s="16">
        <f t="shared" si="8"/>
        <v>0.25919860106105741</v>
      </c>
      <c r="S21" s="30" t="str">
        <f t="shared" si="9"/>
        <v xml:space="preserve"> </v>
      </c>
      <c r="T21" s="6">
        <f t="shared" si="10"/>
        <v>291.4295377006145</v>
      </c>
      <c r="U21" s="6" t="str">
        <f t="shared" si="11"/>
        <v xml:space="preserve"> </v>
      </c>
      <c r="V21" s="4"/>
      <c r="X21" s="4"/>
      <c r="Y21" s="4"/>
    </row>
    <row r="22" spans="1:25" x14ac:dyDescent="0.3">
      <c r="A22" s="4">
        <v>20</v>
      </c>
      <c r="B22" s="4" t="s">
        <v>27</v>
      </c>
      <c r="C22" s="4">
        <v>0</v>
      </c>
      <c r="D22" s="4">
        <f t="array" ref="D22">MAX(IF(Sales!B:B=A22,Sales!C:C))</f>
        <v>21</v>
      </c>
      <c r="E22" s="4">
        <f>SUMIF(Sales!B:B,A22,Sales!E:E)</f>
        <v>860</v>
      </c>
      <c r="F22" s="6" t="str">
        <f t="shared" si="0"/>
        <v xml:space="preserve"> </v>
      </c>
      <c r="G22" s="4">
        <f>SUMIF(Sales!B:B,A22,Sales!D:D)</f>
        <v>85</v>
      </c>
      <c r="H22" s="4" t="str">
        <f t="shared" si="1"/>
        <v xml:space="preserve"> </v>
      </c>
      <c r="I22" s="4">
        <f>SUMIF(Prizes!B:B,A22,Prizes!D:D)</f>
        <v>6</v>
      </c>
      <c r="J22" s="4" t="str">
        <f t="shared" si="2"/>
        <v xml:space="preserve"> </v>
      </c>
      <c r="K22" s="5">
        <f>SUMIF(Sales!B:B,A22,Sales!F:F)</f>
        <v>3.8059384171605499</v>
      </c>
      <c r="L22" s="6" t="str">
        <f t="shared" si="3"/>
        <v xml:space="preserve"> </v>
      </c>
      <c r="M22" s="5">
        <f>SQRT(SUMIF(Sales!B:B,A22,Sales!G:G))</f>
        <v>1.8697596112891726</v>
      </c>
      <c r="N22" s="5">
        <f t="shared" si="4"/>
        <v>2.1940615828394501</v>
      </c>
      <c r="O22" s="6" t="str">
        <f t="shared" si="5"/>
        <v xml:space="preserve"> </v>
      </c>
      <c r="P22" s="5">
        <f t="shared" si="6"/>
        <v>1.1734458106765264</v>
      </c>
      <c r="Q22" s="4" t="str">
        <f t="shared" si="7"/>
        <v xml:space="preserve"> </v>
      </c>
      <c r="R22" s="16">
        <f t="shared" si="8"/>
        <v>0.12030853778064177</v>
      </c>
      <c r="S22" s="30" t="str">
        <f t="shared" si="9"/>
        <v xml:space="preserve"> </v>
      </c>
      <c r="T22" s="6">
        <f t="shared" si="10"/>
        <v>225.96266826661102</v>
      </c>
      <c r="U22" s="4" t="str">
        <f t="shared" si="11"/>
        <v xml:space="preserve"> </v>
      </c>
      <c r="V22" s="4"/>
      <c r="X22" s="4"/>
      <c r="Y22" s="4"/>
    </row>
    <row r="23" spans="1:25" x14ac:dyDescent="0.3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 t="shared" si="0"/>
        <v xml:space="preserve"> </v>
      </c>
      <c r="G23" s="4">
        <f>SUMIF(Sales!B:B,A23,Sales!D:D)</f>
        <v>15</v>
      </c>
      <c r="H23" s="4" t="str">
        <f t="shared" si="1"/>
        <v xml:space="preserve"> </v>
      </c>
      <c r="I23" s="4">
        <f>SUMIF(Prizes!B:B,A23,Prizes!D:D)</f>
        <v>1</v>
      </c>
      <c r="J23" s="4" t="str">
        <f t="shared" si="2"/>
        <v xml:space="preserve"> </v>
      </c>
      <c r="K23" s="5">
        <f>SUMIF(Sales!B:B,A23,Sales!F:F)</f>
        <v>0.63164893617021267</v>
      </c>
      <c r="L23" s="6" t="str">
        <f t="shared" si="3"/>
        <v xml:space="preserve"> </v>
      </c>
      <c r="M23" s="5">
        <f>SQRT(SUMIF(Sales!B:B,A23,Sales!G:G))</f>
        <v>0.75810728959235163</v>
      </c>
      <c r="N23" s="5">
        <f t="shared" si="4"/>
        <v>0.36835106382978733</v>
      </c>
      <c r="O23" s="6" t="str">
        <f t="shared" si="5"/>
        <v xml:space="preserve"> </v>
      </c>
      <c r="P23" s="5">
        <f t="shared" si="6"/>
        <v>0.4858824982778579</v>
      </c>
      <c r="Q23" s="4" t="str">
        <f t="shared" si="7"/>
        <v xml:space="preserve"> </v>
      </c>
      <c r="R23" s="16">
        <f t="shared" si="8"/>
        <v>0.31352523895390516</v>
      </c>
      <c r="S23" s="30" t="str">
        <f t="shared" si="9"/>
        <v xml:space="preserve"> </v>
      </c>
      <c r="T23" s="6">
        <f t="shared" si="10"/>
        <v>316.6315789473685</v>
      </c>
      <c r="U23" s="4" t="str">
        <f t="shared" si="11"/>
        <v xml:space="preserve"> </v>
      </c>
      <c r="V23" s="4"/>
      <c r="X23" s="4"/>
      <c r="Y23" s="4"/>
    </row>
    <row r="24" spans="1:25" x14ac:dyDescent="0.3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 t="shared" si="0"/>
        <v xml:space="preserve"> </v>
      </c>
      <c r="G24" s="4">
        <f>SUMIF(Sales!B:B,A24,Sales!D:D)</f>
        <v>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0.54326923076923084</v>
      </c>
      <c r="L24" s="6" t="str">
        <f t="shared" si="3"/>
        <v xml:space="preserve"> </v>
      </c>
      <c r="M24" s="5">
        <f>SQRT(SUMIF(Sales!B:B,A24,Sales!G:G))</f>
        <v>0.67686632105875888</v>
      </c>
      <c r="N24" s="5">
        <f t="shared" si="4"/>
        <v>0.45673076923076916</v>
      </c>
      <c r="O24" s="6" t="str">
        <f t="shared" si="5"/>
        <v xml:space="preserve"> </v>
      </c>
      <c r="P24" s="5">
        <f t="shared" si="6"/>
        <v>0.67477248464120332</v>
      </c>
      <c r="Q24" s="4" t="str">
        <f t="shared" si="7"/>
        <v xml:space="preserve"> </v>
      </c>
      <c r="R24" s="16">
        <f t="shared" si="8"/>
        <v>0.24991016218462114</v>
      </c>
      <c r="S24" s="30" t="str">
        <f t="shared" si="9"/>
        <v xml:space="preserve"> </v>
      </c>
      <c r="T24" s="6">
        <f t="shared" si="10"/>
        <v>184.07079646017698</v>
      </c>
      <c r="U24" s="4" t="str">
        <f t="shared" si="11"/>
        <v xml:space="preserve"> </v>
      </c>
      <c r="V24" s="4"/>
      <c r="X24" s="4"/>
      <c r="Y24" s="4"/>
    </row>
    <row r="25" spans="1:25" x14ac:dyDescent="0.3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 t="shared" si="0"/>
        <v xml:space="preserve"> </v>
      </c>
      <c r="G25" s="4">
        <f>SUMIF(Sales!B:B,A25,Sales!D:D)</f>
        <v>75</v>
      </c>
      <c r="H25" s="4" t="str">
        <f t="shared" si="1"/>
        <v xml:space="preserve"> </v>
      </c>
      <c r="I25" s="4">
        <f>SUMIF(Prizes!B:B,A25,Prizes!D:D)</f>
        <v>4</v>
      </c>
      <c r="J25" s="4" t="str">
        <f t="shared" si="2"/>
        <v xml:space="preserve"> </v>
      </c>
      <c r="K25" s="5">
        <f>SUMIF(Sales!B:B,A25,Sales!F:F)</f>
        <v>2.9991021425331783</v>
      </c>
      <c r="L25" s="6" t="str">
        <f t="shared" si="3"/>
        <v xml:space="preserve"> </v>
      </c>
      <c r="M25" s="5">
        <f>SQRT(SUMIF(Sales!B:B,A25,Sales!G:G))</f>
        <v>1.640793642686911</v>
      </c>
      <c r="N25" s="5">
        <f t="shared" si="4"/>
        <v>1.0008978574668217</v>
      </c>
      <c r="O25" s="6" t="str">
        <f t="shared" si="5"/>
        <v xml:space="preserve"> </v>
      </c>
      <c r="P25" s="5">
        <f t="shared" si="6"/>
        <v>0.61000837120979057</v>
      </c>
      <c r="Q25" s="4" t="str">
        <f t="shared" si="7"/>
        <v xml:space="preserve"> </v>
      </c>
      <c r="R25" s="16">
        <f t="shared" si="8"/>
        <v>0.27092813112251135</v>
      </c>
      <c r="S25" s="30" t="str">
        <f t="shared" si="9"/>
        <v xml:space="preserve"> </v>
      </c>
      <c r="T25" s="6">
        <f t="shared" si="10"/>
        <v>266.74650011229147</v>
      </c>
      <c r="U25" s="4" t="str">
        <f t="shared" si="11"/>
        <v xml:space="preserve"> </v>
      </c>
      <c r="V25" s="4"/>
      <c r="X25" s="4"/>
      <c r="Y25" s="4"/>
    </row>
    <row r="26" spans="1:25" x14ac:dyDescent="0.3">
      <c r="A26" s="4">
        <v>24</v>
      </c>
      <c r="B26" s="4" t="s">
        <v>31</v>
      </c>
      <c r="C26" s="4">
        <v>1</v>
      </c>
      <c r="D26" s="4">
        <f t="array" ref="D26">MAX(IF(Sales!B:B=A26,Sales!C:C))</f>
        <v>25</v>
      </c>
      <c r="E26" s="4">
        <f>SUMIF(Sales!B:B,A26,Sales!E:E)</f>
        <v>900</v>
      </c>
      <c r="F26" s="6">
        <f t="shared" si="0"/>
        <v>8</v>
      </c>
      <c r="G26" s="4">
        <f>SUMIF(Sales!B:B,A26,Sales!D:D)</f>
        <v>86</v>
      </c>
      <c r="H26" s="4">
        <f t="shared" si="1"/>
        <v>9</v>
      </c>
      <c r="I26" s="4">
        <f>SUMIF(Prizes!B:B,A26,Prizes!D:D)</f>
        <v>1</v>
      </c>
      <c r="J26" s="4">
        <f t="shared" si="2"/>
        <v>16</v>
      </c>
      <c r="K26" s="5">
        <f>SUMIF(Sales!B:B,A26,Sales!F:F)</f>
        <v>3.562488369159555</v>
      </c>
      <c r="L26" s="6">
        <f t="shared" si="3"/>
        <v>10</v>
      </c>
      <c r="M26" s="5">
        <f>SQRT(SUMIF(Sales!B:B,A26,Sales!G:G))</f>
        <v>1.7935656079747917</v>
      </c>
      <c r="N26" s="5">
        <f t="shared" si="4"/>
        <v>-2.562488369159555</v>
      </c>
      <c r="O26" s="6">
        <f t="shared" si="5"/>
        <v>27</v>
      </c>
      <c r="P26" s="5">
        <f t="shared" si="6"/>
        <v>-1.4287118116927955</v>
      </c>
      <c r="Q26" s="4">
        <f t="shared" si="7"/>
        <v>26</v>
      </c>
      <c r="R26" s="16">
        <f t="shared" si="8"/>
        <v>7.6543540741150745E-2</v>
      </c>
      <c r="S26" s="30">
        <f t="shared" si="9"/>
        <v>24</v>
      </c>
      <c r="T26" s="6">
        <f t="shared" si="10"/>
        <v>252.63240374096256</v>
      </c>
      <c r="U26" s="4">
        <f t="shared" si="11"/>
        <v>27</v>
      </c>
      <c r="V26" s="4"/>
      <c r="X26" s="4"/>
      <c r="Y26" s="4"/>
    </row>
    <row r="27" spans="1:25" x14ac:dyDescent="0.3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 t="shared" si="0"/>
        <v xml:space="preserve"> </v>
      </c>
      <c r="G27" s="4">
        <f>SUMIF(Sales!B:B,A27,Sales!D:D)</f>
        <v>2</v>
      </c>
      <c r="H27" s="4" t="str">
        <f t="shared" si="1"/>
        <v xml:space="preserve"> </v>
      </c>
      <c r="I27" s="4">
        <f>SUMIF(Prizes!B:B,A27,Prizes!D:D)</f>
        <v>0</v>
      </c>
      <c r="J27" s="4" t="str">
        <f t="shared" si="2"/>
        <v xml:space="preserve"> </v>
      </c>
      <c r="K27" s="5">
        <f>SUMIF(Sales!B:B,A27,Sales!F:F)</f>
        <v>6.3829787234042548E-2</v>
      </c>
      <c r="L27" s="6" t="str">
        <f t="shared" si="3"/>
        <v xml:space="preserve"> </v>
      </c>
      <c r="M27" s="5">
        <f>SQRT(SUMIF(Sales!B:B,A27,Sales!G:G))</f>
        <v>0.24791576048881739</v>
      </c>
      <c r="N27" s="5">
        <f t="shared" si="4"/>
        <v>-6.3829787234042548E-2</v>
      </c>
      <c r="O27" s="6" t="str">
        <f t="shared" si="5"/>
        <v xml:space="preserve"> </v>
      </c>
      <c r="P27" s="5">
        <f t="shared" si="6"/>
        <v>-0.25746562908380199</v>
      </c>
      <c r="Q27" s="4" t="str">
        <f t="shared" si="7"/>
        <v xml:space="preserve"> </v>
      </c>
      <c r="R27" s="16">
        <f t="shared" si="8"/>
        <v>0.39840967257938792</v>
      </c>
      <c r="S27" s="30" t="str">
        <f t="shared" si="9"/>
        <v xml:space="preserve"> </v>
      </c>
      <c r="T27" s="6">
        <f t="shared" si="10"/>
        <v>313.33333333333337</v>
      </c>
      <c r="U27" s="4" t="str">
        <f t="shared" si="11"/>
        <v xml:space="preserve"> </v>
      </c>
      <c r="V27" s="4"/>
      <c r="X27" s="4"/>
      <c r="Y27" s="4"/>
    </row>
    <row r="28" spans="1:25" x14ac:dyDescent="0.3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 t="shared" si="0"/>
        <v xml:space="preserve"> </v>
      </c>
      <c r="G28" s="4">
        <f>SUMIF(Sales!B:B,A28,Sales!D:D)</f>
        <v>10</v>
      </c>
      <c r="H28" s="4" t="str">
        <f t="shared" si="1"/>
        <v xml:space="preserve"> </v>
      </c>
      <c r="I28" s="4">
        <f>SUMIF(Prizes!B:B,A28,Prizes!D:D)</f>
        <v>0</v>
      </c>
      <c r="J28" s="4" t="str">
        <f t="shared" si="2"/>
        <v xml:space="preserve"> </v>
      </c>
      <c r="K28" s="5">
        <f>SUMIF(Sales!B:B,A28,Sales!F:F)</f>
        <v>0.31914893617021273</v>
      </c>
      <c r="L28" s="6" t="str">
        <f t="shared" si="3"/>
        <v xml:space="preserve"> </v>
      </c>
      <c r="M28" s="5">
        <f>SQRT(SUMIF(Sales!B:B,A28,Sales!G:G))</f>
        <v>0.54230382522055953</v>
      </c>
      <c r="N28" s="5">
        <f t="shared" si="4"/>
        <v>-0.31914893617021273</v>
      </c>
      <c r="O28" s="6" t="str">
        <f t="shared" si="5"/>
        <v xml:space="preserve"> </v>
      </c>
      <c r="P28" s="5">
        <f t="shared" si="6"/>
        <v>-0.58850578094375816</v>
      </c>
      <c r="Q28" s="4" t="str">
        <f t="shared" si="7"/>
        <v xml:space="preserve"> </v>
      </c>
      <c r="R28" s="16">
        <f t="shared" si="8"/>
        <v>0.27809642736849838</v>
      </c>
      <c r="S28" s="30" t="str">
        <f t="shared" si="9"/>
        <v xml:space="preserve"> </v>
      </c>
      <c r="T28" s="6">
        <f t="shared" si="10"/>
        <v>313.33333333333337</v>
      </c>
      <c r="U28" s="6" t="str">
        <f t="shared" si="11"/>
        <v xml:space="preserve"> </v>
      </c>
      <c r="V28" s="4"/>
      <c r="X28" s="4"/>
      <c r="Y28" s="4"/>
    </row>
    <row r="29" spans="1:25" x14ac:dyDescent="0.3">
      <c r="A29" s="4">
        <v>27</v>
      </c>
      <c r="B29" s="4" t="s">
        <v>142</v>
      </c>
      <c r="C29" s="4">
        <v>1</v>
      </c>
      <c r="D29" s="4">
        <f t="array" ref="D29">MAX(IF(Sales!B:B=A29,Sales!C:C))</f>
        <v>23</v>
      </c>
      <c r="E29" s="4">
        <f>SUMIF(Sales!B:B,A29,Sales!E:E)</f>
        <v>200</v>
      </c>
      <c r="F29" s="6">
        <f t="shared" si="0"/>
        <v>20</v>
      </c>
      <c r="G29" s="4">
        <f>SUMIF(Sales!B:B,A29,Sales!D:D)</f>
        <v>21</v>
      </c>
      <c r="H29" s="4">
        <f t="shared" si="1"/>
        <v>20</v>
      </c>
      <c r="I29" s="4">
        <f>SUMIF(Prizes!B:B,A29,Prizes!D:D)</f>
        <v>0</v>
      </c>
      <c r="J29" s="4">
        <f t="shared" si="2"/>
        <v>21</v>
      </c>
      <c r="K29" s="5">
        <f>SUMIF(Sales!B:B,A29,Sales!F:F)</f>
        <v>1.0028280542986425</v>
      </c>
      <c r="L29" s="6">
        <f t="shared" si="3"/>
        <v>20</v>
      </c>
      <c r="M29" s="5">
        <f>SQRT(SUMIF(Sales!B:B,A29,Sales!G:G))</f>
        <v>0.94355811600163075</v>
      </c>
      <c r="N29" s="5">
        <f t="shared" si="4"/>
        <v>-1.0028280542986425</v>
      </c>
      <c r="O29" s="6">
        <f t="shared" si="5"/>
        <v>19</v>
      </c>
      <c r="P29" s="5">
        <f t="shared" si="6"/>
        <v>-1.062815355293822</v>
      </c>
      <c r="Q29" s="4">
        <f t="shared" si="7"/>
        <v>23</v>
      </c>
      <c r="R29" s="16">
        <f t="shared" si="8"/>
        <v>0.14393284730129777</v>
      </c>
      <c r="S29" s="30">
        <f t="shared" si="9"/>
        <v>20</v>
      </c>
      <c r="T29" s="6">
        <f t="shared" si="10"/>
        <v>199.43598420755782</v>
      </c>
      <c r="U29" s="4">
        <f t="shared" si="11"/>
        <v>6</v>
      </c>
      <c r="V29" s="4"/>
      <c r="X29" s="4"/>
      <c r="Y29" s="4"/>
    </row>
    <row r="30" spans="1:25" x14ac:dyDescent="0.3">
      <c r="A30" s="4">
        <v>28</v>
      </c>
      <c r="B30" s="4" t="s">
        <v>35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 t="shared" si="0"/>
        <v xml:space="preserve"> </v>
      </c>
      <c r="G30" s="4">
        <f>SUMIF(Sales!B:B,A30,Sales!D:D)</f>
        <v>24</v>
      </c>
      <c r="H30" s="4" t="str">
        <f t="shared" si="1"/>
        <v xml:space="preserve"> </v>
      </c>
      <c r="I30" s="4">
        <f>SUMIF(Prizes!B:B,A30,Prizes!D:D)</f>
        <v>0</v>
      </c>
      <c r="J30" s="4" t="str">
        <f t="shared" si="2"/>
        <v xml:space="preserve"> </v>
      </c>
      <c r="K30" s="5">
        <f>SUMIF(Sales!B:B,A30,Sales!F:F)</f>
        <v>0.7941427895328429</v>
      </c>
      <c r="L30" s="6" t="str">
        <f t="shared" si="3"/>
        <v xml:space="preserve"> </v>
      </c>
      <c r="M30" s="5">
        <f>SQRT(SUMIF(Sales!B:B,A30,Sales!G:G))</f>
        <v>0.86060092285446455</v>
      </c>
      <c r="N30" s="5">
        <f t="shared" si="4"/>
        <v>-0.7941427895328429</v>
      </c>
      <c r="O30" s="6" t="str">
        <f t="shared" si="5"/>
        <v xml:space="preserve"> </v>
      </c>
      <c r="P30" s="5">
        <f t="shared" si="6"/>
        <v>-0.92277706012539296</v>
      </c>
      <c r="Q30" s="4" t="str">
        <f t="shared" si="7"/>
        <v xml:space="preserve"> </v>
      </c>
      <c r="R30" s="16">
        <f t="shared" si="8"/>
        <v>0.17806169891377793</v>
      </c>
      <c r="S30" s="30" t="str">
        <f t="shared" si="9"/>
        <v xml:space="preserve"> </v>
      </c>
      <c r="T30" s="6">
        <f t="shared" si="10"/>
        <v>302.21265389966049</v>
      </c>
      <c r="U30" s="6" t="str">
        <f t="shared" si="11"/>
        <v xml:space="preserve"> </v>
      </c>
      <c r="V30" s="4"/>
      <c r="X30" s="4"/>
      <c r="Y30" s="4"/>
    </row>
    <row r="31" spans="1:25" x14ac:dyDescent="0.3">
      <c r="A31" s="4">
        <v>29</v>
      </c>
      <c r="B31" s="4" t="s">
        <v>131</v>
      </c>
      <c r="C31" s="4">
        <v>1</v>
      </c>
      <c r="D31" s="4">
        <f t="array" ref="D31">MAX(IF(Sales!B:B=A31,Sales!C:C))</f>
        <v>26</v>
      </c>
      <c r="E31" s="4">
        <f>SUMIF(Sales!B:B,A31,Sales!E:E)</f>
        <v>1500</v>
      </c>
      <c r="F31" s="6">
        <f t="shared" si="0"/>
        <v>4</v>
      </c>
      <c r="G31" s="4">
        <f>SUMIF(Sales!B:B,A31,Sales!D:D)</f>
        <v>151</v>
      </c>
      <c r="H31" s="4">
        <f t="shared" si="1"/>
        <v>4</v>
      </c>
      <c r="I31" s="4">
        <f>SUMIF(Prizes!B:B,A31,Prizes!D:D)</f>
        <v>4</v>
      </c>
      <c r="J31" s="4">
        <f t="shared" si="2"/>
        <v>7</v>
      </c>
      <c r="K31" s="5">
        <f>SUMIF(Sales!B:B,A31,Sales!F:F)</f>
        <v>6.5416851543041465</v>
      </c>
      <c r="L31" s="6">
        <f t="shared" si="3"/>
        <v>4</v>
      </c>
      <c r="M31" s="5">
        <f>SQRT(SUMIF(Sales!B:B,A31,Sales!G:G))</f>
        <v>2.4156998589296634</v>
      </c>
      <c r="N31" s="5">
        <f t="shared" si="4"/>
        <v>-2.5416851543041465</v>
      </c>
      <c r="O31" s="6">
        <f t="shared" si="5"/>
        <v>26</v>
      </c>
      <c r="P31" s="5">
        <f t="shared" si="6"/>
        <v>-1.05215271049041</v>
      </c>
      <c r="Q31" s="4">
        <f t="shared" si="7"/>
        <v>22</v>
      </c>
      <c r="R31" s="16">
        <f t="shared" si="8"/>
        <v>0.14636474592887255</v>
      </c>
      <c r="S31" s="30">
        <f t="shared" si="9"/>
        <v>19</v>
      </c>
      <c r="T31" s="6">
        <f t="shared" si="10"/>
        <v>229.29871502804821</v>
      </c>
      <c r="U31" s="4">
        <f t="shared" si="11"/>
        <v>21</v>
      </c>
      <c r="V31" s="4"/>
      <c r="X31" s="4"/>
      <c r="Y31" s="4"/>
    </row>
    <row r="32" spans="1:25" x14ac:dyDescent="0.3">
      <c r="A32" s="4">
        <v>30</v>
      </c>
      <c r="B32" s="4" t="s">
        <v>36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 t="shared" si="0"/>
        <v xml:space="preserve"> </v>
      </c>
      <c r="G32" s="4">
        <f>SUMIF(Sales!B:B,A32,Sales!D:D)</f>
        <v>5</v>
      </c>
      <c r="H32" s="4" t="str">
        <f t="shared" si="1"/>
        <v xml:space="preserve"> </v>
      </c>
      <c r="I32" s="4">
        <f>SUMIF(Prizes!B:B,A32,Prizes!D:D)</f>
        <v>0</v>
      </c>
      <c r="J32" s="4" t="str">
        <f t="shared" si="2"/>
        <v xml:space="preserve"> </v>
      </c>
      <c r="K32" s="5">
        <f>SUMIF(Sales!B:B,A32,Sales!F:F)</f>
        <v>0.20833333333333331</v>
      </c>
      <c r="L32" s="6" t="str">
        <f t="shared" si="3"/>
        <v xml:space="preserve"> </v>
      </c>
      <c r="M32" s="5">
        <f>SQRT(SUMIF(Sales!B:B,A32,Sales!G:G))</f>
        <v>0.43925136315935126</v>
      </c>
      <c r="N32" s="5">
        <f t="shared" si="4"/>
        <v>-0.20833333333333331</v>
      </c>
      <c r="O32" s="6" t="str">
        <f t="shared" si="5"/>
        <v xml:space="preserve"> </v>
      </c>
      <c r="P32" s="5">
        <f t="shared" si="6"/>
        <v>-0.47429183107111794</v>
      </c>
      <c r="Q32" s="4" t="str">
        <f t="shared" si="7"/>
        <v xml:space="preserve"> </v>
      </c>
      <c r="R32" s="16">
        <f t="shared" si="8"/>
        <v>0.31764590799841352</v>
      </c>
      <c r="S32" s="30" t="str">
        <f t="shared" si="9"/>
        <v xml:space="preserve"> </v>
      </c>
      <c r="T32" s="6">
        <f t="shared" si="10"/>
        <v>240.00000000000003</v>
      </c>
      <c r="U32" s="6" t="str">
        <f t="shared" si="11"/>
        <v xml:space="preserve"> </v>
      </c>
      <c r="V32" s="4"/>
      <c r="X32" s="4"/>
      <c r="Y32" s="4"/>
    </row>
    <row r="33" spans="1:25" x14ac:dyDescent="0.3">
      <c r="A33" s="4">
        <v>31</v>
      </c>
      <c r="B33" s="4" t="s">
        <v>37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 t="shared" si="0"/>
        <v xml:space="preserve"> </v>
      </c>
      <c r="G33" s="4">
        <f>SUMIF(Sales!B:B,A33,Sales!D:D)</f>
        <v>16</v>
      </c>
      <c r="H33" s="4" t="str">
        <f t="shared" si="1"/>
        <v xml:space="preserve"> </v>
      </c>
      <c r="I33" s="4">
        <f>SUMIF(Prizes!B:B,A33,Prizes!D:D)</f>
        <v>1</v>
      </c>
      <c r="J33" s="4" t="str">
        <f t="shared" si="2"/>
        <v xml:space="preserve"> </v>
      </c>
      <c r="K33" s="5">
        <f>SUMIF(Sales!B:B,A33,Sales!F:F)</f>
        <v>0.68315789473684219</v>
      </c>
      <c r="L33" s="6" t="str">
        <f t="shared" si="3"/>
        <v xml:space="preserve"> </v>
      </c>
      <c r="M33" s="5">
        <f>SQRT(SUMIF(Sales!B:B,A33,Sales!G:G))</f>
        <v>0.79496113990168826</v>
      </c>
      <c r="N33" s="5">
        <f t="shared" si="4"/>
        <v>0.31684210526315781</v>
      </c>
      <c r="O33" s="6" t="str">
        <f t="shared" si="5"/>
        <v xml:space="preserve"> </v>
      </c>
      <c r="P33" s="5">
        <f t="shared" si="6"/>
        <v>0.39856301064268529</v>
      </c>
      <c r="Q33" s="4" t="str">
        <f t="shared" si="7"/>
        <v xml:space="preserve"> </v>
      </c>
      <c r="R33" s="16">
        <f t="shared" si="8"/>
        <v>0.34510761059987882</v>
      </c>
      <c r="S33" s="30" t="str">
        <f t="shared" si="9"/>
        <v xml:space="preserve"> </v>
      </c>
      <c r="T33" s="6">
        <f t="shared" si="10"/>
        <v>234.20647149460706</v>
      </c>
      <c r="U33" s="6" t="str">
        <f t="shared" si="11"/>
        <v xml:space="preserve"> </v>
      </c>
      <c r="V33" s="4"/>
      <c r="X33" s="4"/>
      <c r="Y33" s="4"/>
    </row>
    <row r="34" spans="1:25" x14ac:dyDescent="0.3">
      <c r="A34" s="4">
        <v>32</v>
      </c>
      <c r="B34" s="4" t="s">
        <v>38</v>
      </c>
      <c r="C34" s="4">
        <v>0</v>
      </c>
      <c r="D34" s="4">
        <f t="array" ref="D34">MAX(IF(Sales!B:B=A34,Sales!C:C))</f>
        <v>26</v>
      </c>
      <c r="E34" s="4">
        <f>SUMIF(Sales!B:B,A34,Sales!E:E)</f>
        <v>1220</v>
      </c>
      <c r="F34" s="6" t="str">
        <f t="shared" ref="F34:F65" si="14">IF($C34=0," ",COUNTIFS($C:$C,1,E:E,"&gt;"&amp;E34)+1)</f>
        <v xml:space="preserve"> </v>
      </c>
      <c r="G34" s="4">
        <f>SUMIF(Sales!B:B,A34,Sales!D:D)</f>
        <v>123</v>
      </c>
      <c r="H34" s="4" t="str">
        <f t="shared" ref="H34:H65" si="15">IF($C34=0," ",COUNTIFS($C:$C,1,G:G,"&gt;"&amp;G34)+1)</f>
        <v xml:space="preserve"> </v>
      </c>
      <c r="I34" s="4">
        <f>SUMIF(Prizes!B:B,A34,Prizes!D:D)</f>
        <v>6</v>
      </c>
      <c r="J34" s="4" t="str">
        <f t="shared" ref="J34:J65" si="16">IF($C34=0," ",COUNTIFS($C:$C,1,I:I,"&gt;"&amp;I34)+1)</f>
        <v xml:space="preserve"> </v>
      </c>
      <c r="K34" s="5">
        <f>SUMIF(Sales!B:B,A34,Sales!F:F)</f>
        <v>4.9790372920402088</v>
      </c>
      <c r="L34" s="6" t="str">
        <f t="shared" ref="L34:L65" si="17">IF($C34=0," ",COUNTIFS($C:$C,1,K:K,"&gt;"&amp;K34)+1)</f>
        <v xml:space="preserve"> </v>
      </c>
      <c r="M34" s="5">
        <f>SQRT(SUMIF(Sales!B:B,A34,Sales!G:G))</f>
        <v>2.1078650290675003</v>
      </c>
      <c r="N34" s="5">
        <f t="shared" ref="N34:N68" si="18">I34-K34</f>
        <v>1.0209627079597912</v>
      </c>
      <c r="O34" s="6" t="str">
        <f t="shared" ref="O34:O65" si="19">IF($C34=0," ",COUNTIFS($C:$C,1,N:N,"&gt;"&amp;N34)+1)</f>
        <v xml:space="preserve"> </v>
      </c>
      <c r="P34" s="5">
        <f t="shared" ref="P34:P68" si="20">N34/M34</f>
        <v>0.48435867281856065</v>
      </c>
      <c r="Q34" s="4" t="str">
        <f t="shared" ref="Q34:Q65" si="21">IF($C34=0," ",COUNTIFS($C:$C,1,P:P,"&gt;"&amp;P34)+1)</f>
        <v xml:space="preserve"> </v>
      </c>
      <c r="R34" s="16">
        <f t="shared" ref="R34:R68" si="22">IF(I34&gt;K34,1-_xlfn.NORM.DIST(I34,K34,M34,1),_xlfn.NORM.DIST(I34,K34,M34,1))</f>
        <v>0.31406567137732877</v>
      </c>
      <c r="S34" s="30" t="str">
        <f t="shared" ref="S34:S65" si="23">IF($C34=0," ",COUNTIFS($C:$C,1,R:R,"&gt;"&amp;R34)+1)</f>
        <v xml:space="preserve"> </v>
      </c>
      <c r="T34" s="6">
        <f t="shared" ref="T34:T68" si="24">E34/K34</f>
        <v>245.02728709229916</v>
      </c>
      <c r="U34" s="4" t="str">
        <f t="shared" ref="U34:U65" si="25">IF($C34=0," ",COUNTIFS($C:$C,1,T:T,"&lt;"&amp;T34)+1)</f>
        <v xml:space="preserve"> </v>
      </c>
      <c r="V34" s="4"/>
      <c r="X34" s="4"/>
      <c r="Y34" s="4"/>
    </row>
    <row r="35" spans="1:25" x14ac:dyDescent="0.3">
      <c r="A35" s="4">
        <v>33</v>
      </c>
      <c r="B35" s="4" t="s">
        <v>75</v>
      </c>
      <c r="C35" s="4">
        <v>1</v>
      </c>
      <c r="D35" s="4">
        <f t="array" ref="D35">MAX(IF(Sales!B:B=A35,Sales!C:C))</f>
        <v>26</v>
      </c>
      <c r="E35" s="4">
        <f>SUMIF(Sales!B:B,A35,Sales!E:E)</f>
        <v>2010</v>
      </c>
      <c r="F35" s="6">
        <f t="shared" si="14"/>
        <v>2</v>
      </c>
      <c r="G35" s="4">
        <f>SUMIF(Sales!B:B,A35,Sales!D:D)</f>
        <v>202</v>
      </c>
      <c r="H35" s="4">
        <f t="shared" si="15"/>
        <v>2</v>
      </c>
      <c r="I35" s="4">
        <f>SUMIF(Prizes!B:B,A35,Prizes!D:D)</f>
        <v>8</v>
      </c>
      <c r="J35" s="4">
        <f t="shared" si="16"/>
        <v>3</v>
      </c>
      <c r="K35" s="5">
        <f>SUMIF(Sales!B:B,A35,Sales!F:F)</f>
        <v>9.1223730299035672</v>
      </c>
      <c r="L35" s="6">
        <f t="shared" si="17"/>
        <v>2</v>
      </c>
      <c r="M35" s="5">
        <f>SQRT(SUMIF(Sales!B:B,A35,Sales!G:G))</f>
        <v>2.8360550120378543</v>
      </c>
      <c r="N35" s="5">
        <f t="shared" si="18"/>
        <v>-1.1223730299035672</v>
      </c>
      <c r="O35" s="6">
        <f t="shared" si="19"/>
        <v>21</v>
      </c>
      <c r="P35" s="5">
        <f t="shared" si="20"/>
        <v>-0.39575150169498419</v>
      </c>
      <c r="Q35" s="4">
        <f t="shared" si="21"/>
        <v>12</v>
      </c>
      <c r="R35" s="16">
        <f t="shared" si="22"/>
        <v>0.34614417893309579</v>
      </c>
      <c r="S35" s="30">
        <f t="shared" si="23"/>
        <v>5</v>
      </c>
      <c r="T35" s="6">
        <f t="shared" si="24"/>
        <v>220.33740490671951</v>
      </c>
      <c r="U35" s="4">
        <f t="shared" si="25"/>
        <v>15</v>
      </c>
      <c r="V35" s="4"/>
      <c r="X35" s="4"/>
      <c r="Y35" s="4"/>
    </row>
    <row r="36" spans="1:25" x14ac:dyDescent="0.3">
      <c r="A36" s="4">
        <v>34</v>
      </c>
      <c r="B36" s="4" t="s">
        <v>45</v>
      </c>
      <c r="C36" s="4">
        <v>1</v>
      </c>
      <c r="D36" s="4">
        <f t="array" ref="D36">MAX(IF(Sales!B:B=A36,Sales!C:C))</f>
        <v>25</v>
      </c>
      <c r="E36" s="4">
        <f>SUMIF(Sales!B:B,A36,Sales!E:E)</f>
        <v>970</v>
      </c>
      <c r="F36" s="6">
        <f t="shared" si="14"/>
        <v>7</v>
      </c>
      <c r="G36" s="4">
        <f>SUMIF(Sales!B:B,A36,Sales!D:D)</f>
        <v>98</v>
      </c>
      <c r="H36" s="4">
        <f t="shared" si="15"/>
        <v>7</v>
      </c>
      <c r="I36" s="4">
        <f>SUMIF(Prizes!B:B,A36,Prizes!D:D)</f>
        <v>3</v>
      </c>
      <c r="J36" s="4">
        <f t="shared" si="16"/>
        <v>10</v>
      </c>
      <c r="K36" s="5">
        <f>SUMIF(Sales!B:B,A36,Sales!F:F)</f>
        <v>4.3534509198949252</v>
      </c>
      <c r="L36" s="6">
        <f t="shared" si="17"/>
        <v>7</v>
      </c>
      <c r="M36" s="5">
        <f>SQRT(SUMIF(Sales!B:B,A36,Sales!G:G))</f>
        <v>1.9945743168446053</v>
      </c>
      <c r="N36" s="5">
        <f t="shared" si="18"/>
        <v>-1.3534509198949252</v>
      </c>
      <c r="O36" s="6">
        <f t="shared" si="19"/>
        <v>22</v>
      </c>
      <c r="P36" s="5">
        <f t="shared" si="20"/>
        <v>-0.67856630282699604</v>
      </c>
      <c r="Q36" s="4">
        <f t="shared" si="21"/>
        <v>17</v>
      </c>
      <c r="R36" s="16">
        <f t="shared" si="22"/>
        <v>0.24870634998260621</v>
      </c>
      <c r="S36" s="30">
        <f t="shared" si="23"/>
        <v>12</v>
      </c>
      <c r="T36" s="6">
        <f t="shared" si="24"/>
        <v>222.81174586514274</v>
      </c>
      <c r="U36" s="4">
        <f t="shared" si="25"/>
        <v>19</v>
      </c>
      <c r="V36" s="4"/>
      <c r="X36" s="4"/>
      <c r="Y36" s="4"/>
    </row>
    <row r="37" spans="1:25" x14ac:dyDescent="0.3">
      <c r="A37" s="4">
        <v>35</v>
      </c>
      <c r="B37" s="4" t="s">
        <v>46</v>
      </c>
      <c r="C37" s="4">
        <v>1</v>
      </c>
      <c r="D37" s="4">
        <f t="array" ref="D37">MAX(IF(Sales!B:B=A37,Sales!C:C))</f>
        <v>26</v>
      </c>
      <c r="E37" s="4">
        <f>SUMIF(Sales!B:B,A37,Sales!E:E)</f>
        <v>900</v>
      </c>
      <c r="F37" s="6">
        <f t="shared" si="14"/>
        <v>8</v>
      </c>
      <c r="G37" s="4">
        <f>SUMIF(Sales!B:B,A37,Sales!D:D)</f>
        <v>91</v>
      </c>
      <c r="H37" s="4">
        <f t="shared" si="15"/>
        <v>8</v>
      </c>
      <c r="I37" s="4">
        <f>SUMIF(Prizes!B:B,A37,Prizes!D:D)</f>
        <v>2</v>
      </c>
      <c r="J37" s="4">
        <f t="shared" si="16"/>
        <v>12</v>
      </c>
      <c r="K37" s="5">
        <f>SUMIF(Sales!B:B,A37,Sales!F:F)</f>
        <v>4.2733273926499367</v>
      </c>
      <c r="L37" s="6">
        <f t="shared" si="17"/>
        <v>8</v>
      </c>
      <c r="M37" s="5">
        <f>SQRT(SUMIF(Sales!B:B,A37,Sales!G:G))</f>
        <v>1.9755642946408676</v>
      </c>
      <c r="N37" s="5">
        <f t="shared" si="18"/>
        <v>-2.2733273926499367</v>
      </c>
      <c r="O37" s="6">
        <f t="shared" si="19"/>
        <v>25</v>
      </c>
      <c r="P37" s="5">
        <f t="shared" si="20"/>
        <v>-1.1507230611612156</v>
      </c>
      <c r="Q37" s="4">
        <f t="shared" si="21"/>
        <v>24</v>
      </c>
      <c r="R37" s="16">
        <f t="shared" si="22"/>
        <v>0.1249230930239314</v>
      </c>
      <c r="S37" s="30">
        <f t="shared" si="23"/>
        <v>21</v>
      </c>
      <c r="T37" s="6">
        <f t="shared" si="24"/>
        <v>210.6087171200567</v>
      </c>
      <c r="U37" s="4">
        <f t="shared" si="25"/>
        <v>9</v>
      </c>
      <c r="V37" s="4"/>
      <c r="X37" s="4"/>
      <c r="Y37" s="4"/>
    </row>
    <row r="38" spans="1:25" x14ac:dyDescent="0.3">
      <c r="A38" s="4">
        <v>36</v>
      </c>
      <c r="B38" s="4" t="s">
        <v>47</v>
      </c>
      <c r="C38" s="4">
        <v>0</v>
      </c>
      <c r="D38" s="4">
        <f t="array" ref="D38">MAX(IF(Sales!B:B=A38,Sales!C:C))</f>
        <v>25</v>
      </c>
      <c r="E38" s="4">
        <f>SUMIF(Sales!B:B,A38,Sales!E:E)</f>
        <v>550</v>
      </c>
      <c r="F38" s="6" t="str">
        <f t="shared" si="14"/>
        <v xml:space="preserve"> </v>
      </c>
      <c r="G38" s="4">
        <f>SUMIF(Sales!B:B,A38,Sales!D:D)</f>
        <v>56</v>
      </c>
      <c r="H38" s="4" t="str">
        <f t="shared" si="15"/>
        <v xml:space="preserve"> </v>
      </c>
      <c r="I38" s="4">
        <f>SUMIF(Prizes!B:B,A38,Prizes!D:D)</f>
        <v>3</v>
      </c>
      <c r="J38" s="4" t="str">
        <f t="shared" si="16"/>
        <v xml:space="preserve"> </v>
      </c>
      <c r="K38" s="5">
        <f>SUMIF(Sales!B:B,A38,Sales!F:F)</f>
        <v>2.4859439060394397</v>
      </c>
      <c r="L38" s="6" t="str">
        <f t="shared" si="17"/>
        <v xml:space="preserve"> </v>
      </c>
      <c r="M38" s="5">
        <f>SQRT(SUMIF(Sales!B:B,A38,Sales!G:G))</f>
        <v>1.5068099169263773</v>
      </c>
      <c r="N38" s="5">
        <f t="shared" si="18"/>
        <v>0.51405609396056029</v>
      </c>
      <c r="O38" s="6" t="str">
        <f t="shared" si="19"/>
        <v xml:space="preserve"> </v>
      </c>
      <c r="P38" s="5">
        <f t="shared" si="20"/>
        <v>0.34115523675948639</v>
      </c>
      <c r="Q38" s="4" t="str">
        <f t="shared" si="21"/>
        <v xml:space="preserve"> </v>
      </c>
      <c r="R38" s="16">
        <f t="shared" si="22"/>
        <v>0.36649335990656162</v>
      </c>
      <c r="S38" s="30" t="str">
        <f t="shared" si="23"/>
        <v xml:space="preserve"> </v>
      </c>
      <c r="T38" s="6">
        <f t="shared" si="24"/>
        <v>221.24393018837256</v>
      </c>
      <c r="U38" s="4" t="str">
        <f t="shared" si="25"/>
        <v xml:space="preserve"> </v>
      </c>
      <c r="V38" s="4"/>
      <c r="X38" s="4"/>
      <c r="Y38" s="4"/>
    </row>
    <row r="39" spans="1:25" x14ac:dyDescent="0.3">
      <c r="A39" s="4">
        <v>37</v>
      </c>
      <c r="B39" s="4" t="s">
        <v>79</v>
      </c>
      <c r="C39" s="4">
        <v>1</v>
      </c>
      <c r="D39" s="4">
        <f t="array" ref="D39">MAX(IF(Sales!B:B=A39,Sales!C:C))</f>
        <v>26</v>
      </c>
      <c r="E39" s="4">
        <f>SUMIF(Sales!B:B,A39,Sales!E:E)</f>
        <v>1900</v>
      </c>
      <c r="F39" s="6">
        <f t="shared" si="14"/>
        <v>3</v>
      </c>
      <c r="G39" s="4">
        <f>SUMIF(Sales!B:B,A39,Sales!D:D)</f>
        <v>191</v>
      </c>
      <c r="H39" s="4">
        <f t="shared" si="15"/>
        <v>3</v>
      </c>
      <c r="I39" s="4">
        <f>SUMIF(Prizes!B:B,A39,Prizes!D:D)</f>
        <v>5</v>
      </c>
      <c r="J39" s="4">
        <f t="shared" si="16"/>
        <v>5</v>
      </c>
      <c r="K39" s="5">
        <f>SUMIF(Sales!B:B,A39,Sales!F:F)</f>
        <v>8.6919842363072259</v>
      </c>
      <c r="L39" s="6">
        <f t="shared" si="17"/>
        <v>3</v>
      </c>
      <c r="M39" s="5">
        <f>SQRT(SUMIF(Sales!B:B,A39,Sales!G:G))</f>
        <v>2.7668537590423687</v>
      </c>
      <c r="N39" s="5">
        <f t="shared" si="18"/>
        <v>-3.6919842363072259</v>
      </c>
      <c r="O39" s="6">
        <f t="shared" si="19"/>
        <v>28</v>
      </c>
      <c r="P39" s="5">
        <f t="shared" si="20"/>
        <v>-1.3343618990492119</v>
      </c>
      <c r="Q39" s="4">
        <f t="shared" si="21"/>
        <v>25</v>
      </c>
      <c r="R39" s="16">
        <f t="shared" si="22"/>
        <v>9.1042640238874775E-2</v>
      </c>
      <c r="S39" s="30">
        <f t="shared" si="23"/>
        <v>23</v>
      </c>
      <c r="T39" s="6">
        <f t="shared" si="24"/>
        <v>218.59220499543974</v>
      </c>
      <c r="U39" s="4">
        <f t="shared" si="25"/>
        <v>12</v>
      </c>
      <c r="V39" s="4"/>
      <c r="X39" s="4"/>
      <c r="Y39" s="4"/>
    </row>
    <row r="40" spans="1:25" x14ac:dyDescent="0.3">
      <c r="A40" s="4">
        <v>38</v>
      </c>
      <c r="B40" s="4" t="s">
        <v>57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28" t="str">
        <f t="shared" si="14"/>
        <v xml:space="preserve"> </v>
      </c>
      <c r="G40" s="8">
        <f>SUMIF(Sales!B:B,A40,Sales!D:D)</f>
        <v>37</v>
      </c>
      <c r="H40" s="8" t="str">
        <f t="shared" si="15"/>
        <v xml:space="preserve"> </v>
      </c>
      <c r="I40" s="8">
        <f>SUMIF(Prizes!B:B,A40,Prizes!D:D)</f>
        <v>4</v>
      </c>
      <c r="J40" s="8" t="str">
        <f t="shared" si="16"/>
        <v xml:space="preserve"> </v>
      </c>
      <c r="K40" s="9">
        <f>SUMIF(Sales!B:B,A40,Sales!F:F)</f>
        <v>1.7654362892118982</v>
      </c>
      <c r="L40" s="28" t="str">
        <f t="shared" si="17"/>
        <v xml:space="preserve"> </v>
      </c>
      <c r="M40" s="9">
        <f>SQRT(SUMIF(Sales!B:B,A40,Sales!G:G))</f>
        <v>1.2439598119364987</v>
      </c>
      <c r="N40" s="9">
        <f t="shared" si="18"/>
        <v>2.2345637107881018</v>
      </c>
      <c r="O40" s="28" t="str">
        <f t="shared" si="19"/>
        <v xml:space="preserve"> </v>
      </c>
      <c r="P40" s="5">
        <f t="shared" si="20"/>
        <v>1.7963311108174056</v>
      </c>
      <c r="Q40" s="10" t="str">
        <f t="shared" si="21"/>
        <v xml:space="preserve"> </v>
      </c>
      <c r="R40" s="16">
        <f t="shared" si="22"/>
        <v>3.6220936405928716E-2</v>
      </c>
      <c r="S40" s="30" t="str">
        <f t="shared" si="23"/>
        <v xml:space="preserve"> </v>
      </c>
      <c r="T40" s="6">
        <f t="shared" si="24"/>
        <v>203.9155999000713</v>
      </c>
      <c r="U40" s="4" t="str">
        <f t="shared" si="25"/>
        <v xml:space="preserve"> </v>
      </c>
      <c r="V40" s="4"/>
      <c r="X40" s="4"/>
      <c r="Y40" s="4"/>
    </row>
    <row r="41" spans="1:25" x14ac:dyDescent="0.3">
      <c r="A41" s="4">
        <v>39</v>
      </c>
      <c r="B41" s="4" t="s">
        <v>76</v>
      </c>
      <c r="C41" s="4">
        <v>0</v>
      </c>
      <c r="D41" s="4">
        <f t="array" ref="D41">MAX(IF(Sales!B:B=A41,Sales!C:C))</f>
        <v>18</v>
      </c>
      <c r="E41" s="8">
        <f>SUMIF(Sales!B:B,A41,Sales!E:E)</f>
        <v>40</v>
      </c>
      <c r="F41" s="28" t="str">
        <f t="shared" si="14"/>
        <v xml:space="preserve"> </v>
      </c>
      <c r="G41" s="8">
        <f>SUMIF(Sales!B:B,A41,Sales!D:D)</f>
        <v>5</v>
      </c>
      <c r="H41" s="8" t="str">
        <f t="shared" si="15"/>
        <v xml:space="preserve"> </v>
      </c>
      <c r="I41" s="8">
        <f>SUMIF(Prizes!B:B,A41,Prizes!D:D)</f>
        <v>0</v>
      </c>
      <c r="J41" s="8" t="str">
        <f t="shared" si="16"/>
        <v xml:space="preserve"> </v>
      </c>
      <c r="K41" s="9">
        <f>SUMIF(Sales!B:B,A41,Sales!F:F)</f>
        <v>0.44943930749557348</v>
      </c>
      <c r="L41" s="28" t="str">
        <f t="shared" si="17"/>
        <v xml:space="preserve"> </v>
      </c>
      <c r="M41" s="9">
        <f>SQRT(SUMIF(Sales!B:B,A41,Sales!G:G))</f>
        <v>0.61791657214945761</v>
      </c>
      <c r="N41" s="9">
        <f t="shared" si="18"/>
        <v>-0.44943930749557348</v>
      </c>
      <c r="O41" s="28" t="str">
        <f t="shared" si="19"/>
        <v xml:space="preserve"> </v>
      </c>
      <c r="P41" s="5">
        <f t="shared" si="20"/>
        <v>-0.72734625959645904</v>
      </c>
      <c r="Q41" s="10" t="str">
        <f t="shared" si="21"/>
        <v xml:space="preserve"> </v>
      </c>
      <c r="R41" s="16">
        <f t="shared" si="22"/>
        <v>0.23350693326254907</v>
      </c>
      <c r="S41" s="30" t="str">
        <f t="shared" si="23"/>
        <v xml:space="preserve"> </v>
      </c>
      <c r="T41" s="6">
        <f t="shared" si="24"/>
        <v>88.999781133727296</v>
      </c>
      <c r="U41" s="4" t="str">
        <f t="shared" si="25"/>
        <v xml:space="preserve"> </v>
      </c>
      <c r="V41" s="4"/>
      <c r="X41" s="4"/>
      <c r="Y41" s="4"/>
    </row>
    <row r="42" spans="1:25" x14ac:dyDescent="0.3">
      <c r="A42" s="4">
        <v>40</v>
      </c>
      <c r="B42" s="4" t="s">
        <v>77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28" t="str">
        <f t="shared" si="14"/>
        <v xml:space="preserve"> </v>
      </c>
      <c r="G42" s="8">
        <f>SUMIF(Sales!B:B,A42,Sales!D:D)</f>
        <v>1</v>
      </c>
      <c r="H42" s="8" t="str">
        <f t="shared" si="15"/>
        <v xml:space="preserve"> </v>
      </c>
      <c r="I42" s="8">
        <f>SUMIF(Prizes!B:B,A42,Prizes!D:D)</f>
        <v>0</v>
      </c>
      <c r="J42" s="8" t="str">
        <f t="shared" si="16"/>
        <v xml:space="preserve"> </v>
      </c>
      <c r="K42" s="9">
        <f>SUMIF(Sales!B:B,A42,Sales!F:F)</f>
        <v>0.23076923076923078</v>
      </c>
      <c r="L42" s="28" t="str">
        <f t="shared" si="17"/>
        <v xml:space="preserve"> </v>
      </c>
      <c r="M42" s="9">
        <f>SQRT(SUMIF(Sales!B:B,A42,Sales!G:G))</f>
        <v>0.42132504423474315</v>
      </c>
      <c r="N42" s="9">
        <f t="shared" si="18"/>
        <v>-0.23076923076923078</v>
      </c>
      <c r="O42" s="28" t="str">
        <f t="shared" si="19"/>
        <v xml:space="preserve"> </v>
      </c>
      <c r="P42" s="5">
        <f t="shared" si="20"/>
        <v>-0.54772255750516619</v>
      </c>
      <c r="Q42" s="10" t="str">
        <f t="shared" si="21"/>
        <v xml:space="preserve"> </v>
      </c>
      <c r="R42" s="16">
        <f t="shared" si="22"/>
        <v>0.2919412103851825</v>
      </c>
      <c r="S42" s="30" t="str">
        <f t="shared" si="23"/>
        <v xml:space="preserve"> </v>
      </c>
      <c r="T42" s="6">
        <f t="shared" si="24"/>
        <v>0</v>
      </c>
      <c r="U42" s="4" t="str">
        <f t="shared" si="25"/>
        <v xml:space="preserve"> </v>
      </c>
      <c r="V42" s="4"/>
      <c r="X42" s="4"/>
      <c r="Y42" s="4"/>
    </row>
    <row r="43" spans="1:25" x14ac:dyDescent="0.3">
      <c r="A43" s="4">
        <v>41</v>
      </c>
      <c r="B43" s="4" t="s">
        <v>78</v>
      </c>
      <c r="C43" s="4">
        <v>1</v>
      </c>
      <c r="D43" s="4">
        <f t="array" ref="D43">MAX(IF(Sales!B:B=A43,Sales!C:C))</f>
        <v>26</v>
      </c>
      <c r="E43" s="8">
        <f>SUMIF(Sales!B:B,A43,Sales!E:E)</f>
        <v>830</v>
      </c>
      <c r="F43" s="28">
        <f t="shared" si="14"/>
        <v>10</v>
      </c>
      <c r="G43" s="8">
        <f>SUMIF(Sales!B:B,A43,Sales!D:D)</f>
        <v>83</v>
      </c>
      <c r="H43" s="10">
        <f t="shared" si="15"/>
        <v>10</v>
      </c>
      <c r="I43" s="8">
        <f>SUMIF(Prizes!B:B,A43,Prizes!D:D)</f>
        <v>5</v>
      </c>
      <c r="J43" s="10">
        <f t="shared" si="16"/>
        <v>5</v>
      </c>
      <c r="K43" s="9">
        <f>SUMIF(Sales!B:B,A43,Sales!F:F)</f>
        <v>3.7348151257839586</v>
      </c>
      <c r="L43" s="28">
        <f t="shared" si="17"/>
        <v>9</v>
      </c>
      <c r="M43" s="9">
        <f>SQRT(SUMIF(Sales!B:B,A43,Sales!G:G))</f>
        <v>1.8441719152196041</v>
      </c>
      <c r="N43" s="9">
        <f t="shared" si="18"/>
        <v>1.2651848742160414</v>
      </c>
      <c r="O43" s="28">
        <f t="shared" si="19"/>
        <v>4</v>
      </c>
      <c r="P43" s="5">
        <f t="shared" si="20"/>
        <v>0.68604497431866762</v>
      </c>
      <c r="Q43" s="10">
        <f t="shared" si="21"/>
        <v>5</v>
      </c>
      <c r="R43" s="16">
        <f t="shared" si="22"/>
        <v>0.24634237410081439</v>
      </c>
      <c r="S43" s="30">
        <f t="shared" si="23"/>
        <v>13</v>
      </c>
      <c r="T43" s="6">
        <f t="shared" si="24"/>
        <v>222.23322227382764</v>
      </c>
      <c r="U43" s="10">
        <f t="shared" si="25"/>
        <v>18</v>
      </c>
      <c r="V43" s="4"/>
      <c r="X43" s="4"/>
      <c r="Y43" s="4"/>
    </row>
    <row r="44" spans="1:25" x14ac:dyDescent="0.3">
      <c r="A44" s="4">
        <v>42</v>
      </c>
      <c r="B44" s="4" t="s">
        <v>80</v>
      </c>
      <c r="C44" s="4">
        <v>0</v>
      </c>
      <c r="D44" s="4">
        <f t="array" ref="D44">MAX(IF(Sales!B:B=A44,Sales!C:C))</f>
        <v>19</v>
      </c>
      <c r="E44" s="8">
        <f>SUMIF(Sales!B:B,A44,Sales!E:E)</f>
        <v>180</v>
      </c>
      <c r="F44" s="28" t="str">
        <f t="shared" si="14"/>
        <v xml:space="preserve"> </v>
      </c>
      <c r="G44" s="8">
        <f>SUMIF(Sales!B:B,A44,Sales!D:D)</f>
        <v>18</v>
      </c>
      <c r="H44" s="8" t="str">
        <f t="shared" si="15"/>
        <v xml:space="preserve"> </v>
      </c>
      <c r="I44" s="8">
        <f>SUMIF(Prizes!B:B,A44,Prizes!D:D)</f>
        <v>1</v>
      </c>
      <c r="J44" s="8" t="str">
        <f t="shared" si="16"/>
        <v xml:space="preserve"> </v>
      </c>
      <c r="K44" s="9">
        <f>SUMIF(Sales!B:B,A44,Sales!F:F)</f>
        <v>0.77946480083496894</v>
      </c>
      <c r="L44" s="28" t="str">
        <f t="shared" si="17"/>
        <v xml:space="preserve"> </v>
      </c>
      <c r="M44" s="9">
        <f>SQRT(SUMIF(Sales!B:B,A44,Sales!G:G))</f>
        <v>0.85313059319831075</v>
      </c>
      <c r="N44" s="9">
        <f t="shared" si="18"/>
        <v>0.22053519916503106</v>
      </c>
      <c r="O44" s="28" t="str">
        <f t="shared" si="19"/>
        <v xml:space="preserve"> </v>
      </c>
      <c r="P44" s="5">
        <f t="shared" si="20"/>
        <v>0.2585011027892743</v>
      </c>
      <c r="Q44" s="10" t="str">
        <f t="shared" si="21"/>
        <v xml:space="preserve"> </v>
      </c>
      <c r="R44" s="16">
        <f t="shared" si="22"/>
        <v>0.39801009896921591</v>
      </c>
      <c r="S44" s="30" t="str">
        <f t="shared" si="23"/>
        <v xml:space="preserve"> </v>
      </c>
      <c r="T44" s="6">
        <f t="shared" si="24"/>
        <v>230.92768243951818</v>
      </c>
      <c r="U44" s="4" t="str">
        <f t="shared" si="25"/>
        <v xml:space="preserve"> </v>
      </c>
      <c r="V44" s="4"/>
      <c r="X44" s="4"/>
      <c r="Y44" s="4"/>
    </row>
    <row r="45" spans="1:25" x14ac:dyDescent="0.3">
      <c r="A45" s="4">
        <v>43</v>
      </c>
      <c r="B45" s="4" t="s">
        <v>81</v>
      </c>
      <c r="C45" s="4">
        <v>1</v>
      </c>
      <c r="D45" s="4">
        <f t="array" ref="D45">MAX(IF(Sales!B:B=A45,Sales!C:C))</f>
        <v>24</v>
      </c>
      <c r="E45" s="8">
        <f>SUMIF(Sales!B:B,A45,Sales!E:E)</f>
        <v>400</v>
      </c>
      <c r="F45" s="28">
        <f t="shared" si="14"/>
        <v>18</v>
      </c>
      <c r="G45" s="8">
        <f>SUMIF(Sales!B:B,A45,Sales!D:D)</f>
        <v>40</v>
      </c>
      <c r="H45" s="8">
        <f t="shared" si="15"/>
        <v>17</v>
      </c>
      <c r="I45" s="8">
        <f>SUMIF(Prizes!B:B,A45,Prizes!D:D)</f>
        <v>2</v>
      </c>
      <c r="J45" s="8">
        <f t="shared" si="16"/>
        <v>12</v>
      </c>
      <c r="K45" s="9">
        <f>SUMIF(Sales!B:B,A45,Sales!F:F)</f>
        <v>1.8831597127192798</v>
      </c>
      <c r="L45" s="28">
        <f t="shared" si="17"/>
        <v>17</v>
      </c>
      <c r="M45" s="9">
        <f>SQRT(SUMIF(Sales!B:B,A45,Sales!G:G))</f>
        <v>1.3182076076476805</v>
      </c>
      <c r="N45" s="9">
        <f t="shared" si="18"/>
        <v>0.11684028728072016</v>
      </c>
      <c r="O45" s="28">
        <f t="shared" si="19"/>
        <v>10</v>
      </c>
      <c r="P45" s="5">
        <f t="shared" si="20"/>
        <v>8.863572520964258E-2</v>
      </c>
      <c r="Q45" s="10">
        <f t="shared" si="21"/>
        <v>11</v>
      </c>
      <c r="R45" s="16">
        <f t="shared" si="22"/>
        <v>0.4646857075994808</v>
      </c>
      <c r="S45" s="30">
        <f t="shared" si="23"/>
        <v>1</v>
      </c>
      <c r="T45" s="6">
        <f t="shared" si="24"/>
        <v>212.40896207491642</v>
      </c>
      <c r="U45" s="4">
        <f t="shared" si="25"/>
        <v>10</v>
      </c>
      <c r="V45" s="4"/>
      <c r="X45" s="4"/>
      <c r="Y45" s="4"/>
    </row>
    <row r="46" spans="1:25" x14ac:dyDescent="0.3">
      <c r="A46" s="4">
        <v>44</v>
      </c>
      <c r="B46" s="4" t="s">
        <v>82</v>
      </c>
      <c r="C46" s="4">
        <v>1</v>
      </c>
      <c r="D46" s="4">
        <f t="array" ref="D46">MAX(IF(Sales!B:B=A46,Sales!C:C))</f>
        <v>25</v>
      </c>
      <c r="E46" s="8">
        <f>SUMIF(Sales!B:B,A46,Sales!E:E)</f>
        <v>650</v>
      </c>
      <c r="F46" s="28">
        <f t="shared" si="14"/>
        <v>12</v>
      </c>
      <c r="G46" s="8">
        <f>SUMIF(Sales!B:B,A46,Sales!D:D)</f>
        <v>65</v>
      </c>
      <c r="H46" s="8">
        <f t="shared" si="15"/>
        <v>11</v>
      </c>
      <c r="I46" s="8">
        <f>SUMIF(Prizes!B:B,A46,Prizes!D:D)</f>
        <v>4</v>
      </c>
      <c r="J46" s="8">
        <f t="shared" si="16"/>
        <v>7</v>
      </c>
      <c r="K46" s="9">
        <f>SUMIF(Sales!B:B,A46,Sales!F:F)</f>
        <v>3.0956886063894959</v>
      </c>
      <c r="L46" s="28">
        <f t="shared" si="17"/>
        <v>11</v>
      </c>
      <c r="M46" s="9">
        <f>SQRT(SUMIF(Sales!B:B,A46,Sales!G:G))</f>
        <v>1.6717224598960152</v>
      </c>
      <c r="N46" s="9">
        <f t="shared" si="18"/>
        <v>0.90431139361050406</v>
      </c>
      <c r="O46" s="28">
        <f t="shared" si="19"/>
        <v>6</v>
      </c>
      <c r="P46" s="5">
        <f t="shared" si="20"/>
        <v>0.54094588982596681</v>
      </c>
      <c r="Q46" s="10">
        <f t="shared" si="21"/>
        <v>7</v>
      </c>
      <c r="R46" s="16">
        <f t="shared" si="22"/>
        <v>0.29427243970880734</v>
      </c>
      <c r="S46" s="30">
        <f t="shared" si="23"/>
        <v>7</v>
      </c>
      <c r="T46" s="6">
        <f t="shared" si="24"/>
        <v>209.96943899925887</v>
      </c>
      <c r="U46" s="4">
        <f t="shared" si="25"/>
        <v>8</v>
      </c>
      <c r="V46" s="4"/>
      <c r="X46" s="4"/>
      <c r="Y46" s="4"/>
    </row>
    <row r="47" spans="1:25" x14ac:dyDescent="0.3">
      <c r="A47" s="4">
        <v>45</v>
      </c>
      <c r="B47" s="4" t="s">
        <v>96</v>
      </c>
      <c r="C47" s="4">
        <v>1</v>
      </c>
      <c r="D47" s="4">
        <f t="array" ref="D47">MAX(IF(Sales!B:B=A47,Sales!C:C))</f>
        <v>26</v>
      </c>
      <c r="E47" s="10">
        <f>SUMIF(Sales!B:B,A47,Sales!E:E)</f>
        <v>450</v>
      </c>
      <c r="F47" s="6">
        <f t="shared" si="14"/>
        <v>16</v>
      </c>
      <c r="G47" s="10">
        <f>SUMIF(Sales!B:B,A47,Sales!D:D)</f>
        <v>45</v>
      </c>
      <c r="H47" s="10">
        <f t="shared" si="15"/>
        <v>16</v>
      </c>
      <c r="I47" s="10">
        <f>SUMIF(Prizes!B:B,A47,Prizes!D:D)</f>
        <v>0</v>
      </c>
      <c r="J47" s="10">
        <f t="shared" si="16"/>
        <v>21</v>
      </c>
      <c r="K47" s="5">
        <f>SUMIF(Sales!B:B,A47,Sales!F:F)</f>
        <v>2.0572677415738649</v>
      </c>
      <c r="L47" s="6">
        <f t="shared" si="17"/>
        <v>15</v>
      </c>
      <c r="M47" s="5">
        <f>SQRT(SUMIF(Sales!B:B,A47,Sales!G:G))</f>
        <v>1.3637938598831609</v>
      </c>
      <c r="N47" s="5">
        <f t="shared" si="18"/>
        <v>-2.0572677415738649</v>
      </c>
      <c r="O47" s="6">
        <f t="shared" si="19"/>
        <v>24</v>
      </c>
      <c r="P47" s="5">
        <f t="shared" si="20"/>
        <v>-1.5084887841848147</v>
      </c>
      <c r="Q47" s="10">
        <f t="shared" si="21"/>
        <v>28</v>
      </c>
      <c r="R47" s="16">
        <f t="shared" si="22"/>
        <v>6.5714737540230952E-2</v>
      </c>
      <c r="S47" s="30">
        <f t="shared" si="23"/>
        <v>26</v>
      </c>
      <c r="T47" s="6">
        <f t="shared" si="24"/>
        <v>218.73672099468101</v>
      </c>
      <c r="U47" s="10">
        <f t="shared" si="25"/>
        <v>13</v>
      </c>
      <c r="X47" s="4"/>
      <c r="Y47" s="4"/>
    </row>
    <row r="48" spans="1:25" x14ac:dyDescent="0.3">
      <c r="A48" s="4">
        <v>46</v>
      </c>
      <c r="B48" s="4" t="s">
        <v>97</v>
      </c>
      <c r="C48" s="4">
        <v>1</v>
      </c>
      <c r="D48" s="4">
        <f t="array" ref="D48">MAX(IF(Sales!B:B=A48,Sales!C:C))</f>
        <v>26</v>
      </c>
      <c r="E48" s="10">
        <f>SUMIF(Sales!B:B,A48,Sales!E:E)</f>
        <v>510</v>
      </c>
      <c r="F48" s="6">
        <f t="shared" si="14"/>
        <v>14</v>
      </c>
      <c r="G48" s="10">
        <f>SUMIF(Sales!B:B,A48,Sales!D:D)</f>
        <v>51</v>
      </c>
      <c r="H48" s="10">
        <f t="shared" si="15"/>
        <v>13</v>
      </c>
      <c r="I48" s="10">
        <f>SUMIF(Prizes!B:B,A48,Prizes!D:D)</f>
        <v>4</v>
      </c>
      <c r="J48" s="10">
        <f t="shared" si="16"/>
        <v>7</v>
      </c>
      <c r="K48" s="5">
        <f>SUMIF(Sales!B:B,A48,Sales!F:F)</f>
        <v>2.3081446454502519</v>
      </c>
      <c r="L48" s="6">
        <f t="shared" si="17"/>
        <v>13</v>
      </c>
      <c r="M48" s="5">
        <f>SQRT(SUMIF(Sales!B:B,A48,Sales!G:G))</f>
        <v>1.4525331112498971</v>
      </c>
      <c r="N48" s="5">
        <f t="shared" si="18"/>
        <v>1.6918553545497481</v>
      </c>
      <c r="O48" s="6">
        <f t="shared" si="19"/>
        <v>3</v>
      </c>
      <c r="P48" s="5">
        <f t="shared" si="20"/>
        <v>1.1647619881752063</v>
      </c>
      <c r="Q48" s="10">
        <f t="shared" si="21"/>
        <v>3</v>
      </c>
      <c r="R48" s="16">
        <f t="shared" si="22"/>
        <v>0.12205767468285544</v>
      </c>
      <c r="S48" s="30">
        <f t="shared" si="23"/>
        <v>22</v>
      </c>
      <c r="T48" s="6">
        <f t="shared" si="24"/>
        <v>220.95668961011489</v>
      </c>
      <c r="U48" s="10">
        <f t="shared" si="25"/>
        <v>17</v>
      </c>
      <c r="X48" s="4"/>
      <c r="Y48" s="4"/>
    </row>
    <row r="49" spans="1:25" x14ac:dyDescent="0.3">
      <c r="A49" s="4">
        <v>47</v>
      </c>
      <c r="B49" s="4" t="s">
        <v>7</v>
      </c>
      <c r="C49" s="4">
        <v>1</v>
      </c>
      <c r="D49" s="4">
        <f t="array" ref="D49">MAX(IF(Sales!B:B=A49,Sales!C:C))</f>
        <v>25</v>
      </c>
      <c r="E49" s="26">
        <f>SUMIF(Sales!B:B,A49,Sales!E:E)</f>
        <v>500</v>
      </c>
      <c r="F49" s="29">
        <f t="shared" si="14"/>
        <v>15</v>
      </c>
      <c r="G49" s="26">
        <f>SUMIF(Sales!B:B,A49,Sales!D:D)</f>
        <v>50</v>
      </c>
      <c r="H49" s="26">
        <f t="shared" si="15"/>
        <v>14</v>
      </c>
      <c r="I49" s="26">
        <f>SUMIF(Prizes!B:B,A49,Prizes!D:D)</f>
        <v>0</v>
      </c>
      <c r="J49" s="26">
        <f t="shared" si="16"/>
        <v>21</v>
      </c>
      <c r="K49" s="27">
        <f>SUMIF(Sales!B:B,A49,Sales!F:F)</f>
        <v>1.975786479492849</v>
      </c>
      <c r="L49" s="29">
        <f t="shared" si="17"/>
        <v>16</v>
      </c>
      <c r="M49" s="27">
        <f>SQRT(SUMIF(Sales!B:B,A49,Sales!G:G))</f>
        <v>1.3349814050118445</v>
      </c>
      <c r="N49" s="27">
        <f t="shared" si="18"/>
        <v>-1.975786479492849</v>
      </c>
      <c r="O49" s="29">
        <f t="shared" si="19"/>
        <v>23</v>
      </c>
      <c r="P49" s="5">
        <f t="shared" si="20"/>
        <v>-1.4800104870938775</v>
      </c>
      <c r="Q49" s="10">
        <f t="shared" si="21"/>
        <v>27</v>
      </c>
      <c r="R49" s="16">
        <f t="shared" si="22"/>
        <v>6.9435223995632137E-2</v>
      </c>
      <c r="S49" s="30">
        <f t="shared" si="23"/>
        <v>25</v>
      </c>
      <c r="T49" s="6">
        <f t="shared" si="24"/>
        <v>253.06378254412468</v>
      </c>
      <c r="U49" s="10">
        <f t="shared" si="25"/>
        <v>28</v>
      </c>
      <c r="X49" s="4"/>
      <c r="Y49" s="4"/>
    </row>
    <row r="50" spans="1:25" x14ac:dyDescent="0.3">
      <c r="A50" s="4">
        <v>48</v>
      </c>
      <c r="B50" s="4" t="s">
        <v>100</v>
      </c>
      <c r="C50" s="4">
        <v>0</v>
      </c>
      <c r="D50" s="4">
        <f t="array" ref="D50">MAX(IF(Sales!B:B=A50,Sales!C:C))</f>
        <v>26</v>
      </c>
      <c r="E50" s="26">
        <f>SUMIF(Sales!B:B,A50,Sales!E:E)</f>
        <v>440</v>
      </c>
      <c r="F50" s="29" t="str">
        <f t="shared" si="14"/>
        <v xml:space="preserve"> </v>
      </c>
      <c r="G50" s="26">
        <f>SUMIF(Sales!B:B,A50,Sales!D:D)</f>
        <v>44</v>
      </c>
      <c r="H50" s="26" t="str">
        <f t="shared" si="15"/>
        <v xml:space="preserve"> </v>
      </c>
      <c r="I50" s="26">
        <f>SUMIF(Prizes!B:B,A50,Prizes!D:D)</f>
        <v>4</v>
      </c>
      <c r="J50" s="26" t="str">
        <f t="shared" si="16"/>
        <v xml:space="preserve"> </v>
      </c>
      <c r="K50" s="27">
        <f>SUMIF(Sales!B:B,A50,Sales!F:F)</f>
        <v>1.9389412396668024</v>
      </c>
      <c r="L50" s="29" t="str">
        <f t="shared" si="17"/>
        <v xml:space="preserve"> </v>
      </c>
      <c r="M50" s="27">
        <f>SQRT(SUMIF(Sales!B:B,A50,Sales!G:G))</f>
        <v>1.3274025411749653</v>
      </c>
      <c r="N50" s="27">
        <f t="shared" si="18"/>
        <v>2.0610587603331973</v>
      </c>
      <c r="O50" s="29" t="str">
        <f t="shared" si="19"/>
        <v xml:space="preserve"> </v>
      </c>
      <c r="P50" s="5">
        <f t="shared" si="20"/>
        <v>1.5527006287850165</v>
      </c>
      <c r="Q50" s="10" t="str">
        <f t="shared" si="21"/>
        <v xml:space="preserve"> </v>
      </c>
      <c r="R50" s="16">
        <f t="shared" si="22"/>
        <v>6.024733602422272E-2</v>
      </c>
      <c r="S50" s="30" t="str">
        <f t="shared" si="23"/>
        <v xml:space="preserve"> </v>
      </c>
      <c r="T50" s="6">
        <f t="shared" si="24"/>
        <v>226.92797027495885</v>
      </c>
      <c r="U50" s="10" t="str">
        <f t="shared" si="25"/>
        <v xml:space="preserve"> </v>
      </c>
      <c r="X50" s="4"/>
      <c r="Y50" s="4"/>
    </row>
    <row r="51" spans="1:25" x14ac:dyDescent="0.3">
      <c r="A51" s="4">
        <v>49</v>
      </c>
      <c r="B51" s="4" t="s">
        <v>101</v>
      </c>
      <c r="C51" s="4">
        <v>0</v>
      </c>
      <c r="D51" s="4">
        <f t="array" ref="D51">MAX(IF(Sales!B:B=A51,Sales!C:C))</f>
        <v>17</v>
      </c>
      <c r="E51" s="26">
        <f>SUMIF(Sales!B:B,A51,Sales!E:E)</f>
        <v>10</v>
      </c>
      <c r="F51" s="29" t="str">
        <f t="shared" si="14"/>
        <v xml:space="preserve"> </v>
      </c>
      <c r="G51" s="26">
        <f>SUMIF(Sales!B:B,A51,Sales!D:D)</f>
        <v>1</v>
      </c>
      <c r="H51" s="26" t="str">
        <f t="shared" si="15"/>
        <v xml:space="preserve"> </v>
      </c>
      <c r="I51" s="26">
        <f>SUMIF(Prizes!B:B,A51,Prizes!D:D)</f>
        <v>0</v>
      </c>
      <c r="J51" s="26" t="str">
        <f t="shared" si="16"/>
        <v xml:space="preserve"> </v>
      </c>
      <c r="K51" s="27">
        <f>SUMIF(Sales!B:B,A51,Sales!F:F)</f>
        <v>4.046242774566474E-2</v>
      </c>
      <c r="L51" s="29" t="str">
        <f t="shared" si="17"/>
        <v xml:space="preserve"> </v>
      </c>
      <c r="M51" s="27">
        <f>SQRT(SUMIF(Sales!B:B,A51,Sales!G:G))</f>
        <v>0.19704116241687067</v>
      </c>
      <c r="N51" s="27">
        <f t="shared" si="18"/>
        <v>-4.046242774566474E-2</v>
      </c>
      <c r="O51" s="29" t="str">
        <f t="shared" si="19"/>
        <v xml:space="preserve"> </v>
      </c>
      <c r="P51" s="5">
        <f t="shared" si="20"/>
        <v>-0.20535012709710013</v>
      </c>
      <c r="Q51" s="10" t="str">
        <f t="shared" si="21"/>
        <v xml:space="preserve"> </v>
      </c>
      <c r="R51" s="16">
        <f t="shared" si="22"/>
        <v>0.41864929133648948</v>
      </c>
      <c r="S51" s="30" t="str">
        <f t="shared" si="23"/>
        <v xml:space="preserve"> </v>
      </c>
      <c r="T51" s="6">
        <f t="shared" si="24"/>
        <v>247.14285714285714</v>
      </c>
      <c r="U51" s="10" t="str">
        <f t="shared" si="25"/>
        <v xml:space="preserve"> </v>
      </c>
      <c r="X51" s="4"/>
      <c r="Y51" s="4"/>
    </row>
    <row r="52" spans="1:25" x14ac:dyDescent="0.3">
      <c r="A52" s="4">
        <v>50</v>
      </c>
      <c r="B52" s="4" t="s">
        <v>122</v>
      </c>
      <c r="C52" s="4">
        <v>0</v>
      </c>
      <c r="D52" s="26">
        <f t="array" ref="D52">MAX(IF(Sales!B:B=A52,Sales!C:C))</f>
        <v>22</v>
      </c>
      <c r="E52" s="26">
        <f>SUMIF(Sales!B:B,A52,Sales!E:E)</f>
        <v>130</v>
      </c>
      <c r="F52" s="29" t="str">
        <f t="shared" si="14"/>
        <v xml:space="preserve"> </v>
      </c>
      <c r="G52" s="26">
        <f>SUMIF(Sales!B:B,A52,Sales!D:D)</f>
        <v>13</v>
      </c>
      <c r="H52" s="26" t="str">
        <f t="shared" si="15"/>
        <v xml:space="preserve"> </v>
      </c>
      <c r="I52" s="26">
        <f>SUMIF(Prizes!B:B,A52,Prizes!D:D)</f>
        <v>0</v>
      </c>
      <c r="J52" s="26" t="str">
        <f t="shared" si="16"/>
        <v xml:space="preserve"> </v>
      </c>
      <c r="K52" s="27">
        <f>SUMIF(Sales!B:B,A52,Sales!F:F)</f>
        <v>0.59117647058823541</v>
      </c>
      <c r="L52" s="29" t="str">
        <f t="shared" si="17"/>
        <v xml:space="preserve"> </v>
      </c>
      <c r="M52" s="27">
        <f>SQRT(SUMIF(Sales!B:B,A52,Sales!G:G))</f>
        <v>0.73055024326446005</v>
      </c>
      <c r="N52" s="27">
        <f t="shared" si="18"/>
        <v>-0.59117647058823541</v>
      </c>
      <c r="O52" s="29" t="str">
        <f t="shared" si="19"/>
        <v xml:space="preserve"> </v>
      </c>
      <c r="P52" s="27">
        <f t="shared" si="20"/>
        <v>-0.80922082504081627</v>
      </c>
      <c r="Q52" s="10" t="str">
        <f t="shared" si="21"/>
        <v xml:space="preserve"> </v>
      </c>
      <c r="R52" s="16">
        <f t="shared" si="22"/>
        <v>0.2091940691709436</v>
      </c>
      <c r="S52" s="41" t="str">
        <f t="shared" si="23"/>
        <v xml:space="preserve"> </v>
      </c>
      <c r="T52" s="6">
        <f t="shared" si="24"/>
        <v>219.90049751243777</v>
      </c>
      <c r="U52" s="10" t="str">
        <f t="shared" si="25"/>
        <v xml:space="preserve"> </v>
      </c>
    </row>
    <row r="53" spans="1:25" x14ac:dyDescent="0.3">
      <c r="A53" s="4">
        <v>51</v>
      </c>
      <c r="B53" s="4" t="s">
        <v>125</v>
      </c>
      <c r="C53" s="4">
        <v>0</v>
      </c>
      <c r="D53" s="26">
        <f t="array" ref="D53">MAX(IF(Sales!B:B=A53,Sales!C:C))</f>
        <v>22</v>
      </c>
      <c r="E53" s="26">
        <f>SUMIF(Sales!B:B,A53,Sales!E:E)</f>
        <v>170</v>
      </c>
      <c r="F53" s="29" t="str">
        <f t="shared" si="14"/>
        <v xml:space="preserve"> </v>
      </c>
      <c r="G53" s="26">
        <f>SUMIF(Sales!B:B,A53,Sales!D:D)</f>
        <v>17</v>
      </c>
      <c r="H53" s="26" t="str">
        <f t="shared" si="15"/>
        <v xml:space="preserve"> </v>
      </c>
      <c r="I53" s="26">
        <f>SUMIF(Prizes!B:B,A53,Prizes!D:D)</f>
        <v>0</v>
      </c>
      <c r="J53" s="26" t="str">
        <f t="shared" si="16"/>
        <v xml:space="preserve"> </v>
      </c>
      <c r="K53" s="27">
        <f>SUMIF(Sales!B:B,A53,Sales!F:F)</f>
        <v>0.68572660008786301</v>
      </c>
      <c r="L53" s="29" t="str">
        <f t="shared" si="17"/>
        <v xml:space="preserve"> </v>
      </c>
      <c r="M53" s="27">
        <f>SQRT(SUMIF(Sales!B:B,A53,Sales!G:G))</f>
        <v>0.80007672906497651</v>
      </c>
      <c r="N53" s="27">
        <f t="shared" si="18"/>
        <v>-0.68572660008786301</v>
      </c>
      <c r="O53" s="29" t="str">
        <f t="shared" si="19"/>
        <v xml:space="preserve"> </v>
      </c>
      <c r="P53" s="27">
        <f t="shared" si="20"/>
        <v>-0.85707604680522231</v>
      </c>
      <c r="Q53" s="10" t="str">
        <f t="shared" si="21"/>
        <v xml:space="preserve"> </v>
      </c>
      <c r="R53" s="16">
        <f t="shared" si="22"/>
        <v>0.19570142905695206</v>
      </c>
      <c r="S53" s="41" t="str">
        <f t="shared" si="23"/>
        <v xml:space="preserve"> </v>
      </c>
      <c r="T53" s="6">
        <f t="shared" si="24"/>
        <v>247.9122145447146</v>
      </c>
      <c r="U53" s="10" t="str">
        <f t="shared" si="25"/>
        <v xml:space="preserve"> </v>
      </c>
    </row>
    <row r="54" spans="1:25" x14ac:dyDescent="0.3">
      <c r="A54" s="4">
        <v>52</v>
      </c>
      <c r="B54" s="4" t="s">
        <v>126</v>
      </c>
      <c r="C54" s="4">
        <v>0</v>
      </c>
      <c r="D54" s="26">
        <f t="array" ref="D54">MAX(IF(Sales!B:B=A54,Sales!C:C))</f>
        <v>25</v>
      </c>
      <c r="E54" s="26">
        <f>SUMIF(Sales!B:B,A54,Sales!E:E)</f>
        <v>1460</v>
      </c>
      <c r="F54" s="29" t="str">
        <f t="shared" si="14"/>
        <v xml:space="preserve"> </v>
      </c>
      <c r="G54" s="26">
        <f>SUMIF(Sales!B:B,A54,Sales!D:D)</f>
        <v>146</v>
      </c>
      <c r="H54" s="26" t="str">
        <f t="shared" si="15"/>
        <v xml:space="preserve"> </v>
      </c>
      <c r="I54" s="26">
        <f>SUMIF(Prizes!B:B,A54,Prizes!D:D)</f>
        <v>6</v>
      </c>
      <c r="J54" s="26" t="str">
        <f t="shared" si="16"/>
        <v xml:space="preserve"> </v>
      </c>
      <c r="K54" s="27">
        <f>SUMIF(Sales!B:B,A54,Sales!F:F)</f>
        <v>5.1080759694107609</v>
      </c>
      <c r="L54" s="29" t="str">
        <f t="shared" si="17"/>
        <v xml:space="preserve"> </v>
      </c>
      <c r="M54" s="27">
        <f>SQRT(SUMIF(Sales!B:B,A54,Sales!G:G))</f>
        <v>2.0150443563942693</v>
      </c>
      <c r="N54" s="27">
        <f t="shared" si="18"/>
        <v>0.89192403058923908</v>
      </c>
      <c r="O54" s="29" t="str">
        <f t="shared" si="19"/>
        <v xml:space="preserve"> </v>
      </c>
      <c r="P54" s="27">
        <f t="shared" si="20"/>
        <v>0.44263245509158544</v>
      </c>
      <c r="Q54" s="10" t="str">
        <f t="shared" si="21"/>
        <v xml:space="preserve"> </v>
      </c>
      <c r="R54" s="16">
        <f t="shared" si="22"/>
        <v>0.32901580282901155</v>
      </c>
      <c r="S54" s="41" t="str">
        <f t="shared" si="23"/>
        <v xml:space="preserve"> </v>
      </c>
      <c r="T54" s="6">
        <f t="shared" si="24"/>
        <v>285.82190412653893</v>
      </c>
      <c r="U54" s="10" t="str">
        <f t="shared" si="25"/>
        <v xml:space="preserve"> </v>
      </c>
    </row>
    <row r="55" spans="1:25" x14ac:dyDescent="0.3">
      <c r="A55" s="4">
        <v>53</v>
      </c>
      <c r="B55" s="4" t="s">
        <v>132</v>
      </c>
      <c r="C55" s="4">
        <v>1</v>
      </c>
      <c r="D55" s="26">
        <f t="array" ref="D55">MAX(IF(Sales!B:B=A55,Sales!C:C))</f>
        <v>26</v>
      </c>
      <c r="E55" s="26">
        <f>SUMIF(Sales!B:B,A55,Sales!E:E)</f>
        <v>350</v>
      </c>
      <c r="F55" s="29">
        <f t="shared" si="14"/>
        <v>19</v>
      </c>
      <c r="G55" s="26">
        <f>SUMIF(Sales!B:B,A55,Sales!D:D)</f>
        <v>35</v>
      </c>
      <c r="H55" s="26">
        <f t="shared" si="15"/>
        <v>19</v>
      </c>
      <c r="I55" s="26">
        <f>SUMIF(Prizes!B:B,A55,Prizes!D:D)</f>
        <v>1</v>
      </c>
      <c r="J55" s="26">
        <f t="shared" si="16"/>
        <v>16</v>
      </c>
      <c r="K55" s="27">
        <f>SUMIF(Sales!B:B,A55,Sales!F:F)</f>
        <v>1.6987474789318509</v>
      </c>
      <c r="L55" s="29">
        <f t="shared" si="17"/>
        <v>18</v>
      </c>
      <c r="M55" s="27">
        <f>SQRT(SUMIF(Sales!B:B,A55,Sales!G:G))</f>
        <v>1.2331989935092704</v>
      </c>
      <c r="N55" s="27">
        <f t="shared" si="18"/>
        <v>-0.69874747893185085</v>
      </c>
      <c r="O55" s="29">
        <f t="shared" si="19"/>
        <v>17</v>
      </c>
      <c r="P55" s="27">
        <f t="shared" si="20"/>
        <v>-0.56661372788137787</v>
      </c>
      <c r="Q55" s="10">
        <f t="shared" si="21"/>
        <v>14</v>
      </c>
      <c r="R55" s="16">
        <f t="shared" si="22"/>
        <v>0.28548832304330563</v>
      </c>
      <c r="S55" s="41">
        <f t="shared" si="23"/>
        <v>8</v>
      </c>
      <c r="T55" s="6">
        <f t="shared" si="24"/>
        <v>206.03415418757544</v>
      </c>
      <c r="U55" s="10">
        <f t="shared" si="25"/>
        <v>7</v>
      </c>
    </row>
    <row r="56" spans="1:25" x14ac:dyDescent="0.3">
      <c r="A56" s="4">
        <v>54</v>
      </c>
      <c r="B56" s="4" t="s">
        <v>134</v>
      </c>
      <c r="C56" s="4">
        <v>1</v>
      </c>
      <c r="D56" s="26">
        <f t="array" ref="D56">MAX(IF(Sales!B:B=A56,Sales!C:C))</f>
        <v>24</v>
      </c>
      <c r="E56" s="26">
        <f>SUMIF(Sales!B:B,A56,Sales!E:E)</f>
        <v>200</v>
      </c>
      <c r="F56" s="29">
        <f t="shared" si="14"/>
        <v>20</v>
      </c>
      <c r="G56" s="26">
        <f>SUMIF(Sales!B:B,A56,Sales!D:D)</f>
        <v>20</v>
      </c>
      <c r="H56" s="26">
        <f t="shared" si="15"/>
        <v>21</v>
      </c>
      <c r="I56" s="26">
        <f>SUMIF(Prizes!B:B,A56,Prizes!D:D)</f>
        <v>1</v>
      </c>
      <c r="J56" s="26">
        <f t="shared" si="16"/>
        <v>16</v>
      </c>
      <c r="K56" s="27">
        <f>SUMIF(Sales!B:B,A56,Sales!F:F)</f>
        <v>0.88488338370424646</v>
      </c>
      <c r="L56" s="29">
        <f t="shared" si="17"/>
        <v>21</v>
      </c>
      <c r="M56" s="27">
        <f>SQRT(SUMIF(Sales!B:B,A56,Sales!G:G))</f>
        <v>0.90508895770575359</v>
      </c>
      <c r="N56" s="27">
        <f t="shared" si="18"/>
        <v>0.11511661629575354</v>
      </c>
      <c r="O56" s="29">
        <f t="shared" si="19"/>
        <v>11</v>
      </c>
      <c r="P56" s="27">
        <f t="shared" si="20"/>
        <v>0.12718817892503578</v>
      </c>
      <c r="Q56" s="10">
        <f t="shared" si="21"/>
        <v>10</v>
      </c>
      <c r="R56" s="16">
        <f t="shared" si="22"/>
        <v>0.44939573062342486</v>
      </c>
      <c r="S56" s="41">
        <f t="shared" si="23"/>
        <v>2</v>
      </c>
      <c r="T56" s="6">
        <f t="shared" si="24"/>
        <v>226.01848298108146</v>
      </c>
      <c r="U56" s="10">
        <f t="shared" si="25"/>
        <v>20</v>
      </c>
    </row>
    <row r="57" spans="1:25" x14ac:dyDescent="0.3">
      <c r="A57" s="4">
        <v>55</v>
      </c>
      <c r="B57" s="4" t="s">
        <v>135</v>
      </c>
      <c r="C57" s="4">
        <v>0</v>
      </c>
      <c r="D57" s="26">
        <f t="array" ref="D57">MAX(IF(Sales!B:B=A57,Sales!C:C))</f>
        <v>21</v>
      </c>
      <c r="E57" s="26">
        <f>SUMIF(Sales!B:B,A57,Sales!E:E)</f>
        <v>50</v>
      </c>
      <c r="F57" s="29" t="str">
        <f t="shared" si="14"/>
        <v xml:space="preserve"> </v>
      </c>
      <c r="G57" s="26">
        <f>SUMIF(Sales!B:B,A57,Sales!D:D)</f>
        <v>5</v>
      </c>
      <c r="H57" s="26" t="str">
        <f t="shared" si="15"/>
        <v xml:space="preserve"> </v>
      </c>
      <c r="I57" s="26">
        <f>SUMIF(Prizes!B:B,A57,Prizes!D:D)</f>
        <v>0</v>
      </c>
      <c r="J57" s="26" t="str">
        <f t="shared" si="16"/>
        <v xml:space="preserve"> </v>
      </c>
      <c r="K57" s="27">
        <f>SUMIF(Sales!B:B,A57,Sales!F:F)</f>
        <v>0.13966480446927373</v>
      </c>
      <c r="L57" s="29" t="str">
        <f t="shared" si="17"/>
        <v xml:space="preserve"> </v>
      </c>
      <c r="M57" s="27">
        <f>SQRT(SUMIF(Sales!B:B,A57,Sales!G:G))</f>
        <v>0.36429752481921757</v>
      </c>
      <c r="N57" s="27">
        <f t="shared" si="18"/>
        <v>-0.13966480446927373</v>
      </c>
      <c r="O57" s="29" t="str">
        <f t="shared" si="19"/>
        <v xml:space="preserve"> </v>
      </c>
      <c r="P57" s="27">
        <f t="shared" si="20"/>
        <v>-0.3833811512679981</v>
      </c>
      <c r="Q57" s="10" t="str">
        <f t="shared" si="21"/>
        <v xml:space="preserve"> </v>
      </c>
      <c r="R57" s="16">
        <f t="shared" si="22"/>
        <v>0.35071858839852854</v>
      </c>
      <c r="S57" s="41" t="str">
        <f t="shared" si="23"/>
        <v xml:space="preserve"> </v>
      </c>
      <c r="T57" s="6">
        <f t="shared" si="24"/>
        <v>358</v>
      </c>
      <c r="U57" s="10" t="str">
        <f t="shared" si="25"/>
        <v xml:space="preserve"> </v>
      </c>
    </row>
    <row r="58" spans="1:25" x14ac:dyDescent="0.3">
      <c r="A58" s="4">
        <v>56</v>
      </c>
      <c r="B58" s="4" t="s">
        <v>137</v>
      </c>
      <c r="C58" s="4">
        <v>0</v>
      </c>
      <c r="D58" s="45">
        <f t="array" ref="D58">MAX(IF(Sales!B:B=A58,Sales!C:C))</f>
        <v>23</v>
      </c>
      <c r="E58" s="45">
        <f>SUMIF(Sales!B:B,A58,Sales!E:E)</f>
        <v>60</v>
      </c>
      <c r="F58" s="46" t="str">
        <f t="shared" si="14"/>
        <v xml:space="preserve"> </v>
      </c>
      <c r="G58" s="45">
        <f>SUMIF(Sales!B:B,A58,Sales!D:D)</f>
        <v>6</v>
      </c>
      <c r="H58" s="45" t="str">
        <f t="shared" si="15"/>
        <v xml:space="preserve"> </v>
      </c>
      <c r="I58" s="45">
        <f>SUMIF(Prizes!B:B,A58,Prizes!D:D)</f>
        <v>2</v>
      </c>
      <c r="J58" s="45" t="str">
        <f t="shared" si="16"/>
        <v xml:space="preserve"> </v>
      </c>
      <c r="K58" s="47">
        <f>SUMIF(Sales!B:B,A58,Sales!F:F)</f>
        <v>0.27500000000000002</v>
      </c>
      <c r="L58" s="46" t="str">
        <f t="shared" si="17"/>
        <v xml:space="preserve"> </v>
      </c>
      <c r="M58" s="47">
        <f>SQRT(SUMIF(Sales!B:B,A58,Sales!G:G))</f>
        <v>0.50856891930369497</v>
      </c>
      <c r="N58" s="47">
        <f t="shared" si="18"/>
        <v>1.7250000000000001</v>
      </c>
      <c r="O58" s="46" t="str">
        <f t="shared" si="19"/>
        <v xml:space="preserve"> </v>
      </c>
      <c r="P58" s="47">
        <f t="shared" si="20"/>
        <v>3.3918706679161139</v>
      </c>
      <c r="Q58" s="10" t="str">
        <f t="shared" si="21"/>
        <v xml:space="preserve"> </v>
      </c>
      <c r="R58" s="16">
        <f t="shared" si="22"/>
        <v>3.470859913787816E-4</v>
      </c>
      <c r="S58" s="48" t="str">
        <f t="shared" si="23"/>
        <v xml:space="preserve"> </v>
      </c>
      <c r="T58" s="6">
        <f t="shared" si="24"/>
        <v>218.18181818181816</v>
      </c>
      <c r="U58" s="10" t="str">
        <f t="shared" si="25"/>
        <v xml:space="preserve"> </v>
      </c>
    </row>
    <row r="59" spans="1:25" x14ac:dyDescent="0.3">
      <c r="A59" s="4">
        <v>57</v>
      </c>
      <c r="B59" s="4" t="s">
        <v>138</v>
      </c>
      <c r="C59" s="4">
        <v>0</v>
      </c>
      <c r="D59" s="45">
        <f t="array" ref="D59">MAX(IF(Sales!B:B=A59,Sales!C:C))</f>
        <v>26</v>
      </c>
      <c r="E59" s="45">
        <f>SUMIF(Sales!B:B,A59,Sales!E:E)</f>
        <v>120</v>
      </c>
      <c r="F59" s="46" t="str">
        <f t="shared" si="14"/>
        <v xml:space="preserve"> </v>
      </c>
      <c r="G59" s="45">
        <f>SUMIF(Sales!B:B,A59,Sales!D:D)</f>
        <v>12</v>
      </c>
      <c r="H59" s="45" t="str">
        <f t="shared" si="15"/>
        <v xml:space="preserve"> </v>
      </c>
      <c r="I59" s="45">
        <f>SUMIF(Prizes!B:B,A59,Prizes!D:D)</f>
        <v>1</v>
      </c>
      <c r="J59" s="45" t="str">
        <f t="shared" si="16"/>
        <v xml:space="preserve"> </v>
      </c>
      <c r="K59" s="47">
        <f>SUMIF(Sales!B:B,A59,Sales!F:F)</f>
        <v>0.58529411764705874</v>
      </c>
      <c r="L59" s="46" t="str">
        <f t="shared" si="17"/>
        <v xml:space="preserve"> </v>
      </c>
      <c r="M59" s="47">
        <f>SQRT(SUMIF(Sales!B:B,A59,Sales!G:G))</f>
        <v>0.73759426654100935</v>
      </c>
      <c r="N59" s="47">
        <f t="shared" si="18"/>
        <v>0.41470588235294126</v>
      </c>
      <c r="O59" s="46" t="str">
        <f t="shared" si="19"/>
        <v xml:space="preserve"> </v>
      </c>
      <c r="P59" s="47">
        <f t="shared" si="20"/>
        <v>0.56224119568842135</v>
      </c>
      <c r="Q59" s="10" t="str">
        <f t="shared" si="21"/>
        <v xml:space="preserve"> </v>
      </c>
      <c r="R59" s="16">
        <f t="shared" si="22"/>
        <v>0.28697584859310987</v>
      </c>
      <c r="S59" s="48" t="str">
        <f t="shared" si="23"/>
        <v xml:space="preserve"> </v>
      </c>
      <c r="T59" s="6">
        <f t="shared" si="24"/>
        <v>205.02512562814073</v>
      </c>
      <c r="U59" s="10" t="str">
        <f t="shared" si="25"/>
        <v xml:space="preserve"> </v>
      </c>
    </row>
    <row r="60" spans="1:25" x14ac:dyDescent="0.3">
      <c r="A60" s="4">
        <v>58</v>
      </c>
      <c r="B60" s="4" t="s">
        <v>139</v>
      </c>
      <c r="C60" s="4">
        <v>0</v>
      </c>
      <c r="D60" s="45">
        <f t="array" ref="D60">MAX(IF(Sales!B:B=A60,Sales!C:C))</f>
        <v>25</v>
      </c>
      <c r="E60" s="45">
        <f>SUMIF(Sales!B:B,A60,Sales!E:E)</f>
        <v>140</v>
      </c>
      <c r="F60" s="46" t="str">
        <f t="shared" si="14"/>
        <v xml:space="preserve"> </v>
      </c>
      <c r="G60" s="45">
        <f>SUMIF(Sales!B:B,A60,Sales!D:D)</f>
        <v>14</v>
      </c>
      <c r="H60" s="45" t="str">
        <f t="shared" si="15"/>
        <v xml:space="preserve"> </v>
      </c>
      <c r="I60" s="45">
        <f>SUMIF(Prizes!B:B,A60,Prizes!D:D)</f>
        <v>0</v>
      </c>
      <c r="J60" s="45" t="str">
        <f t="shared" si="16"/>
        <v xml:space="preserve"> </v>
      </c>
      <c r="K60" s="47">
        <f>SUMIF(Sales!B:B,A60,Sales!F:F)</f>
        <v>0.45102685624012639</v>
      </c>
      <c r="L60" s="46" t="str">
        <f t="shared" si="17"/>
        <v xml:space="preserve"> </v>
      </c>
      <c r="M60" s="47">
        <f>SQRT(SUMIF(Sales!B:B,A60,Sales!G:G))</f>
        <v>0.64934374156921504</v>
      </c>
      <c r="N60" s="47">
        <f t="shared" si="18"/>
        <v>-0.45102685624012639</v>
      </c>
      <c r="O60" s="46" t="str">
        <f t="shared" si="19"/>
        <v xml:space="preserve"> </v>
      </c>
      <c r="P60" s="47">
        <f t="shared" si="20"/>
        <v>-0.69458874763336798</v>
      </c>
      <c r="Q60" s="10" t="str">
        <f t="shared" si="21"/>
        <v xml:space="preserve"> </v>
      </c>
      <c r="R60" s="16">
        <f t="shared" si="22"/>
        <v>0.24365653299274614</v>
      </c>
      <c r="S60" s="48" t="str">
        <f t="shared" si="23"/>
        <v xml:space="preserve"> </v>
      </c>
      <c r="T60" s="6">
        <f t="shared" si="24"/>
        <v>310.40280210157619</v>
      </c>
      <c r="U60" s="10" t="str">
        <f t="shared" si="25"/>
        <v xml:space="preserve"> </v>
      </c>
    </row>
    <row r="61" spans="1:25" x14ac:dyDescent="0.3">
      <c r="A61" s="4">
        <v>59</v>
      </c>
      <c r="B61" s="4" t="s">
        <v>140</v>
      </c>
      <c r="C61" s="4">
        <v>1</v>
      </c>
      <c r="D61" s="45">
        <f t="array" ref="D61">MAX(IF(Sales!B:B=A61,Sales!C:C))</f>
        <v>26</v>
      </c>
      <c r="E61" s="45">
        <f>SUMIF(Sales!B:B,A61,Sales!E:E)</f>
        <v>150</v>
      </c>
      <c r="F61" s="46">
        <f t="shared" si="14"/>
        <v>22</v>
      </c>
      <c r="G61" s="45">
        <f>SUMIF(Sales!B:B,A61,Sales!D:D)</f>
        <v>15</v>
      </c>
      <c r="H61" s="45">
        <f t="shared" si="15"/>
        <v>22</v>
      </c>
      <c r="I61" s="45">
        <f>SUMIF(Prizes!B:B,A61,Prizes!D:D)</f>
        <v>0</v>
      </c>
      <c r="J61" s="45">
        <f t="shared" si="16"/>
        <v>21</v>
      </c>
      <c r="K61" s="47">
        <f>SUMIF(Sales!B:B,A61,Sales!F:F)</f>
        <v>0.79656862745098045</v>
      </c>
      <c r="L61" s="46">
        <f t="shared" si="17"/>
        <v>22</v>
      </c>
      <c r="M61" s="47">
        <f>SQRT(SUMIF(Sales!B:B,A61,Sales!G:G))</f>
        <v>0.84391700099328582</v>
      </c>
      <c r="N61" s="47">
        <f t="shared" si="18"/>
        <v>-0.79656862745098045</v>
      </c>
      <c r="O61" s="46">
        <f t="shared" si="19"/>
        <v>18</v>
      </c>
      <c r="P61" s="47">
        <f t="shared" si="20"/>
        <v>-0.94389451393137402</v>
      </c>
      <c r="Q61" s="10">
        <f t="shared" si="21"/>
        <v>21</v>
      </c>
      <c r="R61" s="16">
        <f t="shared" si="22"/>
        <v>0.17261177788033752</v>
      </c>
      <c r="S61" s="48">
        <f t="shared" si="23"/>
        <v>18</v>
      </c>
      <c r="T61" s="6">
        <f t="shared" si="24"/>
        <v>188.30769230769229</v>
      </c>
      <c r="U61" s="10">
        <f t="shared" si="25"/>
        <v>5</v>
      </c>
    </row>
    <row r="62" spans="1:25" x14ac:dyDescent="0.3">
      <c r="A62" s="4">
        <v>60</v>
      </c>
      <c r="B62" s="4" t="s">
        <v>141</v>
      </c>
      <c r="C62" s="4">
        <v>1</v>
      </c>
      <c r="D62" s="45">
        <f t="array" ref="D62">MAX(IF(Sales!B:B=A62,Sales!C:C))</f>
        <v>25</v>
      </c>
      <c r="E62" s="45">
        <f>SUMIF(Sales!B:B,A62,Sales!E:E)</f>
        <v>110</v>
      </c>
      <c r="F62" s="46">
        <f t="shared" si="14"/>
        <v>24</v>
      </c>
      <c r="G62" s="45">
        <f>SUMIF(Sales!B:B,A62,Sales!D:D)</f>
        <v>11</v>
      </c>
      <c r="H62" s="45">
        <f t="shared" si="15"/>
        <v>24</v>
      </c>
      <c r="I62" s="45">
        <f>SUMIF(Prizes!B:B,A62,Prizes!D:D)</f>
        <v>1</v>
      </c>
      <c r="J62" s="45">
        <f t="shared" si="16"/>
        <v>16</v>
      </c>
      <c r="K62" s="47">
        <f>SUMIF(Sales!B:B,A62,Sales!F:F)</f>
        <v>0.44510268562401262</v>
      </c>
      <c r="L62" s="46">
        <f t="shared" si="17"/>
        <v>26</v>
      </c>
      <c r="M62" s="47">
        <f>SQRT(SUMIF(Sales!B:B,A62,Sales!G:G))</f>
        <v>0.63884076444179816</v>
      </c>
      <c r="N62" s="47">
        <f t="shared" si="18"/>
        <v>0.55489731437598744</v>
      </c>
      <c r="O62" s="46">
        <f t="shared" si="19"/>
        <v>9</v>
      </c>
      <c r="P62" s="47">
        <f t="shared" si="20"/>
        <v>0.86860035436348804</v>
      </c>
      <c r="Q62" s="10">
        <f t="shared" si="21"/>
        <v>4</v>
      </c>
      <c r="R62" s="16">
        <f t="shared" si="22"/>
        <v>0.19253288029890714</v>
      </c>
      <c r="S62" s="48">
        <f t="shared" si="23"/>
        <v>17</v>
      </c>
      <c r="T62" s="6">
        <f t="shared" si="24"/>
        <v>247.13398402839397</v>
      </c>
      <c r="U62" s="10">
        <f t="shared" si="25"/>
        <v>26</v>
      </c>
    </row>
    <row r="63" spans="1:25" x14ac:dyDescent="0.3">
      <c r="A63" s="4">
        <v>61</v>
      </c>
      <c r="B63" s="4" t="s">
        <v>146</v>
      </c>
      <c r="C63" s="4">
        <v>1</v>
      </c>
      <c r="D63" s="45">
        <f t="array" ref="D63">MAX(IF(Sales!B:B=A63,Sales!C:C))</f>
        <v>26</v>
      </c>
      <c r="E63" s="45">
        <f>SUMIF(Sales!B:B,A63,Sales!E:E)</f>
        <v>140</v>
      </c>
      <c r="F63" s="46">
        <f t="shared" si="14"/>
        <v>23</v>
      </c>
      <c r="G63" s="45">
        <f>SUMIF(Sales!B:B,A63,Sales!D:D)</f>
        <v>14</v>
      </c>
      <c r="H63" s="45">
        <f t="shared" si="15"/>
        <v>23</v>
      </c>
      <c r="I63" s="45">
        <f>SUMIF(Prizes!B:B,A63,Prizes!D:D)</f>
        <v>0</v>
      </c>
      <c r="J63" s="45">
        <f t="shared" si="16"/>
        <v>21</v>
      </c>
      <c r="K63" s="47">
        <f>SUMIF(Sales!B:B,A63,Sales!F:F)</f>
        <v>0.6339719478810093</v>
      </c>
      <c r="L63" s="46">
        <f t="shared" si="17"/>
        <v>23</v>
      </c>
      <c r="M63" s="47">
        <f>SQRT(SUMIF(Sales!B:B,A63,Sales!G:G))</f>
        <v>0.76611489424375401</v>
      </c>
      <c r="N63" s="47">
        <f t="shared" si="18"/>
        <v>-0.6339719478810093</v>
      </c>
      <c r="O63" s="46">
        <f t="shared" si="19"/>
        <v>15</v>
      </c>
      <c r="P63" s="47">
        <f t="shared" si="20"/>
        <v>-0.82751549753749998</v>
      </c>
      <c r="Q63" s="10">
        <f t="shared" si="21"/>
        <v>20</v>
      </c>
      <c r="R63" s="16">
        <f t="shared" si="22"/>
        <v>0.20397247091548606</v>
      </c>
      <c r="S63" s="48">
        <f t="shared" si="23"/>
        <v>16</v>
      </c>
      <c r="T63" s="6">
        <f t="shared" si="24"/>
        <v>220.82996017085082</v>
      </c>
      <c r="U63" s="10">
        <f t="shared" si="25"/>
        <v>16</v>
      </c>
    </row>
    <row r="64" spans="1:25" x14ac:dyDescent="0.3">
      <c r="A64" s="4">
        <v>62</v>
      </c>
      <c r="B64" s="4" t="s">
        <v>147</v>
      </c>
      <c r="C64" s="4">
        <v>0</v>
      </c>
      <c r="D64" s="45">
        <f t="array" ref="D64">MAX(IF(Sales!B:B=A64,Sales!C:C))</f>
        <v>24</v>
      </c>
      <c r="E64" s="45">
        <f>SUMIF(Sales!B:B,A64,Sales!E:E)</f>
        <v>70</v>
      </c>
      <c r="F64" s="46" t="str">
        <f t="shared" si="14"/>
        <v xml:space="preserve"> </v>
      </c>
      <c r="G64" s="45">
        <f>SUMIF(Sales!B:B,A64,Sales!D:D)</f>
        <v>7</v>
      </c>
      <c r="H64" s="45" t="str">
        <f t="shared" si="15"/>
        <v xml:space="preserve"> </v>
      </c>
      <c r="I64" s="45">
        <f>SUMIF(Prizes!B:B,A64,Prizes!D:D)</f>
        <v>1</v>
      </c>
      <c r="J64" s="45" t="str">
        <f t="shared" si="16"/>
        <v xml:space="preserve"> </v>
      </c>
      <c r="K64" s="47">
        <f>SUMIF(Sales!B:B,A64,Sales!F:F)</f>
        <v>0.40163934426229508</v>
      </c>
      <c r="L64" s="46" t="str">
        <f t="shared" si="17"/>
        <v xml:space="preserve"> </v>
      </c>
      <c r="M64" s="47">
        <f>SQRT(SUMIF(Sales!B:B,A64,Sales!G:G))</f>
        <v>0.59985096870342769</v>
      </c>
      <c r="N64" s="47">
        <f t="shared" si="18"/>
        <v>0.59836065573770492</v>
      </c>
      <c r="O64" s="46" t="str">
        <f t="shared" si="19"/>
        <v xml:space="preserve"> </v>
      </c>
      <c r="P64" s="47">
        <f t="shared" si="20"/>
        <v>0.99751552795031062</v>
      </c>
      <c r="Q64" s="10" t="str">
        <f t="shared" si="21"/>
        <v xml:space="preserve"> </v>
      </c>
      <c r="R64" s="16">
        <f t="shared" si="22"/>
        <v>0.15925717022701158</v>
      </c>
      <c r="S64" s="48" t="str">
        <f t="shared" si="23"/>
        <v xml:space="preserve"> </v>
      </c>
      <c r="T64" s="6">
        <f t="shared" si="24"/>
        <v>174.28571428571428</v>
      </c>
      <c r="U64" s="10" t="str">
        <f t="shared" si="25"/>
        <v xml:space="preserve"> </v>
      </c>
    </row>
    <row r="65" spans="1:21" x14ac:dyDescent="0.3">
      <c r="A65" s="4">
        <v>63</v>
      </c>
      <c r="B65" s="4" t="s">
        <v>148</v>
      </c>
      <c r="C65" s="4">
        <v>1</v>
      </c>
      <c r="D65" s="45">
        <f t="array" ref="D65">MAX(IF(Sales!B:B=A65,Sales!C:C))</f>
        <v>26</v>
      </c>
      <c r="E65" s="45">
        <f>SUMIF(Sales!B:B,A65,Sales!E:E)</f>
        <v>100</v>
      </c>
      <c r="F65" s="46">
        <f t="shared" si="14"/>
        <v>25</v>
      </c>
      <c r="G65" s="45">
        <f>SUMIF(Sales!B:B,A65,Sales!D:D)</f>
        <v>10</v>
      </c>
      <c r="H65" s="45">
        <f t="shared" si="15"/>
        <v>25</v>
      </c>
      <c r="I65" s="45">
        <f>SUMIF(Prizes!B:B,A65,Prizes!D:D)</f>
        <v>0</v>
      </c>
      <c r="J65" s="45">
        <f t="shared" si="16"/>
        <v>21</v>
      </c>
      <c r="K65" s="47">
        <f>SUMIF(Sales!B:B,A65,Sales!F:F)</f>
        <v>0.58244937319189971</v>
      </c>
      <c r="L65" s="46">
        <f t="shared" si="17"/>
        <v>25</v>
      </c>
      <c r="M65" s="47">
        <f>SQRT(SUMIF(Sales!B:B,A65,Sales!G:G))</f>
        <v>0.72859650697061773</v>
      </c>
      <c r="N65" s="47">
        <f t="shared" si="18"/>
        <v>-0.58244937319189971</v>
      </c>
      <c r="O65" s="46">
        <f t="shared" si="19"/>
        <v>13</v>
      </c>
      <c r="P65" s="47">
        <f t="shared" si="20"/>
        <v>-0.79941279929219899</v>
      </c>
      <c r="Q65" s="10">
        <f t="shared" si="21"/>
        <v>18</v>
      </c>
      <c r="R65" s="16">
        <f t="shared" si="22"/>
        <v>0.21202554561950049</v>
      </c>
      <c r="S65" s="48">
        <f t="shared" si="23"/>
        <v>14</v>
      </c>
      <c r="T65" s="6">
        <f t="shared" si="24"/>
        <v>171.68874172185431</v>
      </c>
      <c r="U65" s="10">
        <f t="shared" si="25"/>
        <v>4</v>
      </c>
    </row>
    <row r="66" spans="1:21" x14ac:dyDescent="0.3">
      <c r="A66" s="4">
        <v>64</v>
      </c>
      <c r="B66" s="4" t="s">
        <v>189</v>
      </c>
      <c r="C66" s="4">
        <v>1</v>
      </c>
      <c r="D66" s="45">
        <f t="array" ref="D66">MAX(IF(Sales!B:B=A66,Sales!C:C))</f>
        <v>26</v>
      </c>
      <c r="E66" s="45">
        <f>SUMIF(Sales!B:B,A66,Sales!E:E)</f>
        <v>40</v>
      </c>
      <c r="F66" s="46">
        <f t="shared" ref="F66:F97" si="26">IF($C66=0," ",COUNTIFS($C:$C,1,E:E,"&gt;"&amp;E66)+1)</f>
        <v>28</v>
      </c>
      <c r="G66" s="45">
        <f>SUMIF(Sales!B:B,A66,Sales!D:D)</f>
        <v>4</v>
      </c>
      <c r="H66" s="45">
        <f t="shared" ref="H66:H97" si="27">IF($C66=0," ",COUNTIFS($C:$C,1,G:G,"&gt;"&amp;G66)+1)</f>
        <v>28</v>
      </c>
      <c r="I66" s="45">
        <f>SUMIF(Prizes!B:B,A66,Prizes!D:D)</f>
        <v>2</v>
      </c>
      <c r="J66" s="45">
        <f t="shared" ref="J66:J97" si="28">IF($C66=0," ",COUNTIFS($C:$C,1,I:I,"&gt;"&amp;I66)+1)</f>
        <v>12</v>
      </c>
      <c r="K66" s="47">
        <f>SUMIF(Sales!B:B,A66,Sales!F:F)</f>
        <v>0.23529411764705882</v>
      </c>
      <c r="L66" s="46">
        <f t="shared" ref="L66:L97" si="29">IF($C66=0," ",COUNTIFS($C:$C,1,K:K,"&gt;"&amp;K66)+1)</f>
        <v>28</v>
      </c>
      <c r="M66" s="47">
        <f>SQRT(SUMIF(Sales!B:B,A66,Sales!G:G))</f>
        <v>0.46533010115110041</v>
      </c>
      <c r="N66" s="47">
        <f t="shared" si="18"/>
        <v>1.7647058823529411</v>
      </c>
      <c r="O66" s="46">
        <f t="shared" ref="O66:O97" si="30">IF($C66=0," ",COUNTIFS($C:$C,1,N:N,"&gt;"&amp;N66)+1)</f>
        <v>2</v>
      </c>
      <c r="P66" s="47">
        <f t="shared" si="20"/>
        <v>3.792374226355737</v>
      </c>
      <c r="Q66" s="10">
        <f t="shared" ref="Q66:Q97" si="31">IF($C66=0," ",COUNTIFS($C:$C,1,P:P,"&gt;"&amp;P66)+1)</f>
        <v>1</v>
      </c>
      <c r="R66" s="16">
        <f t="shared" si="22"/>
        <v>7.460691399774344E-5</v>
      </c>
      <c r="S66" s="48">
        <f t="shared" ref="S66:S97" si="32">IF($C66=0," ",COUNTIFS($C:$C,1,R:R,"&gt;"&amp;R66)+1)</f>
        <v>28</v>
      </c>
      <c r="T66" s="6">
        <f t="shared" si="24"/>
        <v>170</v>
      </c>
      <c r="U66" s="10">
        <f t="shared" ref="U66:U97" si="33">IF($C66=0," ",COUNTIFS($C:$C,1,T:T,"&lt;"&amp;T66)+1)</f>
        <v>1</v>
      </c>
    </row>
    <row r="67" spans="1:21" x14ac:dyDescent="0.3">
      <c r="A67" s="4">
        <v>65</v>
      </c>
      <c r="B67" s="4" t="s">
        <v>204</v>
      </c>
      <c r="C67" s="4">
        <v>1</v>
      </c>
      <c r="D67" s="45">
        <f t="array" ref="D67">MAX(IF(Sales!B:B=A67,Sales!C:C))</f>
        <v>26</v>
      </c>
      <c r="E67" s="45">
        <f>SUMIF(Sales!B:B,A67,Sales!E:E)</f>
        <v>100</v>
      </c>
      <c r="F67" s="46">
        <f t="shared" si="26"/>
        <v>25</v>
      </c>
      <c r="G67" s="45">
        <f>SUMIF(Sales!B:B,A67,Sales!D:D)</f>
        <v>10</v>
      </c>
      <c r="H67" s="45">
        <f t="shared" si="27"/>
        <v>25</v>
      </c>
      <c r="I67" s="45">
        <f>SUMIF(Prizes!B:B,A67,Prizes!D:D)</f>
        <v>0</v>
      </c>
      <c r="J67" s="45">
        <f t="shared" si="28"/>
        <v>21</v>
      </c>
      <c r="K67" s="47">
        <f>SUMIF(Sales!B:B,A67,Sales!F:F)</f>
        <v>0.58823529411764708</v>
      </c>
      <c r="L67" s="46">
        <f t="shared" si="29"/>
        <v>24</v>
      </c>
      <c r="M67" s="47">
        <f>SQRT(SUMIF(Sales!B:B,A67,Sales!G:G))</f>
        <v>0.7188354031303279</v>
      </c>
      <c r="N67" s="47">
        <f t="shared" si="18"/>
        <v>-0.58823529411764708</v>
      </c>
      <c r="O67" s="46">
        <f t="shared" si="30"/>
        <v>14</v>
      </c>
      <c r="P67" s="47">
        <f t="shared" si="20"/>
        <v>-0.81831708838497141</v>
      </c>
      <c r="Q67" s="10">
        <f t="shared" si="31"/>
        <v>19</v>
      </c>
      <c r="R67" s="16">
        <f t="shared" si="22"/>
        <v>0.20658807549365618</v>
      </c>
      <c r="S67" s="48">
        <f t="shared" si="32"/>
        <v>15</v>
      </c>
      <c r="T67" s="6">
        <f t="shared" si="24"/>
        <v>170</v>
      </c>
      <c r="U67" s="10">
        <f t="shared" si="33"/>
        <v>1</v>
      </c>
    </row>
    <row r="68" spans="1:21" x14ac:dyDescent="0.3">
      <c r="A68" s="4">
        <v>66</v>
      </c>
      <c r="B68" s="4" t="s">
        <v>205</v>
      </c>
      <c r="C68" s="4">
        <v>1</v>
      </c>
      <c r="D68" s="45">
        <f t="array" ref="D68">MAX(IF(Sales!B:B=A68,Sales!C:C))</f>
        <v>26</v>
      </c>
      <c r="E68" s="45">
        <f>SUMIF(Sales!B:B,A68,Sales!E:E)</f>
        <v>50</v>
      </c>
      <c r="F68" s="46">
        <f t="shared" si="26"/>
        <v>27</v>
      </c>
      <c r="G68" s="45">
        <f>SUMIF(Sales!B:B,A68,Sales!D:D)</f>
        <v>5</v>
      </c>
      <c r="H68" s="45">
        <f t="shared" si="27"/>
        <v>27</v>
      </c>
      <c r="I68" s="45">
        <f>SUMIF(Prizes!B:B,A68,Prizes!D:D)</f>
        <v>0</v>
      </c>
      <c r="J68" s="45">
        <f t="shared" si="28"/>
        <v>21</v>
      </c>
      <c r="K68" s="47">
        <f>SUMIF(Sales!B:B,A68,Sales!F:F)</f>
        <v>0.29411764705882354</v>
      </c>
      <c r="L68" s="46">
        <f t="shared" si="29"/>
        <v>27</v>
      </c>
      <c r="M68" s="47">
        <f>SQRT(SUMIF(Sales!B:B,A68,Sales!G:G))</f>
        <v>0.51828046017252316</v>
      </c>
      <c r="N68" s="47">
        <f t="shared" si="18"/>
        <v>-0.29411764705882354</v>
      </c>
      <c r="O68" s="46">
        <f t="shared" si="30"/>
        <v>12</v>
      </c>
      <c r="P68" s="47">
        <f t="shared" si="20"/>
        <v>-0.56748743134348301</v>
      </c>
      <c r="Q68" s="10">
        <f t="shared" si="31"/>
        <v>15</v>
      </c>
      <c r="R68" s="16">
        <f t="shared" si="22"/>
        <v>0.28519153171452383</v>
      </c>
      <c r="S68" s="48">
        <f t="shared" si="32"/>
        <v>9</v>
      </c>
      <c r="T68" s="6">
        <f t="shared" si="24"/>
        <v>170</v>
      </c>
      <c r="U68" s="10">
        <f t="shared" si="33"/>
        <v>1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showGridLines="0" workbookViewId="0">
      <selection activeCell="G31" sqref="G31"/>
    </sheetView>
  </sheetViews>
  <sheetFormatPr defaultColWidth="8.88671875" defaultRowHeight="14.4" x14ac:dyDescent="0.3"/>
  <cols>
    <col min="2" max="2" width="10" customWidth="1"/>
    <col min="5" max="5" width="9.44140625" style="14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7" t="s">
        <v>48</v>
      </c>
      <c r="E1" s="43" t="s">
        <v>130</v>
      </c>
      <c r="F1" s="17" t="s">
        <v>21</v>
      </c>
      <c r="G1" s="17" t="s">
        <v>84</v>
      </c>
      <c r="H1" s="17" t="s">
        <v>98</v>
      </c>
    </row>
    <row r="2" spans="1:8" x14ac:dyDescent="0.3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5">
        <f t="shared" ref="H2:H17" si="2">C2*D2/F2</f>
        <v>144</v>
      </c>
    </row>
    <row r="3" spans="1:8" x14ac:dyDescent="0.3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5">
        <f t="shared" si="2"/>
        <v>320</v>
      </c>
    </row>
    <row r="4" spans="1:8" x14ac:dyDescent="0.3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5">
        <f t="shared" si="2"/>
        <v>313.33333333333331</v>
      </c>
    </row>
    <row r="5" spans="1:8" x14ac:dyDescent="0.3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5">
        <f t="shared" si="2"/>
        <v>340</v>
      </c>
    </row>
    <row r="6" spans="1:8" x14ac:dyDescent="0.3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5">
        <f t="shared" si="2"/>
        <v>240</v>
      </c>
    </row>
    <row r="7" spans="1:8" x14ac:dyDescent="0.3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5">
        <f t="shared" si="2"/>
        <v>300</v>
      </c>
    </row>
    <row r="8" spans="1:8" x14ac:dyDescent="0.3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5">
        <f t="shared" si="2"/>
        <v>250</v>
      </c>
    </row>
    <row r="9" spans="1:8" x14ac:dyDescent="0.3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5">
        <f t="shared" si="2"/>
        <v>190</v>
      </c>
    </row>
    <row r="10" spans="1:8" x14ac:dyDescent="0.3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5">
        <f t="shared" si="2"/>
        <v>304</v>
      </c>
    </row>
    <row r="11" spans="1:8" x14ac:dyDescent="0.3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5">
        <f t="shared" si="2"/>
        <v>314</v>
      </c>
    </row>
    <row r="12" spans="1:8" x14ac:dyDescent="0.3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5">
        <f t="shared" si="2"/>
        <v>0</v>
      </c>
    </row>
    <row r="13" spans="1:8" x14ac:dyDescent="0.3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5">
        <f t="shared" si="2"/>
        <v>213.33333333333334</v>
      </c>
    </row>
    <row r="14" spans="1:8" x14ac:dyDescent="0.3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5">
        <f t="shared" si="2"/>
        <v>212</v>
      </c>
    </row>
    <row r="15" spans="1:8" x14ac:dyDescent="0.3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5">
        <f t="shared" si="2"/>
        <v>275</v>
      </c>
    </row>
    <row r="16" spans="1:8" x14ac:dyDescent="0.3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5">
        <f t="shared" si="2"/>
        <v>153.33333333333334</v>
      </c>
    </row>
    <row r="17" spans="1:8" x14ac:dyDescent="0.3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5">
        <f t="shared" si="2"/>
        <v>183.33333333333334</v>
      </c>
    </row>
    <row r="18" spans="1:8" x14ac:dyDescent="0.3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5">
        <f t="shared" ref="H18:H23" si="4">C18*D18/F18</f>
        <v>247.14285714285714</v>
      </c>
    </row>
    <row r="19" spans="1:8" x14ac:dyDescent="0.3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5">
        <f t="shared" si="4"/>
        <v>226.66666666666666</v>
      </c>
    </row>
    <row r="20" spans="1:8" x14ac:dyDescent="0.3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5">
        <f t="shared" si="4"/>
        <v>186.25</v>
      </c>
    </row>
    <row r="21" spans="1:8" x14ac:dyDescent="0.3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 t="shared" ref="E21:E26" si="5">C21*D21</f>
        <v>1590</v>
      </c>
      <c r="F21" s="7">
        <f>SUMIFS(Prizes!D:D,Prizes!C:C,A21)</f>
        <v>6</v>
      </c>
      <c r="G21" s="3">
        <f t="shared" si="3"/>
        <v>3.7735849056603772E-2</v>
      </c>
      <c r="H21" s="25">
        <f t="shared" si="4"/>
        <v>265</v>
      </c>
    </row>
    <row r="22" spans="1:8" x14ac:dyDescent="0.3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 t="shared" si="5"/>
        <v>1790</v>
      </c>
      <c r="F22" s="7">
        <f>SUMIFS(Prizes!D:D,Prizes!C:C,A22)</f>
        <v>5</v>
      </c>
      <c r="G22" s="3">
        <f t="shared" si="3"/>
        <v>2.7932960893854747E-2</v>
      </c>
      <c r="H22" s="25">
        <f t="shared" si="4"/>
        <v>358</v>
      </c>
    </row>
    <row r="23" spans="1:8" x14ac:dyDescent="0.3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 t="shared" si="5"/>
        <v>1200</v>
      </c>
      <c r="F23" s="7">
        <f>SUMIFS(Prizes!D:D,Prizes!C:C,A23)</f>
        <v>6</v>
      </c>
      <c r="G23" s="3">
        <f>F23/D23</f>
        <v>0.05</v>
      </c>
      <c r="H23" s="25">
        <f t="shared" si="4"/>
        <v>200</v>
      </c>
    </row>
    <row r="24" spans="1:8" x14ac:dyDescent="0.3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 t="shared" si="5"/>
        <v>1920</v>
      </c>
      <c r="F24" s="7">
        <f>SUMIFS(Prizes!D:D,Prizes!C:C,A24)</f>
        <v>8</v>
      </c>
      <c r="G24" s="3">
        <f>F24/D24</f>
        <v>4.1666666666666664E-2</v>
      </c>
      <c r="H24" s="25">
        <f>C24*D24/F24</f>
        <v>240</v>
      </c>
    </row>
    <row r="25" spans="1:8" x14ac:dyDescent="0.3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 t="shared" si="5"/>
        <v>1220</v>
      </c>
      <c r="F25" s="7">
        <f>SUMIFS(Prizes!D:D,Prizes!C:C,A25)</f>
        <v>7</v>
      </c>
      <c r="G25" s="3">
        <f>F25/D25</f>
        <v>5.737704918032787E-2</v>
      </c>
      <c r="H25" s="25">
        <f>C25*D25/F25</f>
        <v>174.28571428571428</v>
      </c>
    </row>
    <row r="26" spans="1:8" x14ac:dyDescent="0.3">
      <c r="A26">
        <v>25</v>
      </c>
      <c r="B26" s="1">
        <v>44113</v>
      </c>
      <c r="C26" s="7">
        <v>10</v>
      </c>
      <c r="D26" s="7">
        <f>SUMIFS(Sales!D:D,Sales!C:C,A26)</f>
        <v>211</v>
      </c>
      <c r="E26" s="14">
        <f t="shared" si="5"/>
        <v>2110</v>
      </c>
      <c r="F26" s="7">
        <f>SUMIFS(Prizes!D:D,Prizes!C:C,A26)</f>
        <v>6</v>
      </c>
      <c r="G26" s="3">
        <f>F26/D26</f>
        <v>2.843601895734597E-2</v>
      </c>
      <c r="H26" s="25">
        <f>C26*D26/F26</f>
        <v>351.66666666666669</v>
      </c>
    </row>
    <row r="27" spans="1:8" x14ac:dyDescent="0.3">
      <c r="A27">
        <v>26</v>
      </c>
      <c r="B27" s="1">
        <v>44477</v>
      </c>
      <c r="C27" s="7">
        <v>10</v>
      </c>
      <c r="D27" s="7">
        <f>SUMIFS(Sales!D:D,Sales!C:C,A27)</f>
        <v>136</v>
      </c>
      <c r="E27" s="14">
        <f>C27*D27</f>
        <v>1360</v>
      </c>
      <c r="F27" s="7">
        <f>SUMIFS(Prizes!D:D,Prizes!C:C,A27)</f>
        <v>8</v>
      </c>
      <c r="G27" s="3">
        <f>F27/D27</f>
        <v>5.8823529411764705E-2</v>
      </c>
      <c r="H27" s="25">
        <f>C27*D27/F27</f>
        <v>170</v>
      </c>
    </row>
  </sheetData>
  <conditionalFormatting sqref="H2:H27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8"/>
  <sheetViews>
    <sheetView showGridLines="0" topLeftCell="A464" workbookViewId="0">
      <selection activeCell="I503" sqref="I503"/>
    </sheetView>
  </sheetViews>
  <sheetFormatPr defaultColWidth="8.88671875" defaultRowHeight="14.4" x14ac:dyDescent="0.3"/>
  <cols>
    <col min="9" max="9" width="12.5546875" style="2" bestFit="1" customWidth="1"/>
    <col min="11" max="11" width="10.109375" bestFit="1" customWidth="1"/>
  </cols>
  <sheetData>
    <row r="1" spans="1:11" ht="16.2" x14ac:dyDescent="0.3">
      <c r="A1" s="19" t="s">
        <v>0</v>
      </c>
      <c r="B1" s="19" t="s">
        <v>19</v>
      </c>
      <c r="C1" s="20" t="s">
        <v>18</v>
      </c>
      <c r="D1" s="19" t="s">
        <v>20</v>
      </c>
      <c r="E1" s="17" t="s">
        <v>49</v>
      </c>
      <c r="F1" s="17" t="s">
        <v>83</v>
      </c>
      <c r="G1" s="21" t="s">
        <v>32</v>
      </c>
      <c r="J1" t="s">
        <v>88</v>
      </c>
      <c r="K1" s="13">
        <f>SUM(E:E)</f>
        <v>37590</v>
      </c>
    </row>
    <row r="2" spans="1:11" x14ac:dyDescent="0.3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3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3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3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3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3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3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3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3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3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3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3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3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3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3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3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3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3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3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3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3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3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3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3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3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3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3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3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3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3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3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3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3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3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3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3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3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3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3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3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3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3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3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3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3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3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3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3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3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3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3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3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3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3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3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3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3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3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3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3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3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3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3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3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3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3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3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3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3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3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3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3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3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3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3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3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3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3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3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3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3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3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3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3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3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3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3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3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3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3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3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3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3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3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3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3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3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3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3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3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3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3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3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3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3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3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3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3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3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3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3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3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3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3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3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3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3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3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3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3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3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3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3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3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3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3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3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3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3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3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3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3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3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3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3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3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3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3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3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3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3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3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3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3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3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3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3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3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3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3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3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3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3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3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3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3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3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3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3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3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3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3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3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3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3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3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3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3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3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3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3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3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3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3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3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3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3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3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3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3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3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3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3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3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3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3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3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3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3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3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3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3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3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3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3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3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3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3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3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3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3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3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3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3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3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3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3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3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3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3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3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3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3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3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3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3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3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3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3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3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3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3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3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3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3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3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3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3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3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3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3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3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3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3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3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3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3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3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3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3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3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3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3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3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3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3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3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3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3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3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3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3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3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3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3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3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3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3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3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3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3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3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3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3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3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3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3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3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3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3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3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3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3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3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3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3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3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3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3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3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3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3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3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3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3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3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3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3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3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3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3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3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3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3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3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3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3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3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3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3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3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3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3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3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3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3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3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3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3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3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3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3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3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3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3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3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3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3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3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3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3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3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3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3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3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3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3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3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3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3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3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3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3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3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3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3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3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3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3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3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3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3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3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3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3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3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3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3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3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3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3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3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3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3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3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3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3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3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3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3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3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3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3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3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3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3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3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3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3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3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3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3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3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3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3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3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3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3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3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3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3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3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3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3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3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3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3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3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3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3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3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3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3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3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3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3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3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3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3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3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3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3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3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3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3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3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3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3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3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3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3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3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3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3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3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3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3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3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3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3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3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3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3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3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3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3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3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3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3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3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3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8" x14ac:dyDescent="0.3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8" x14ac:dyDescent="0.3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8" x14ac:dyDescent="0.3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8" x14ac:dyDescent="0.3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8" x14ac:dyDescent="0.3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8" x14ac:dyDescent="0.3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/>
    </row>
    <row r="439" spans="1:8" x14ac:dyDescent="0.3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/>
    </row>
    <row r="440" spans="1:8" x14ac:dyDescent="0.3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/>
    </row>
    <row r="441" spans="1:8" x14ac:dyDescent="0.3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/>
    </row>
    <row r="442" spans="1:8" x14ac:dyDescent="0.3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/>
    </row>
    <row r="443" spans="1:8" x14ac:dyDescent="0.3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/>
    </row>
    <row r="444" spans="1:8" x14ac:dyDescent="0.3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/>
    </row>
    <row r="445" spans="1:8" x14ac:dyDescent="0.3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/>
    </row>
    <row r="446" spans="1:8" x14ac:dyDescent="0.3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/>
    </row>
    <row r="447" spans="1:8" x14ac:dyDescent="0.3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/>
    </row>
    <row r="448" spans="1:8" x14ac:dyDescent="0.3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/>
    </row>
    <row r="449" spans="1:12" x14ac:dyDescent="0.3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/>
    </row>
    <row r="450" spans="1:12" x14ac:dyDescent="0.3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/>
    </row>
    <row r="451" spans="1:12" x14ac:dyDescent="0.3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/>
    </row>
    <row r="452" spans="1:12" x14ac:dyDescent="0.3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/>
    </row>
    <row r="453" spans="1:12" x14ac:dyDescent="0.3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/>
    </row>
    <row r="454" spans="1:12" x14ac:dyDescent="0.3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/>
    </row>
    <row r="455" spans="1:12" x14ac:dyDescent="0.3">
      <c r="A455">
        <v>454</v>
      </c>
      <c r="B455">
        <v>35</v>
      </c>
      <c r="C455" s="11">
        <v>25</v>
      </c>
      <c r="D455">
        <v>5</v>
      </c>
      <c r="E455" s="7">
        <f>INDEX(Lotteries!C:C,MATCH(C455,Lotteries!A:A,0))*D455</f>
        <v>50</v>
      </c>
      <c r="F455" s="3">
        <f>D455*INDEX(Lotteries!G:G,MATCH(C455,Lotteries!A:A,0))</f>
        <v>0.14218009478672985</v>
      </c>
      <c r="G455" s="3">
        <f>INDEX(Lotteries!F:F,MATCH(C455,Lotteries!A:A,0))*D455/INDEX(Lotteries!D:D,MATCH(C455,Lotteries!A:A,0))*(INDEX(Lotteries!D:D,MATCH(C455,Lotteries!A:A,0))-D455)/INDEX(Lotteries!D:D,MATCH(C455,Lotteries!A:A,0))*(INDEX(Lotteries!D:D,MATCH(C455,Lotteries!A:A,0))-INDEX(Lotteries!F:F,MATCH(C455,Lotteries!A:A,0)))/(INDEX(Lotteries!D:D,MATCH(C455,Lotteries!A:A,0))-1)</f>
        <v>0.13550587684142637</v>
      </c>
      <c r="H455" s="7">
        <f>INDEX(Persons!A:A,MATCH(Sales!I455,Persons!B:B,0))</f>
        <v>35</v>
      </c>
      <c r="I455" s="2" t="str">
        <f t="shared" ref="I455:I479" si="0">MID(L455,FIND("""name"": """,L455)+9,FIND("""",L455,FIND("""name"": """,L455)+9)-FIND("""name"": """,L455)-9)</f>
        <v>Mathias</v>
      </c>
      <c r="J455">
        <f t="shared" ref="J455:J479" si="1">VALUE(MID(L455,FIND("""tickets"": ",L455)+11,MIN(IFERROR(FIND(",",L455,FIND("""tickets"": ",L455)),100),FIND("}",L455,FIND("""tickets"": ",L455)))-FIND("""tickets"": ",L455)-11))</f>
        <v>5</v>
      </c>
      <c r="L455" t="s">
        <v>133</v>
      </c>
    </row>
    <row r="456" spans="1:12" x14ac:dyDescent="0.3">
      <c r="A456">
        <v>455</v>
      </c>
      <c r="B456">
        <v>48</v>
      </c>
      <c r="C456" s="11">
        <v>25</v>
      </c>
      <c r="D456">
        <v>5</v>
      </c>
      <c r="E456" s="7">
        <f>INDEX(Lotteries!C:C,MATCH(C456,Lotteries!A:A,0))*D456</f>
        <v>50</v>
      </c>
      <c r="F456" s="3">
        <f>D456*INDEX(Lotteries!G:G,MATCH(C456,Lotteries!A:A,0))</f>
        <v>0.14218009478672985</v>
      </c>
      <c r="G456" s="3">
        <f>INDEX(Lotteries!F:F,MATCH(C456,Lotteries!A:A,0))*D456/INDEX(Lotteries!D:D,MATCH(C456,Lotteries!A:A,0))*(INDEX(Lotteries!D:D,MATCH(C456,Lotteries!A:A,0))-D456)/INDEX(Lotteries!D:D,MATCH(C456,Lotteries!A:A,0))*(INDEX(Lotteries!D:D,MATCH(C456,Lotteries!A:A,0))-INDEX(Lotteries!F:F,MATCH(C456,Lotteries!A:A,0)))/(INDEX(Lotteries!D:D,MATCH(C456,Lotteries!A:A,0))-1)</f>
        <v>0.13550587684142637</v>
      </c>
      <c r="H456" s="7">
        <f>INDEX(Persons!A:A,MATCH(Sales!I456,Persons!B:B,0))</f>
        <v>48</v>
      </c>
      <c r="I456" s="2" t="str">
        <f t="shared" si="0"/>
        <v>Ivan</v>
      </c>
      <c r="J456">
        <f t="shared" si="1"/>
        <v>5</v>
      </c>
      <c r="L456" t="s">
        <v>162</v>
      </c>
    </row>
    <row r="457" spans="1:12" x14ac:dyDescent="0.3">
      <c r="A457">
        <v>456</v>
      </c>
      <c r="B457">
        <v>52</v>
      </c>
      <c r="C457" s="11">
        <v>25</v>
      </c>
      <c r="D457">
        <v>13</v>
      </c>
      <c r="E457" s="7">
        <f>INDEX(Lotteries!C:C,MATCH(C457,Lotteries!A:A,0))*D457</f>
        <v>130</v>
      </c>
      <c r="F457" s="3">
        <f>D457*INDEX(Lotteries!G:G,MATCH(C457,Lotteries!A:A,0))</f>
        <v>0.36966824644549762</v>
      </c>
      <c r="G457" s="3">
        <f>INDEX(Lotteries!F:F,MATCH(C457,Lotteries!A:A,0))*D457/INDEX(Lotteries!D:D,MATCH(C457,Lotteries!A:A,0))*(INDEX(Lotteries!D:D,MATCH(C457,Lotteries!A:A,0))-D457)/INDEX(Lotteries!D:D,MATCH(C457,Lotteries!A:A,0))*(INDEX(Lotteries!D:D,MATCH(C457,Lotteries!A:A,0))-INDEX(Lotteries!F:F,MATCH(C457,Lotteries!A:A,0)))/(INDEX(Lotteries!D:D,MATCH(C457,Lotteries!A:A,0))-1)</f>
        <v>0.33863313299983627</v>
      </c>
      <c r="H457" s="7">
        <f>INDEX(Persons!A:A,MATCH(Sales!I457,Persons!B:B,0))</f>
        <v>52</v>
      </c>
      <c r="I457" s="2" t="str">
        <f t="shared" si="0"/>
        <v>Anders Sz</v>
      </c>
      <c r="J457">
        <f t="shared" si="1"/>
        <v>13</v>
      </c>
      <c r="L457" t="s">
        <v>163</v>
      </c>
    </row>
    <row r="458" spans="1:12" x14ac:dyDescent="0.3">
      <c r="A458">
        <v>457</v>
      </c>
      <c r="B458">
        <v>53</v>
      </c>
      <c r="C458" s="11">
        <v>25</v>
      </c>
      <c r="D458">
        <v>5</v>
      </c>
      <c r="E458" s="7">
        <f>INDEX(Lotteries!C:C,MATCH(C458,Lotteries!A:A,0))*D458</f>
        <v>50</v>
      </c>
      <c r="F458" s="3">
        <f>D458*INDEX(Lotteries!G:G,MATCH(C458,Lotteries!A:A,0))</f>
        <v>0.14218009478672985</v>
      </c>
      <c r="G458" s="3">
        <f>INDEX(Lotteries!F:F,MATCH(C458,Lotteries!A:A,0))*D458/INDEX(Lotteries!D:D,MATCH(C458,Lotteries!A:A,0))*(INDEX(Lotteries!D:D,MATCH(C458,Lotteries!A:A,0))-D458)/INDEX(Lotteries!D:D,MATCH(C458,Lotteries!A:A,0))*(INDEX(Lotteries!D:D,MATCH(C458,Lotteries!A:A,0))-INDEX(Lotteries!F:F,MATCH(C458,Lotteries!A:A,0)))/(INDEX(Lotteries!D:D,MATCH(C458,Lotteries!A:A,0))-1)</f>
        <v>0.13550587684142637</v>
      </c>
      <c r="H458" s="7">
        <f>INDEX(Persons!A:A,MATCH(Sales!I458,Persons!B:B,0))</f>
        <v>53</v>
      </c>
      <c r="I458" s="2" t="str">
        <f t="shared" si="0"/>
        <v>Sondre</v>
      </c>
      <c r="J458">
        <f t="shared" si="1"/>
        <v>5</v>
      </c>
      <c r="L458" t="s">
        <v>164</v>
      </c>
    </row>
    <row r="459" spans="1:12" x14ac:dyDescent="0.3">
      <c r="A459">
        <v>458</v>
      </c>
      <c r="B459">
        <v>14</v>
      </c>
      <c r="C459" s="11">
        <v>25</v>
      </c>
      <c r="D459">
        <v>5</v>
      </c>
      <c r="E459" s="7">
        <f>INDEX(Lotteries!C:C,MATCH(C459,Lotteries!A:A,0))*D459</f>
        <v>50</v>
      </c>
      <c r="F459" s="3">
        <f>D459*INDEX(Lotteries!G:G,MATCH(C459,Lotteries!A:A,0))</f>
        <v>0.14218009478672985</v>
      </c>
      <c r="G459" s="3">
        <f>INDEX(Lotteries!F:F,MATCH(C459,Lotteries!A:A,0))*D459/INDEX(Lotteries!D:D,MATCH(C459,Lotteries!A:A,0))*(INDEX(Lotteries!D:D,MATCH(C459,Lotteries!A:A,0))-D459)/INDEX(Lotteries!D:D,MATCH(C459,Lotteries!A:A,0))*(INDEX(Lotteries!D:D,MATCH(C459,Lotteries!A:A,0))-INDEX(Lotteries!F:F,MATCH(C459,Lotteries!A:A,0)))/(INDEX(Lotteries!D:D,MATCH(C459,Lotteries!A:A,0))-1)</f>
        <v>0.13550587684142637</v>
      </c>
      <c r="H459" s="7">
        <f>INDEX(Persons!A:A,MATCH(Sales!I459,Persons!B:B,0))</f>
        <v>14</v>
      </c>
      <c r="I459" s="2" t="str">
        <f t="shared" si="0"/>
        <v>Truls</v>
      </c>
      <c r="J459">
        <f t="shared" si="1"/>
        <v>5</v>
      </c>
      <c r="L459" t="s">
        <v>165</v>
      </c>
    </row>
    <row r="460" spans="1:12" x14ac:dyDescent="0.3">
      <c r="A460">
        <v>459</v>
      </c>
      <c r="B460">
        <v>33</v>
      </c>
      <c r="C460" s="11">
        <v>25</v>
      </c>
      <c r="D460">
        <v>10</v>
      </c>
      <c r="E460" s="7">
        <f>INDEX(Lotteries!C:C,MATCH(C460,Lotteries!A:A,0))*D460</f>
        <v>100</v>
      </c>
      <c r="F460" s="3">
        <f>D460*INDEX(Lotteries!G:G,MATCH(C460,Lotteries!A:A,0))</f>
        <v>0.28436018957345971</v>
      </c>
      <c r="G460" s="3">
        <f>INDEX(Lotteries!F:F,MATCH(C460,Lotteries!A:A,0))*D460/INDEX(Lotteries!D:D,MATCH(C460,Lotteries!A:A,0))*(INDEX(Lotteries!D:D,MATCH(C460,Lotteries!A:A,0))-D460)/INDEX(Lotteries!D:D,MATCH(C460,Lotteries!A:A,0))*(INDEX(Lotteries!D:D,MATCH(C460,Lotteries!A:A,0))-INDEX(Lotteries!F:F,MATCH(C460,Lotteries!A:A,0)))/(INDEX(Lotteries!D:D,MATCH(C460,Lotteries!A:A,0))-1)</f>
        <v>0.26443379849637566</v>
      </c>
      <c r="H460" s="7">
        <f>INDEX(Persons!A:A,MATCH(Sales!I460,Persons!B:B,0))</f>
        <v>33</v>
      </c>
      <c r="I460" s="2" t="str">
        <f t="shared" si="0"/>
        <v>Anders A</v>
      </c>
      <c r="J460">
        <f t="shared" si="1"/>
        <v>10</v>
      </c>
      <c r="L460" t="s">
        <v>144</v>
      </c>
    </row>
    <row r="461" spans="1:12" x14ac:dyDescent="0.3">
      <c r="A461">
        <v>460</v>
      </c>
      <c r="B461">
        <v>37</v>
      </c>
      <c r="C461" s="11">
        <v>25</v>
      </c>
      <c r="D461">
        <v>10</v>
      </c>
      <c r="E461" s="7">
        <f>INDEX(Lotteries!C:C,MATCH(C461,Lotteries!A:A,0))*D461</f>
        <v>100</v>
      </c>
      <c r="F461" s="3">
        <f>D461*INDEX(Lotteries!G:G,MATCH(C461,Lotteries!A:A,0))</f>
        <v>0.28436018957345971</v>
      </c>
      <c r="G461" s="3">
        <f>INDEX(Lotteries!F:F,MATCH(C461,Lotteries!A:A,0))*D461/INDEX(Lotteries!D:D,MATCH(C461,Lotteries!A:A,0))*(INDEX(Lotteries!D:D,MATCH(C461,Lotteries!A:A,0))-D461)/INDEX(Lotteries!D:D,MATCH(C461,Lotteries!A:A,0))*(INDEX(Lotteries!D:D,MATCH(C461,Lotteries!A:A,0))-INDEX(Lotteries!F:F,MATCH(C461,Lotteries!A:A,0)))/(INDEX(Lotteries!D:D,MATCH(C461,Lotteries!A:A,0))-1)</f>
        <v>0.26443379849637566</v>
      </c>
      <c r="H461" s="7">
        <f>INDEX(Persons!A:A,MATCH(Sales!I461,Persons!B:B,0))</f>
        <v>37</v>
      </c>
      <c r="I461" s="2" t="str">
        <f t="shared" si="0"/>
        <v>Ruben O</v>
      </c>
      <c r="J461">
        <f t="shared" si="1"/>
        <v>10</v>
      </c>
      <c r="L461" t="s">
        <v>166</v>
      </c>
    </row>
    <row r="462" spans="1:12" x14ac:dyDescent="0.3">
      <c r="A462">
        <v>461</v>
      </c>
      <c r="B462">
        <v>29</v>
      </c>
      <c r="C462" s="11">
        <v>25</v>
      </c>
      <c r="D462">
        <v>10</v>
      </c>
      <c r="E462" s="7">
        <f>INDEX(Lotteries!C:C,MATCH(C462,Lotteries!A:A,0))*D462</f>
        <v>100</v>
      </c>
      <c r="F462" s="3">
        <f>D462*INDEX(Lotteries!G:G,MATCH(C462,Lotteries!A:A,0))</f>
        <v>0.28436018957345971</v>
      </c>
      <c r="G462" s="3">
        <f>INDEX(Lotteries!F:F,MATCH(C462,Lotteries!A:A,0))*D462/INDEX(Lotteries!D:D,MATCH(C462,Lotteries!A:A,0))*(INDEX(Lotteries!D:D,MATCH(C462,Lotteries!A:A,0))-D462)/INDEX(Lotteries!D:D,MATCH(C462,Lotteries!A:A,0))*(INDEX(Lotteries!D:D,MATCH(C462,Lotteries!A:A,0))-INDEX(Lotteries!F:F,MATCH(C462,Lotteries!A:A,0)))/(INDEX(Lotteries!D:D,MATCH(C462,Lotteries!A:A,0))-1)</f>
        <v>0.26443379849637566</v>
      </c>
      <c r="H462" s="7">
        <f>INDEX(Persons!A:A,MATCH(Sales!I462,Persons!B:B,0))</f>
        <v>29</v>
      </c>
      <c r="I462" s="2" t="str">
        <f t="shared" si="0"/>
        <v>Magnus B</v>
      </c>
      <c r="J462">
        <f t="shared" si="1"/>
        <v>10</v>
      </c>
      <c r="L462" t="s">
        <v>167</v>
      </c>
    </row>
    <row r="463" spans="1:12" x14ac:dyDescent="0.3">
      <c r="A463">
        <v>462</v>
      </c>
      <c r="B463">
        <v>52</v>
      </c>
      <c r="C463" s="11">
        <v>25</v>
      </c>
      <c r="D463">
        <v>14</v>
      </c>
      <c r="E463" s="7">
        <f>INDEX(Lotteries!C:C,MATCH(C463,Lotteries!A:A,0))*D463</f>
        <v>140</v>
      </c>
      <c r="F463" s="3">
        <f>D463*INDEX(Lotteries!G:G,MATCH(C463,Lotteries!A:A,0))</f>
        <v>0.3981042654028436</v>
      </c>
      <c r="G463" s="3">
        <f>INDEX(Lotteries!F:F,MATCH(C463,Lotteries!A:A,0))*D463/INDEX(Lotteries!D:D,MATCH(C463,Lotteries!A:A,0))*(INDEX(Lotteries!D:D,MATCH(C463,Lotteries!A:A,0))-D463)/INDEX(Lotteries!D:D,MATCH(C463,Lotteries!A:A,0))*(INDEX(Lotteries!D:D,MATCH(C463,Lotteries!A:A,0))-INDEX(Lotteries!F:F,MATCH(C463,Lotteries!A:A,0)))/(INDEX(Lotteries!D:D,MATCH(C463,Lotteries!A:A,0))-1)</f>
        <v>0.36284000808607175</v>
      </c>
      <c r="H463" s="7">
        <f>INDEX(Persons!A:A,MATCH(Sales!I463,Persons!B:B,0))</f>
        <v>52</v>
      </c>
      <c r="I463" s="2" t="str">
        <f t="shared" si="0"/>
        <v>Anders Sz</v>
      </c>
      <c r="J463">
        <f t="shared" si="1"/>
        <v>14</v>
      </c>
      <c r="L463" t="s">
        <v>168</v>
      </c>
    </row>
    <row r="464" spans="1:12" x14ac:dyDescent="0.3">
      <c r="A464">
        <v>463</v>
      </c>
      <c r="B464">
        <v>58</v>
      </c>
      <c r="C464" s="11">
        <v>25</v>
      </c>
      <c r="D464">
        <v>10</v>
      </c>
      <c r="E464" s="7">
        <f>INDEX(Lotteries!C:C,MATCH(C464,Lotteries!A:A,0))*D464</f>
        <v>100</v>
      </c>
      <c r="F464" s="3">
        <f>D464*INDEX(Lotteries!G:G,MATCH(C464,Lotteries!A:A,0))</f>
        <v>0.28436018957345971</v>
      </c>
      <c r="G464" s="3">
        <f>INDEX(Lotteries!F:F,MATCH(C464,Lotteries!A:A,0))*D464/INDEX(Lotteries!D:D,MATCH(C464,Lotteries!A:A,0))*(INDEX(Lotteries!D:D,MATCH(C464,Lotteries!A:A,0))-D464)/INDEX(Lotteries!D:D,MATCH(C464,Lotteries!A:A,0))*(INDEX(Lotteries!D:D,MATCH(C464,Lotteries!A:A,0))-INDEX(Lotteries!F:F,MATCH(C464,Lotteries!A:A,0)))/(INDEX(Lotteries!D:D,MATCH(C464,Lotteries!A:A,0))-1)</f>
        <v>0.26443379849637566</v>
      </c>
      <c r="H464" s="7">
        <f>INDEX(Persons!A:A,MATCH(Sales!I464,Persons!B:B,0))</f>
        <v>58</v>
      </c>
      <c r="I464" s="2" t="str">
        <f t="shared" si="0"/>
        <v>Eli</v>
      </c>
      <c r="J464">
        <f t="shared" si="1"/>
        <v>10</v>
      </c>
      <c r="L464" t="s">
        <v>169</v>
      </c>
    </row>
    <row r="465" spans="1:12" x14ac:dyDescent="0.3">
      <c r="A465">
        <v>464</v>
      </c>
      <c r="B465">
        <v>46</v>
      </c>
      <c r="C465" s="11">
        <v>25</v>
      </c>
      <c r="D465">
        <v>6</v>
      </c>
      <c r="E465" s="7">
        <f>INDEX(Lotteries!C:C,MATCH(C465,Lotteries!A:A,0))*D465</f>
        <v>60</v>
      </c>
      <c r="F465" s="3">
        <f>D465*INDEX(Lotteries!G:G,MATCH(C465,Lotteries!A:A,0))</f>
        <v>0.17061611374407581</v>
      </c>
      <c r="G465" s="3">
        <f>INDEX(Lotteries!F:F,MATCH(C465,Lotteries!A:A,0))*D465/INDEX(Lotteries!D:D,MATCH(C465,Lotteries!A:A,0))*(INDEX(Lotteries!D:D,MATCH(C465,Lotteries!A:A,0))-D465)/INDEX(Lotteries!D:D,MATCH(C465,Lotteries!A:A,0))*(INDEX(Lotteries!D:D,MATCH(C465,Lotteries!A:A,0))-INDEX(Lotteries!F:F,MATCH(C465,Lotteries!A:A,0)))/(INDEX(Lotteries!D:D,MATCH(C465,Lotteries!A:A,0))-1)</f>
        <v>0.16181769758733439</v>
      </c>
      <c r="H465" s="7">
        <f>INDEX(Persons!A:A,MATCH(Sales!I465,Persons!B:B,0))</f>
        <v>46</v>
      </c>
      <c r="I465" s="2" t="str">
        <f t="shared" si="0"/>
        <v>Ciaran</v>
      </c>
      <c r="J465">
        <f t="shared" si="1"/>
        <v>6</v>
      </c>
      <c r="L465" t="s">
        <v>170</v>
      </c>
    </row>
    <row r="466" spans="1:12" x14ac:dyDescent="0.3">
      <c r="A466">
        <v>465</v>
      </c>
      <c r="B466">
        <v>32</v>
      </c>
      <c r="C466" s="11">
        <v>25</v>
      </c>
      <c r="D466">
        <v>20</v>
      </c>
      <c r="E466" s="7">
        <f>INDEX(Lotteries!C:C,MATCH(C466,Lotteries!A:A,0))*D466</f>
        <v>200</v>
      </c>
      <c r="F466" s="3">
        <f>D466*INDEX(Lotteries!G:G,MATCH(C466,Lotteries!A:A,0))</f>
        <v>0.56872037914691942</v>
      </c>
      <c r="G466" s="3">
        <f>INDEX(Lotteries!F:F,MATCH(C466,Lotteries!A:A,0))*D466/INDEX(Lotteries!D:D,MATCH(C466,Lotteries!A:A,0))*(INDEX(Lotteries!D:D,MATCH(C466,Lotteries!A:A,0))-D466)/INDEX(Lotteries!D:D,MATCH(C466,Lotteries!A:A,0))*(INDEX(Lotteries!D:D,MATCH(C466,Lotteries!A:A,0))-INDEX(Lotteries!F:F,MATCH(C466,Lotteries!A:A,0)))/(INDEX(Lotteries!D:D,MATCH(C466,Lotteries!A:A,0))-1)</f>
        <v>0.50255577624684333</v>
      </c>
      <c r="H466" s="7">
        <f>INDEX(Persons!A:A,MATCH(Sales!I466,Persons!B:B,0))</f>
        <v>32</v>
      </c>
      <c r="I466" s="2" t="str">
        <f t="shared" si="0"/>
        <v>Martin</v>
      </c>
      <c r="J466">
        <f t="shared" si="1"/>
        <v>20</v>
      </c>
      <c r="L466" t="s">
        <v>171</v>
      </c>
    </row>
    <row r="467" spans="1:12" x14ac:dyDescent="0.3">
      <c r="A467">
        <v>466</v>
      </c>
      <c r="B467">
        <v>47</v>
      </c>
      <c r="C467" s="11">
        <v>25</v>
      </c>
      <c r="D467">
        <v>15</v>
      </c>
      <c r="E467" s="7">
        <f>INDEX(Lotteries!C:C,MATCH(C467,Lotteries!A:A,0))*D467</f>
        <v>150</v>
      </c>
      <c r="F467" s="3">
        <f>D467*INDEX(Lotteries!G:G,MATCH(C467,Lotteries!A:A,0))</f>
        <v>0.42654028436018954</v>
      </c>
      <c r="G467" s="3">
        <f>INDEX(Lotteries!F:F,MATCH(C467,Lotteries!A:A,0))*D467/INDEX(Lotteries!D:D,MATCH(C467,Lotteries!A:A,0))*(INDEX(Lotteries!D:D,MATCH(C467,Lotteries!A:A,0))-D467)/INDEX(Lotteries!D:D,MATCH(C467,Lotteries!A:A,0))*(INDEX(Lotteries!D:D,MATCH(C467,Lotteries!A:A,0))-INDEX(Lotteries!F:F,MATCH(C467,Lotteries!A:A,0)))/(INDEX(Lotteries!D:D,MATCH(C467,Lotteries!A:A,0))-1)</f>
        <v>0.38678376496484806</v>
      </c>
      <c r="H467" s="7">
        <f>INDEX(Persons!A:A,MATCH(Sales!I467,Persons!B:B,0))</f>
        <v>47</v>
      </c>
      <c r="I467" s="2" t="str">
        <f t="shared" si="0"/>
        <v>Kenneth</v>
      </c>
      <c r="J467">
        <f t="shared" si="1"/>
        <v>15</v>
      </c>
      <c r="L467" t="s">
        <v>172</v>
      </c>
    </row>
    <row r="468" spans="1:12" x14ac:dyDescent="0.3">
      <c r="A468">
        <v>467</v>
      </c>
      <c r="B468">
        <v>10</v>
      </c>
      <c r="C468" s="11">
        <v>25</v>
      </c>
      <c r="D468">
        <v>10</v>
      </c>
      <c r="E468" s="7">
        <f>INDEX(Lotteries!C:C,MATCH(C468,Lotteries!A:A,0))*D468</f>
        <v>100</v>
      </c>
      <c r="F468" s="3">
        <f>D468*INDEX(Lotteries!G:G,MATCH(C468,Lotteries!A:A,0))</f>
        <v>0.28436018957345971</v>
      </c>
      <c r="G468" s="3">
        <f>INDEX(Lotteries!F:F,MATCH(C468,Lotteries!A:A,0))*D468/INDEX(Lotteries!D:D,MATCH(C468,Lotteries!A:A,0))*(INDEX(Lotteries!D:D,MATCH(C468,Lotteries!A:A,0))-D468)/INDEX(Lotteries!D:D,MATCH(C468,Lotteries!A:A,0))*(INDEX(Lotteries!D:D,MATCH(C468,Lotteries!A:A,0))-INDEX(Lotteries!F:F,MATCH(C468,Lotteries!A:A,0)))/(INDEX(Lotteries!D:D,MATCH(C468,Lotteries!A:A,0))-1)</f>
        <v>0.26443379849637566</v>
      </c>
      <c r="H468" s="7">
        <f>INDEX(Persons!A:A,MATCH(Sales!I468,Persons!B:B,0))</f>
        <v>10</v>
      </c>
      <c r="I468" s="2" t="str">
        <f t="shared" si="0"/>
        <v>Odd</v>
      </c>
      <c r="J468">
        <f t="shared" si="1"/>
        <v>10</v>
      </c>
      <c r="L468" t="s">
        <v>173</v>
      </c>
    </row>
    <row r="469" spans="1:12" x14ac:dyDescent="0.3">
      <c r="A469">
        <v>468</v>
      </c>
      <c r="B469">
        <v>52</v>
      </c>
      <c r="C469" s="11">
        <v>25</v>
      </c>
      <c r="D469">
        <v>14</v>
      </c>
      <c r="E469" s="7">
        <f>INDEX(Lotteries!C:C,MATCH(C469,Lotteries!A:A,0))*D469</f>
        <v>140</v>
      </c>
      <c r="F469" s="3">
        <f>D469*INDEX(Lotteries!G:G,MATCH(C469,Lotteries!A:A,0))</f>
        <v>0.3981042654028436</v>
      </c>
      <c r="G469" s="3">
        <f>INDEX(Lotteries!F:F,MATCH(C469,Lotteries!A:A,0))*D469/INDEX(Lotteries!D:D,MATCH(C469,Lotteries!A:A,0))*(INDEX(Lotteries!D:D,MATCH(C469,Lotteries!A:A,0))-D469)/INDEX(Lotteries!D:D,MATCH(C469,Lotteries!A:A,0))*(INDEX(Lotteries!D:D,MATCH(C469,Lotteries!A:A,0))-INDEX(Lotteries!F:F,MATCH(C469,Lotteries!A:A,0)))/(INDEX(Lotteries!D:D,MATCH(C469,Lotteries!A:A,0))-1)</f>
        <v>0.36284000808607175</v>
      </c>
      <c r="H469" s="7">
        <f>INDEX(Persons!A:A,MATCH(Sales!I469,Persons!B:B,0))</f>
        <v>52</v>
      </c>
      <c r="I469" s="2" t="str">
        <f t="shared" si="0"/>
        <v>Anders Sz</v>
      </c>
      <c r="J469">
        <f t="shared" si="1"/>
        <v>14</v>
      </c>
      <c r="L469" t="s">
        <v>174</v>
      </c>
    </row>
    <row r="470" spans="1:12" x14ac:dyDescent="0.3">
      <c r="A470">
        <v>469</v>
      </c>
      <c r="B470">
        <v>34</v>
      </c>
      <c r="C470" s="11">
        <v>25</v>
      </c>
      <c r="D470">
        <v>6</v>
      </c>
      <c r="E470" s="7">
        <f>INDEX(Lotteries!C:C,MATCH(C470,Lotteries!A:A,0))*D470</f>
        <v>60</v>
      </c>
      <c r="F470" s="3">
        <f>D470*INDEX(Lotteries!G:G,MATCH(C470,Lotteries!A:A,0))</f>
        <v>0.17061611374407581</v>
      </c>
      <c r="G470" s="3">
        <f>INDEX(Lotteries!F:F,MATCH(C470,Lotteries!A:A,0))*D470/INDEX(Lotteries!D:D,MATCH(C470,Lotteries!A:A,0))*(INDEX(Lotteries!D:D,MATCH(C470,Lotteries!A:A,0))-D470)/INDEX(Lotteries!D:D,MATCH(C470,Lotteries!A:A,0))*(INDEX(Lotteries!D:D,MATCH(C470,Lotteries!A:A,0))-INDEX(Lotteries!F:F,MATCH(C470,Lotteries!A:A,0)))/(INDEX(Lotteries!D:D,MATCH(C470,Lotteries!A:A,0))-1)</f>
        <v>0.16181769758733439</v>
      </c>
      <c r="H470" s="7">
        <f>INDEX(Persons!A:A,MATCH(Sales!I470,Persons!B:B,0))</f>
        <v>34</v>
      </c>
      <c r="I470" s="2" t="str">
        <f t="shared" si="0"/>
        <v>Asgeir</v>
      </c>
      <c r="J470">
        <f t="shared" si="1"/>
        <v>6</v>
      </c>
      <c r="L470" t="s">
        <v>175</v>
      </c>
    </row>
    <row r="471" spans="1:12" x14ac:dyDescent="0.3">
      <c r="A471">
        <v>470</v>
      </c>
      <c r="B471">
        <v>36</v>
      </c>
      <c r="C471" s="11">
        <v>25</v>
      </c>
      <c r="D471">
        <v>5</v>
      </c>
      <c r="E471" s="7">
        <f>INDEX(Lotteries!C:C,MATCH(C471,Lotteries!A:A,0))*D471</f>
        <v>50</v>
      </c>
      <c r="F471" s="3">
        <f>D471*INDEX(Lotteries!G:G,MATCH(C471,Lotteries!A:A,0))</f>
        <v>0.14218009478672985</v>
      </c>
      <c r="G471" s="3">
        <f>INDEX(Lotteries!F:F,MATCH(C471,Lotteries!A:A,0))*D471/INDEX(Lotteries!D:D,MATCH(C471,Lotteries!A:A,0))*(INDEX(Lotteries!D:D,MATCH(C471,Lotteries!A:A,0))-D471)/INDEX(Lotteries!D:D,MATCH(C471,Lotteries!A:A,0))*(INDEX(Lotteries!D:D,MATCH(C471,Lotteries!A:A,0))-INDEX(Lotteries!F:F,MATCH(C471,Lotteries!A:A,0)))/(INDEX(Lotteries!D:D,MATCH(C471,Lotteries!A:A,0))-1)</f>
        <v>0.13550587684142637</v>
      </c>
      <c r="H471" s="7">
        <f>INDEX(Persons!A:A,MATCH(Sales!I471,Persons!B:B,0))</f>
        <v>36</v>
      </c>
      <c r="I471" s="2" t="str">
        <f t="shared" si="0"/>
        <v>Ingvild</v>
      </c>
      <c r="J471">
        <f t="shared" si="1"/>
        <v>5</v>
      </c>
      <c r="L471" t="s">
        <v>176</v>
      </c>
    </row>
    <row r="472" spans="1:12" x14ac:dyDescent="0.3">
      <c r="A472">
        <v>471</v>
      </c>
      <c r="B472">
        <v>45</v>
      </c>
      <c r="C472" s="11">
        <v>25</v>
      </c>
      <c r="D472">
        <v>10</v>
      </c>
      <c r="E472" s="7">
        <f>INDEX(Lotteries!C:C,MATCH(C472,Lotteries!A:A,0))*D472</f>
        <v>100</v>
      </c>
      <c r="F472" s="3">
        <f>D472*INDEX(Lotteries!G:G,MATCH(C472,Lotteries!A:A,0))</f>
        <v>0.28436018957345971</v>
      </c>
      <c r="G472" s="3">
        <f>INDEX(Lotteries!F:F,MATCH(C472,Lotteries!A:A,0))*D472/INDEX(Lotteries!D:D,MATCH(C472,Lotteries!A:A,0))*(INDEX(Lotteries!D:D,MATCH(C472,Lotteries!A:A,0))-D472)/INDEX(Lotteries!D:D,MATCH(C472,Lotteries!A:A,0))*(INDEX(Lotteries!D:D,MATCH(C472,Lotteries!A:A,0))-INDEX(Lotteries!F:F,MATCH(C472,Lotteries!A:A,0)))/(INDEX(Lotteries!D:D,MATCH(C472,Lotteries!A:A,0))-1)</f>
        <v>0.26443379849637566</v>
      </c>
      <c r="H472" s="7">
        <f>INDEX(Persons!A:A,MATCH(Sales!I472,Persons!B:B,0))</f>
        <v>45</v>
      </c>
      <c r="I472" s="2" t="str">
        <f t="shared" si="0"/>
        <v>Fridtjof</v>
      </c>
      <c r="J472">
        <f t="shared" si="1"/>
        <v>10</v>
      </c>
      <c r="L472" t="s">
        <v>177</v>
      </c>
    </row>
    <row r="473" spans="1:12" x14ac:dyDescent="0.3">
      <c r="A473">
        <v>472</v>
      </c>
      <c r="B473">
        <v>24</v>
      </c>
      <c r="C473" s="11">
        <v>25</v>
      </c>
      <c r="D473">
        <v>5</v>
      </c>
      <c r="E473" s="7">
        <f>INDEX(Lotteries!C:C,MATCH(C473,Lotteries!A:A,0))*D473</f>
        <v>50</v>
      </c>
      <c r="F473" s="3">
        <f>D473*INDEX(Lotteries!G:G,MATCH(C473,Lotteries!A:A,0))</f>
        <v>0.14218009478672985</v>
      </c>
      <c r="G473" s="3">
        <f>INDEX(Lotteries!F:F,MATCH(C473,Lotteries!A:A,0))*D473/INDEX(Lotteries!D:D,MATCH(C473,Lotteries!A:A,0))*(INDEX(Lotteries!D:D,MATCH(C473,Lotteries!A:A,0))-D473)/INDEX(Lotteries!D:D,MATCH(C473,Lotteries!A:A,0))*(INDEX(Lotteries!D:D,MATCH(C473,Lotteries!A:A,0))-INDEX(Lotteries!F:F,MATCH(C473,Lotteries!A:A,0)))/(INDEX(Lotteries!D:D,MATCH(C473,Lotteries!A:A,0))-1)</f>
        <v>0.13550587684142637</v>
      </c>
      <c r="H473" s="7">
        <f>INDEX(Persons!A:A,MATCH(Sales!I473,Persons!B:B,0))</f>
        <v>24</v>
      </c>
      <c r="I473" s="2" t="str">
        <f t="shared" si="0"/>
        <v>Terje</v>
      </c>
      <c r="J473">
        <f t="shared" si="1"/>
        <v>5</v>
      </c>
      <c r="L473" t="s">
        <v>178</v>
      </c>
    </row>
    <row r="474" spans="1:12" x14ac:dyDescent="0.3">
      <c r="A474">
        <v>473</v>
      </c>
      <c r="B474">
        <v>11</v>
      </c>
      <c r="C474" s="11">
        <v>25</v>
      </c>
      <c r="D474">
        <v>5</v>
      </c>
      <c r="E474" s="7">
        <f>INDEX(Lotteries!C:C,MATCH(C474,Lotteries!A:A,0))*D474</f>
        <v>50</v>
      </c>
      <c r="F474" s="3">
        <f>D474*INDEX(Lotteries!G:G,MATCH(C474,Lotteries!A:A,0))</f>
        <v>0.14218009478672985</v>
      </c>
      <c r="G474" s="3">
        <f>INDEX(Lotteries!F:F,MATCH(C474,Lotteries!A:A,0))*D474/INDEX(Lotteries!D:D,MATCH(C474,Lotteries!A:A,0))*(INDEX(Lotteries!D:D,MATCH(C474,Lotteries!A:A,0))-D474)/INDEX(Lotteries!D:D,MATCH(C474,Lotteries!A:A,0))*(INDEX(Lotteries!D:D,MATCH(C474,Lotteries!A:A,0))-INDEX(Lotteries!F:F,MATCH(C474,Lotteries!A:A,0)))/(INDEX(Lotteries!D:D,MATCH(C474,Lotteries!A:A,0))-1)</f>
        <v>0.13550587684142637</v>
      </c>
      <c r="H474" s="7">
        <f>INDEX(Persons!A:A,MATCH(Sales!I474,Persons!B:B,0))</f>
        <v>11</v>
      </c>
      <c r="I474" s="2" t="str">
        <f t="shared" si="0"/>
        <v>Stein</v>
      </c>
      <c r="J474">
        <f t="shared" si="1"/>
        <v>5</v>
      </c>
      <c r="L474" t="s">
        <v>145</v>
      </c>
    </row>
    <row r="475" spans="1:12" x14ac:dyDescent="0.3">
      <c r="A475">
        <v>474</v>
      </c>
      <c r="B475">
        <v>44</v>
      </c>
      <c r="C475" s="11">
        <v>25</v>
      </c>
      <c r="D475">
        <v>5</v>
      </c>
      <c r="E475" s="7">
        <f>INDEX(Lotteries!C:C,MATCH(C475,Lotteries!A:A,0))*D475</f>
        <v>50</v>
      </c>
      <c r="F475" s="3">
        <f>D475*INDEX(Lotteries!G:G,MATCH(C475,Lotteries!A:A,0))</f>
        <v>0.14218009478672985</v>
      </c>
      <c r="G475" s="3">
        <f>INDEX(Lotteries!F:F,MATCH(C475,Lotteries!A:A,0))*D475/INDEX(Lotteries!D:D,MATCH(C475,Lotteries!A:A,0))*(INDEX(Lotteries!D:D,MATCH(C475,Lotteries!A:A,0))-D475)/INDEX(Lotteries!D:D,MATCH(C475,Lotteries!A:A,0))*(INDEX(Lotteries!D:D,MATCH(C475,Lotteries!A:A,0))-INDEX(Lotteries!F:F,MATCH(C475,Lotteries!A:A,0)))/(INDEX(Lotteries!D:D,MATCH(C475,Lotteries!A:A,0))-1)</f>
        <v>0.13550587684142637</v>
      </c>
      <c r="H475" s="7">
        <f>INDEX(Persons!A:A,MATCH(Sales!I475,Persons!B:B,0))</f>
        <v>44</v>
      </c>
      <c r="I475" s="2" t="str">
        <f t="shared" si="0"/>
        <v>Jan</v>
      </c>
      <c r="J475">
        <f t="shared" si="1"/>
        <v>5</v>
      </c>
      <c r="L475" t="s">
        <v>179</v>
      </c>
    </row>
    <row r="476" spans="1:12" x14ac:dyDescent="0.3">
      <c r="A476">
        <v>475</v>
      </c>
      <c r="B476">
        <v>60</v>
      </c>
      <c r="C476" s="11">
        <v>25</v>
      </c>
      <c r="D476">
        <v>1</v>
      </c>
      <c r="E476" s="7">
        <f>INDEX(Lotteries!C:C,MATCH(C476,Lotteries!A:A,0))*D476</f>
        <v>10</v>
      </c>
      <c r="F476" s="3">
        <f>D476*INDEX(Lotteries!G:G,MATCH(C476,Lotteries!A:A,0))</f>
        <v>2.843601895734597E-2</v>
      </c>
      <c r="G476" s="3">
        <f>INDEX(Lotteries!F:F,MATCH(C476,Lotteries!A:A,0))*D476/INDEX(Lotteries!D:D,MATCH(C476,Lotteries!A:A,0))*(INDEX(Lotteries!D:D,MATCH(C476,Lotteries!A:A,0))-D476)/INDEX(Lotteries!D:D,MATCH(C476,Lotteries!A:A,0))*(INDEX(Lotteries!D:D,MATCH(C476,Lotteries!A:A,0))-INDEX(Lotteries!F:F,MATCH(C476,Lotteries!A:A,0)))/(INDEX(Lotteries!D:D,MATCH(C476,Lotteries!A:A,0))-1)</f>
        <v>2.7627411783203434E-2</v>
      </c>
      <c r="H476" s="7">
        <f>INDEX(Persons!A:A,MATCH(Sales!I476,Persons!B:B,0))</f>
        <v>60</v>
      </c>
      <c r="I476" s="2" t="str">
        <f t="shared" si="0"/>
        <v>Kristin G</v>
      </c>
      <c r="J476">
        <f t="shared" si="1"/>
        <v>1</v>
      </c>
      <c r="L476" t="s">
        <v>181</v>
      </c>
    </row>
    <row r="477" spans="1:12" x14ac:dyDescent="0.3">
      <c r="A477">
        <v>476</v>
      </c>
      <c r="B477">
        <v>15</v>
      </c>
      <c r="C477" s="11">
        <v>25</v>
      </c>
      <c r="D477">
        <v>6</v>
      </c>
      <c r="E477" s="7">
        <f>INDEX(Lotteries!C:C,MATCH(C477,Lotteries!A:A,0))*D477</f>
        <v>60</v>
      </c>
      <c r="F477" s="3">
        <f>D477*INDEX(Lotteries!G:G,MATCH(C477,Lotteries!A:A,0))</f>
        <v>0.17061611374407581</v>
      </c>
      <c r="G477" s="3">
        <f>INDEX(Lotteries!F:F,MATCH(C477,Lotteries!A:A,0))*D477/INDEX(Lotteries!D:D,MATCH(C477,Lotteries!A:A,0))*(INDEX(Lotteries!D:D,MATCH(C477,Lotteries!A:A,0))-D477)/INDEX(Lotteries!D:D,MATCH(C477,Lotteries!A:A,0))*(INDEX(Lotteries!D:D,MATCH(C477,Lotteries!A:A,0))-INDEX(Lotteries!F:F,MATCH(C477,Lotteries!A:A,0)))/(INDEX(Lotteries!D:D,MATCH(C477,Lotteries!A:A,0))-1)</f>
        <v>0.16181769758733439</v>
      </c>
      <c r="H477" s="7">
        <f>INDEX(Persons!A:A,MATCH(Sales!I477,Persons!B:B,0))</f>
        <v>15</v>
      </c>
      <c r="I477" s="2" t="str">
        <f t="shared" si="0"/>
        <v>Yngvar</v>
      </c>
      <c r="J477">
        <f t="shared" si="1"/>
        <v>6</v>
      </c>
      <c r="L477" t="s">
        <v>143</v>
      </c>
    </row>
    <row r="478" spans="1:12" x14ac:dyDescent="0.3">
      <c r="A478">
        <v>477</v>
      </c>
      <c r="B478">
        <v>13</v>
      </c>
      <c r="C478" s="11">
        <v>25</v>
      </c>
      <c r="D478">
        <v>10</v>
      </c>
      <c r="E478" s="7">
        <f>INDEX(Lotteries!C:C,MATCH(C478,Lotteries!A:A,0))*D478</f>
        <v>100</v>
      </c>
      <c r="F478" s="3">
        <f>D478*INDEX(Lotteries!G:G,MATCH(C478,Lotteries!A:A,0))</f>
        <v>0.28436018957345971</v>
      </c>
      <c r="G478" s="3">
        <f>INDEX(Lotteries!F:F,MATCH(C478,Lotteries!A:A,0))*D478/INDEX(Lotteries!D:D,MATCH(C478,Lotteries!A:A,0))*(INDEX(Lotteries!D:D,MATCH(C478,Lotteries!A:A,0))-D478)/INDEX(Lotteries!D:D,MATCH(C478,Lotteries!A:A,0))*(INDEX(Lotteries!D:D,MATCH(C478,Lotteries!A:A,0))-INDEX(Lotteries!F:F,MATCH(C478,Lotteries!A:A,0)))/(INDEX(Lotteries!D:D,MATCH(C478,Lotteries!A:A,0))-1)</f>
        <v>0.26443379849637566</v>
      </c>
      <c r="H478" s="7">
        <f>INDEX(Persons!A:A,MATCH(Sales!I478,Persons!B:B,0))</f>
        <v>13</v>
      </c>
      <c r="I478" s="2" t="str">
        <f t="shared" si="0"/>
        <v>Sven</v>
      </c>
      <c r="J478">
        <f t="shared" si="1"/>
        <v>10</v>
      </c>
      <c r="L478" t="s">
        <v>182</v>
      </c>
    </row>
    <row r="479" spans="1:12" x14ac:dyDescent="0.3">
      <c r="A479">
        <v>478</v>
      </c>
      <c r="B479">
        <v>61</v>
      </c>
      <c r="C479" s="11">
        <v>25</v>
      </c>
      <c r="D479">
        <v>6</v>
      </c>
      <c r="E479" s="7">
        <f>INDEX(Lotteries!C:C,MATCH(C479,Lotteries!A:A,0))*D479</f>
        <v>60</v>
      </c>
      <c r="F479" s="3">
        <f>D479*INDEX(Lotteries!G:G,MATCH(C479,Lotteries!A:A,0))</f>
        <v>0.17061611374407581</v>
      </c>
      <c r="G479" s="3">
        <f>INDEX(Lotteries!F:F,MATCH(C479,Lotteries!A:A,0))*D479/INDEX(Lotteries!D:D,MATCH(C479,Lotteries!A:A,0))*(INDEX(Lotteries!D:D,MATCH(C479,Lotteries!A:A,0))-D479)/INDEX(Lotteries!D:D,MATCH(C479,Lotteries!A:A,0))*(INDEX(Lotteries!D:D,MATCH(C479,Lotteries!A:A,0))-INDEX(Lotteries!F:F,MATCH(C479,Lotteries!A:A,0)))/(INDEX(Lotteries!D:D,MATCH(C479,Lotteries!A:A,0))-1)</f>
        <v>0.16181769758733439</v>
      </c>
      <c r="H479" s="7">
        <f>INDEX(Persons!A:A,MATCH(Sales!I479,Persons!B:B,0))</f>
        <v>61</v>
      </c>
      <c r="I479" s="2" t="str">
        <f t="shared" si="0"/>
        <v>Tone</v>
      </c>
      <c r="J479">
        <f t="shared" si="1"/>
        <v>6</v>
      </c>
      <c r="L479" t="s">
        <v>180</v>
      </c>
    </row>
    <row r="480" spans="1:12" x14ac:dyDescent="0.3">
      <c r="A480">
        <v>479</v>
      </c>
      <c r="B480">
        <v>33</v>
      </c>
      <c r="C480" s="11">
        <v>26</v>
      </c>
      <c r="D480">
        <v>10</v>
      </c>
      <c r="E480" s="7">
        <f>INDEX(Lotteries!C:C,MATCH(C480,Lotteries!A:A,0))*D480</f>
        <v>100</v>
      </c>
      <c r="F480" s="3">
        <f>D480*INDEX(Lotteries!G:G,MATCH(C480,Lotteries!A:A,0))</f>
        <v>0.58823529411764708</v>
      </c>
      <c r="G480" s="3">
        <f>INDEX(Lotteries!F:F,MATCH(C480,Lotteries!A:A,0))*D480/INDEX(Lotteries!D:D,MATCH(C480,Lotteries!A:A,0))*(INDEX(Lotteries!D:D,MATCH(C480,Lotteries!A:A,0))-D480)/INDEX(Lotteries!D:D,MATCH(C480,Lotteries!A:A,0))*(INDEX(Lotteries!D:D,MATCH(C480,Lotteries!A:A,0))-INDEX(Lotteries!F:F,MATCH(C480,Lotteries!A:A,0)))/(INDEX(Lotteries!D:D,MATCH(C480,Lotteries!A:A,0))-1)</f>
        <v>0.51672433679354102</v>
      </c>
      <c r="H480" s="7">
        <f>INDEX(Persons!A:A,MATCH(Sales!I480,Persons!B:B,0))</f>
        <v>33</v>
      </c>
      <c r="I480" s="2" t="str">
        <f t="shared" ref="I480:I498" si="2">MID(L480,FIND("""name"": """,L480)+9,FIND("""",L480,FIND("""name"": """,L480)+9)-FIND("""name"": """,L480)-9)</f>
        <v>Anders A</v>
      </c>
      <c r="J480">
        <f t="shared" ref="J480:J498" si="3">VALUE(MID(L480,FIND("""tickets"": ",L480)+11,MIN(IFERROR(FIND(",",L480,FIND("""tickets"": ",L480)),100),FIND("}",L480,FIND("""tickets"": ",L480)))-FIND("""tickets"": ",L480)-11))</f>
        <v>10</v>
      </c>
      <c r="L480" t="s">
        <v>190</v>
      </c>
    </row>
    <row r="481" spans="1:12" x14ac:dyDescent="0.3">
      <c r="A481">
        <v>480</v>
      </c>
      <c r="B481">
        <v>41</v>
      </c>
      <c r="C481" s="11">
        <v>26</v>
      </c>
      <c r="D481">
        <v>5</v>
      </c>
      <c r="E481" s="7">
        <f>INDEX(Lotteries!C:C,MATCH(C481,Lotteries!A:A,0))*D481</f>
        <v>50</v>
      </c>
      <c r="F481" s="3">
        <f>D481*INDEX(Lotteries!G:G,MATCH(C481,Lotteries!A:A,0))</f>
        <v>0.29411764705882354</v>
      </c>
      <c r="G481" s="3">
        <f>INDEX(Lotteries!F:F,MATCH(C481,Lotteries!A:A,0))*D481/INDEX(Lotteries!D:D,MATCH(C481,Lotteries!A:A,0))*(INDEX(Lotteries!D:D,MATCH(C481,Lotteries!A:A,0))-D481)/INDEX(Lotteries!D:D,MATCH(C481,Lotteries!A:A,0))*(INDEX(Lotteries!D:D,MATCH(C481,Lotteries!A:A,0))-INDEX(Lotteries!F:F,MATCH(C481,Lotteries!A:A,0)))/(INDEX(Lotteries!D:D,MATCH(C481,Lotteries!A:A,0))-1)</f>
        <v>0.26861463539664238</v>
      </c>
      <c r="H481" s="7">
        <f>INDEX(Persons!A:A,MATCH(Sales!I481,Persons!B:B,0))</f>
        <v>41</v>
      </c>
      <c r="I481" s="2" t="str">
        <f t="shared" si="2"/>
        <v>Ruben B</v>
      </c>
      <c r="J481">
        <f t="shared" si="3"/>
        <v>5</v>
      </c>
      <c r="L481" t="s">
        <v>191</v>
      </c>
    </row>
    <row r="482" spans="1:12" x14ac:dyDescent="0.3">
      <c r="A482">
        <v>481</v>
      </c>
      <c r="B482">
        <v>10</v>
      </c>
      <c r="C482" s="11">
        <v>26</v>
      </c>
      <c r="D482">
        <v>10</v>
      </c>
      <c r="E482" s="7">
        <f>INDEX(Lotteries!C:C,MATCH(C482,Lotteries!A:A,0))*D482</f>
        <v>100</v>
      </c>
      <c r="F482" s="3">
        <f>D482*INDEX(Lotteries!G:G,MATCH(C482,Lotteries!A:A,0))</f>
        <v>0.58823529411764708</v>
      </c>
      <c r="G482" s="3">
        <f>INDEX(Lotteries!F:F,MATCH(C482,Lotteries!A:A,0))*D482/INDEX(Lotteries!D:D,MATCH(C482,Lotteries!A:A,0))*(INDEX(Lotteries!D:D,MATCH(C482,Lotteries!A:A,0))-D482)/INDEX(Lotteries!D:D,MATCH(C482,Lotteries!A:A,0))*(INDEX(Lotteries!D:D,MATCH(C482,Lotteries!A:A,0))-INDEX(Lotteries!F:F,MATCH(C482,Lotteries!A:A,0)))/(INDEX(Lotteries!D:D,MATCH(C482,Lotteries!A:A,0))-1)</f>
        <v>0.51672433679354102</v>
      </c>
      <c r="H482" s="7">
        <f>INDEX(Persons!A:A,MATCH(Sales!I482,Persons!B:B,0))</f>
        <v>10</v>
      </c>
      <c r="I482" s="2" t="str">
        <f t="shared" si="2"/>
        <v>Odd</v>
      </c>
      <c r="J482">
        <f t="shared" si="3"/>
        <v>10</v>
      </c>
      <c r="L482" t="s">
        <v>192</v>
      </c>
    </row>
    <row r="483" spans="1:12" x14ac:dyDescent="0.3">
      <c r="A483">
        <v>482</v>
      </c>
      <c r="B483">
        <v>35</v>
      </c>
      <c r="C483" s="11">
        <v>26</v>
      </c>
      <c r="D483">
        <v>5</v>
      </c>
      <c r="E483" s="7">
        <f>INDEX(Lotteries!C:C,MATCH(C483,Lotteries!A:A,0))*D483</f>
        <v>50</v>
      </c>
      <c r="F483" s="3">
        <f>D483*INDEX(Lotteries!G:G,MATCH(C483,Lotteries!A:A,0))</f>
        <v>0.29411764705882354</v>
      </c>
      <c r="G483" s="3">
        <f>INDEX(Lotteries!F:F,MATCH(C483,Lotteries!A:A,0))*D483/INDEX(Lotteries!D:D,MATCH(C483,Lotteries!A:A,0))*(INDEX(Lotteries!D:D,MATCH(C483,Lotteries!A:A,0))-D483)/INDEX(Lotteries!D:D,MATCH(C483,Lotteries!A:A,0))*(INDEX(Lotteries!D:D,MATCH(C483,Lotteries!A:A,0))-INDEX(Lotteries!F:F,MATCH(C483,Lotteries!A:A,0)))/(INDEX(Lotteries!D:D,MATCH(C483,Lotteries!A:A,0))-1)</f>
        <v>0.26861463539664238</v>
      </c>
      <c r="H483" s="7">
        <f>INDEX(Persons!A:A,MATCH(Sales!I483,Persons!B:B,0))</f>
        <v>35</v>
      </c>
      <c r="I483" s="2" t="str">
        <f t="shared" si="2"/>
        <v>Mathias</v>
      </c>
      <c r="J483">
        <f t="shared" si="3"/>
        <v>5</v>
      </c>
      <c r="L483" t="s">
        <v>133</v>
      </c>
    </row>
    <row r="484" spans="1:12" x14ac:dyDescent="0.3">
      <c r="A484">
        <v>483</v>
      </c>
      <c r="B484">
        <v>46</v>
      </c>
      <c r="C484" s="11">
        <v>26</v>
      </c>
      <c r="D484">
        <v>4</v>
      </c>
      <c r="E484" s="7">
        <f>INDEX(Lotteries!C:C,MATCH(C484,Lotteries!A:A,0))*D484</f>
        <v>40</v>
      </c>
      <c r="F484" s="3">
        <f>D484*INDEX(Lotteries!G:G,MATCH(C484,Lotteries!A:A,0))</f>
        <v>0.23529411764705882</v>
      </c>
      <c r="G484" s="3">
        <f>INDEX(Lotteries!F:F,MATCH(C484,Lotteries!A:A,0))*D484/INDEX(Lotteries!D:D,MATCH(C484,Lotteries!A:A,0))*(INDEX(Lotteries!D:D,MATCH(C484,Lotteries!A:A,0))-D484)/INDEX(Lotteries!D:D,MATCH(C484,Lotteries!A:A,0))*(INDEX(Lotteries!D:D,MATCH(C484,Lotteries!A:A,0))-INDEX(Lotteries!F:F,MATCH(C484,Lotteries!A:A,0)))/(INDEX(Lotteries!D:D,MATCH(C484,Lotteries!A:A,0))-1)</f>
        <v>0.21653210303729334</v>
      </c>
      <c r="H484" s="7">
        <f>INDEX(Persons!A:A,MATCH(Sales!I484,Persons!B:B,0))</f>
        <v>46</v>
      </c>
      <c r="I484" s="2" t="str">
        <f t="shared" si="2"/>
        <v>Ciaran</v>
      </c>
      <c r="J484">
        <f t="shared" si="3"/>
        <v>4</v>
      </c>
      <c r="L484" t="s">
        <v>193</v>
      </c>
    </row>
    <row r="485" spans="1:12" x14ac:dyDescent="0.3">
      <c r="A485">
        <v>484</v>
      </c>
      <c r="B485">
        <v>45</v>
      </c>
      <c r="C485" s="11">
        <v>26</v>
      </c>
      <c r="D485">
        <v>10</v>
      </c>
      <c r="E485" s="7">
        <f>INDEX(Lotteries!C:C,MATCH(C485,Lotteries!A:A,0))*D485</f>
        <v>100</v>
      </c>
      <c r="F485" s="3">
        <f>D485*INDEX(Lotteries!G:G,MATCH(C485,Lotteries!A:A,0))</f>
        <v>0.58823529411764708</v>
      </c>
      <c r="G485" s="3">
        <f>INDEX(Lotteries!F:F,MATCH(C485,Lotteries!A:A,0))*D485/INDEX(Lotteries!D:D,MATCH(C485,Lotteries!A:A,0))*(INDEX(Lotteries!D:D,MATCH(C485,Lotteries!A:A,0))-D485)/INDEX(Lotteries!D:D,MATCH(C485,Lotteries!A:A,0))*(INDEX(Lotteries!D:D,MATCH(C485,Lotteries!A:A,0))-INDEX(Lotteries!F:F,MATCH(C485,Lotteries!A:A,0)))/(INDEX(Lotteries!D:D,MATCH(C485,Lotteries!A:A,0))-1)</f>
        <v>0.51672433679354102</v>
      </c>
      <c r="H485" s="7">
        <f>INDEX(Persons!A:A,MATCH(Sales!I485,Persons!B:B,0))</f>
        <v>45</v>
      </c>
      <c r="I485" s="2" t="str">
        <f t="shared" si="2"/>
        <v>Fridtjof</v>
      </c>
      <c r="J485">
        <f t="shared" si="3"/>
        <v>10</v>
      </c>
      <c r="L485" t="s">
        <v>177</v>
      </c>
    </row>
    <row r="486" spans="1:12" x14ac:dyDescent="0.3">
      <c r="A486">
        <v>485</v>
      </c>
      <c r="B486">
        <v>53</v>
      </c>
      <c r="C486" s="11">
        <v>26</v>
      </c>
      <c r="D486">
        <v>5</v>
      </c>
      <c r="E486" s="7">
        <f>INDEX(Lotteries!C:C,MATCH(C486,Lotteries!A:A,0))*D486</f>
        <v>50</v>
      </c>
      <c r="F486" s="3">
        <f>D486*INDEX(Lotteries!G:G,MATCH(C486,Lotteries!A:A,0))</f>
        <v>0.29411764705882354</v>
      </c>
      <c r="G486" s="3">
        <f>INDEX(Lotteries!F:F,MATCH(C486,Lotteries!A:A,0))*D486/INDEX(Lotteries!D:D,MATCH(C486,Lotteries!A:A,0))*(INDEX(Lotteries!D:D,MATCH(C486,Lotteries!A:A,0))-D486)/INDEX(Lotteries!D:D,MATCH(C486,Lotteries!A:A,0))*(INDEX(Lotteries!D:D,MATCH(C486,Lotteries!A:A,0))-INDEX(Lotteries!F:F,MATCH(C486,Lotteries!A:A,0)))/(INDEX(Lotteries!D:D,MATCH(C486,Lotteries!A:A,0))-1)</f>
        <v>0.26861463539664238</v>
      </c>
      <c r="H486" s="7">
        <f>INDEX(Persons!A:A,MATCH(Sales!I486,Persons!B:B,0))</f>
        <v>53</v>
      </c>
      <c r="I486" s="2" t="str">
        <f t="shared" si="2"/>
        <v>Sondre</v>
      </c>
      <c r="J486">
        <f t="shared" si="3"/>
        <v>5</v>
      </c>
      <c r="L486" t="s">
        <v>164</v>
      </c>
    </row>
    <row r="487" spans="1:12" x14ac:dyDescent="0.3">
      <c r="A487">
        <v>486</v>
      </c>
      <c r="B487">
        <v>66</v>
      </c>
      <c r="C487" s="11">
        <v>26</v>
      </c>
      <c r="D487">
        <v>5</v>
      </c>
      <c r="E487" s="7">
        <f>INDEX(Lotteries!C:C,MATCH(C487,Lotteries!A:A,0))*D487</f>
        <v>50</v>
      </c>
      <c r="F487" s="3">
        <f>D487*INDEX(Lotteries!G:G,MATCH(C487,Lotteries!A:A,0))</f>
        <v>0.29411764705882354</v>
      </c>
      <c r="G487" s="3">
        <f>INDEX(Lotteries!F:F,MATCH(C487,Lotteries!A:A,0))*D487/INDEX(Lotteries!D:D,MATCH(C487,Lotteries!A:A,0))*(INDEX(Lotteries!D:D,MATCH(C487,Lotteries!A:A,0))-D487)/INDEX(Lotteries!D:D,MATCH(C487,Lotteries!A:A,0))*(INDEX(Lotteries!D:D,MATCH(C487,Lotteries!A:A,0))-INDEX(Lotteries!F:F,MATCH(C487,Lotteries!A:A,0)))/(INDEX(Lotteries!D:D,MATCH(C487,Lotteries!A:A,0))-1)</f>
        <v>0.26861463539664238</v>
      </c>
      <c r="H487" s="7">
        <f>INDEX(Persons!A:A,MATCH(Sales!I487,Persons!B:B,0))</f>
        <v>66</v>
      </c>
      <c r="I487" s="2" t="str">
        <f t="shared" si="2"/>
        <v>Gaute</v>
      </c>
      <c r="J487">
        <f t="shared" si="3"/>
        <v>5</v>
      </c>
      <c r="L487" t="s">
        <v>194</v>
      </c>
    </row>
    <row r="488" spans="1:12" x14ac:dyDescent="0.3">
      <c r="A488">
        <v>487</v>
      </c>
      <c r="B488">
        <v>59</v>
      </c>
      <c r="C488" s="11">
        <v>26</v>
      </c>
      <c r="D488">
        <v>10</v>
      </c>
      <c r="E488" s="7">
        <f>INDEX(Lotteries!C:C,MATCH(C488,Lotteries!A:A,0))*D488</f>
        <v>100</v>
      </c>
      <c r="F488" s="3">
        <f>D488*INDEX(Lotteries!G:G,MATCH(C488,Lotteries!A:A,0))</f>
        <v>0.58823529411764708</v>
      </c>
      <c r="G488" s="3">
        <f>INDEX(Lotteries!F:F,MATCH(C488,Lotteries!A:A,0))*D488/INDEX(Lotteries!D:D,MATCH(C488,Lotteries!A:A,0))*(INDEX(Lotteries!D:D,MATCH(C488,Lotteries!A:A,0))-D488)/INDEX(Lotteries!D:D,MATCH(C488,Lotteries!A:A,0))*(INDEX(Lotteries!D:D,MATCH(C488,Lotteries!A:A,0))-INDEX(Lotteries!F:F,MATCH(C488,Lotteries!A:A,0)))/(INDEX(Lotteries!D:D,MATCH(C488,Lotteries!A:A,0))-1)</f>
        <v>0.51672433679354102</v>
      </c>
      <c r="H488" s="7">
        <f>INDEX(Persons!A:A,MATCH(Sales!I488,Persons!B:B,0))</f>
        <v>59</v>
      </c>
      <c r="I488" s="2" t="str">
        <f t="shared" si="2"/>
        <v>Jøran</v>
      </c>
      <c r="J488">
        <f t="shared" si="3"/>
        <v>10</v>
      </c>
      <c r="L488" t="s">
        <v>195</v>
      </c>
    </row>
    <row r="489" spans="1:12" x14ac:dyDescent="0.3">
      <c r="A489">
        <v>488</v>
      </c>
      <c r="B489">
        <v>37</v>
      </c>
      <c r="C489" s="11">
        <v>26</v>
      </c>
      <c r="D489">
        <v>10</v>
      </c>
      <c r="E489" s="7">
        <f>INDEX(Lotteries!C:C,MATCH(C489,Lotteries!A:A,0))*D489</f>
        <v>100</v>
      </c>
      <c r="F489" s="3">
        <f>D489*INDEX(Lotteries!G:G,MATCH(C489,Lotteries!A:A,0))</f>
        <v>0.58823529411764708</v>
      </c>
      <c r="G489" s="3">
        <f>INDEX(Lotteries!F:F,MATCH(C489,Lotteries!A:A,0))*D489/INDEX(Lotteries!D:D,MATCH(C489,Lotteries!A:A,0))*(INDEX(Lotteries!D:D,MATCH(C489,Lotteries!A:A,0))-D489)/INDEX(Lotteries!D:D,MATCH(C489,Lotteries!A:A,0))*(INDEX(Lotteries!D:D,MATCH(C489,Lotteries!A:A,0))-INDEX(Lotteries!F:F,MATCH(C489,Lotteries!A:A,0)))/(INDEX(Lotteries!D:D,MATCH(C489,Lotteries!A:A,0))-1)</f>
        <v>0.51672433679354102</v>
      </c>
      <c r="H489" s="7">
        <f>INDEX(Persons!A:A,MATCH(Sales!I489,Persons!B:B,0))</f>
        <v>37</v>
      </c>
      <c r="I489" s="2" t="str">
        <f t="shared" si="2"/>
        <v>Ruben O</v>
      </c>
      <c r="J489">
        <f t="shared" si="3"/>
        <v>10</v>
      </c>
      <c r="L489" t="s">
        <v>166</v>
      </c>
    </row>
    <row r="490" spans="1:12" x14ac:dyDescent="0.3">
      <c r="A490">
        <v>489</v>
      </c>
      <c r="B490">
        <v>57</v>
      </c>
      <c r="C490" s="11">
        <v>26</v>
      </c>
      <c r="D490">
        <v>4</v>
      </c>
      <c r="E490" s="7">
        <f>INDEX(Lotteries!C:C,MATCH(C490,Lotteries!A:A,0))*D490</f>
        <v>40</v>
      </c>
      <c r="F490" s="3">
        <f>D490*INDEX(Lotteries!G:G,MATCH(C490,Lotteries!A:A,0))</f>
        <v>0.23529411764705882</v>
      </c>
      <c r="G490" s="3">
        <f>INDEX(Lotteries!F:F,MATCH(C490,Lotteries!A:A,0))*D490/INDEX(Lotteries!D:D,MATCH(C490,Lotteries!A:A,0))*(INDEX(Lotteries!D:D,MATCH(C490,Lotteries!A:A,0))-D490)/INDEX(Lotteries!D:D,MATCH(C490,Lotteries!A:A,0))*(INDEX(Lotteries!D:D,MATCH(C490,Lotteries!A:A,0))-INDEX(Lotteries!F:F,MATCH(C490,Lotteries!A:A,0)))/(INDEX(Lotteries!D:D,MATCH(C490,Lotteries!A:A,0))-1)</f>
        <v>0.21653210303729334</v>
      </c>
      <c r="H490" s="7">
        <f>INDEX(Persons!A:A,MATCH(Sales!I490,Persons!B:B,0))</f>
        <v>57</v>
      </c>
      <c r="I490" s="2" t="str">
        <f t="shared" si="2"/>
        <v>Helga</v>
      </c>
      <c r="J490">
        <f t="shared" si="3"/>
        <v>4</v>
      </c>
      <c r="L490" t="s">
        <v>196</v>
      </c>
    </row>
    <row r="491" spans="1:12" x14ac:dyDescent="0.3">
      <c r="A491">
        <v>490</v>
      </c>
      <c r="B491">
        <v>14</v>
      </c>
      <c r="C491" s="11">
        <v>26</v>
      </c>
      <c r="D491">
        <v>10</v>
      </c>
      <c r="E491" s="7">
        <f>INDEX(Lotteries!C:C,MATCH(C491,Lotteries!A:A,0))*D491</f>
        <v>100</v>
      </c>
      <c r="F491" s="3">
        <f>D491*INDEX(Lotteries!G:G,MATCH(C491,Lotteries!A:A,0))</f>
        <v>0.58823529411764708</v>
      </c>
      <c r="G491" s="3">
        <f>INDEX(Lotteries!F:F,MATCH(C491,Lotteries!A:A,0))*D491/INDEX(Lotteries!D:D,MATCH(C491,Lotteries!A:A,0))*(INDEX(Lotteries!D:D,MATCH(C491,Lotteries!A:A,0))-D491)/INDEX(Lotteries!D:D,MATCH(C491,Lotteries!A:A,0))*(INDEX(Lotteries!D:D,MATCH(C491,Lotteries!A:A,0))-INDEX(Lotteries!F:F,MATCH(C491,Lotteries!A:A,0)))/(INDEX(Lotteries!D:D,MATCH(C491,Lotteries!A:A,0))-1)</f>
        <v>0.51672433679354102</v>
      </c>
      <c r="H491" s="7">
        <f>INDEX(Persons!A:A,MATCH(Sales!I491,Persons!B:B,0))</f>
        <v>14</v>
      </c>
      <c r="I491" s="2" t="str">
        <f t="shared" si="2"/>
        <v>Truls</v>
      </c>
      <c r="J491">
        <f t="shared" si="3"/>
        <v>10</v>
      </c>
      <c r="L491" t="s">
        <v>197</v>
      </c>
    </row>
    <row r="492" spans="1:12" x14ac:dyDescent="0.3">
      <c r="A492">
        <v>491</v>
      </c>
      <c r="B492">
        <v>61</v>
      </c>
      <c r="C492" s="11">
        <v>26</v>
      </c>
      <c r="D492">
        <v>3</v>
      </c>
      <c r="E492" s="7">
        <f>INDEX(Lotteries!C:C,MATCH(C492,Lotteries!A:A,0))*D492</f>
        <v>30</v>
      </c>
      <c r="F492" s="3">
        <f>D492*INDEX(Lotteries!G:G,MATCH(C492,Lotteries!A:A,0))</f>
        <v>0.1764705882352941</v>
      </c>
      <c r="G492" s="3">
        <f>INDEX(Lotteries!F:F,MATCH(C492,Lotteries!A:A,0))*D492/INDEX(Lotteries!D:D,MATCH(C492,Lotteries!A:A,0))*(INDEX(Lotteries!D:D,MATCH(C492,Lotteries!A:A,0))-D492)/INDEX(Lotteries!D:D,MATCH(C492,Lotteries!A:A,0))*(INDEX(Lotteries!D:D,MATCH(C492,Lotteries!A:A,0))-INDEX(Lotteries!F:F,MATCH(C492,Lotteries!A:A,0)))/(INDEX(Lotteries!D:D,MATCH(C492,Lotteries!A:A,0))-1)</f>
        <v>0.16362937331795463</v>
      </c>
      <c r="H492" s="7">
        <f>INDEX(Persons!A:A,MATCH(Sales!I492,Persons!B:B,0))</f>
        <v>61</v>
      </c>
      <c r="I492" s="2" t="str">
        <f t="shared" si="2"/>
        <v>Tone</v>
      </c>
      <c r="J492">
        <f t="shared" si="3"/>
        <v>3</v>
      </c>
      <c r="L492" t="s">
        <v>198</v>
      </c>
    </row>
    <row r="493" spans="1:12" x14ac:dyDescent="0.3">
      <c r="A493">
        <v>492</v>
      </c>
      <c r="B493">
        <v>65</v>
      </c>
      <c r="C493" s="11">
        <v>26</v>
      </c>
      <c r="D493">
        <v>10</v>
      </c>
      <c r="E493" s="7">
        <f>INDEX(Lotteries!C:C,MATCH(C493,Lotteries!A:A,0))*D493</f>
        <v>100</v>
      </c>
      <c r="F493" s="3">
        <f>D493*INDEX(Lotteries!G:G,MATCH(C493,Lotteries!A:A,0))</f>
        <v>0.58823529411764708</v>
      </c>
      <c r="G493" s="3">
        <f>INDEX(Lotteries!F:F,MATCH(C493,Lotteries!A:A,0))*D493/INDEX(Lotteries!D:D,MATCH(C493,Lotteries!A:A,0))*(INDEX(Lotteries!D:D,MATCH(C493,Lotteries!A:A,0))-D493)/INDEX(Lotteries!D:D,MATCH(C493,Lotteries!A:A,0))*(INDEX(Lotteries!D:D,MATCH(C493,Lotteries!A:A,0))-INDEX(Lotteries!F:F,MATCH(C493,Lotteries!A:A,0)))/(INDEX(Lotteries!D:D,MATCH(C493,Lotteries!A:A,0))-1)</f>
        <v>0.51672433679354102</v>
      </c>
      <c r="H493" s="7">
        <f>INDEX(Persons!A:A,MATCH(Sales!I493,Persons!B:B,0))</f>
        <v>65</v>
      </c>
      <c r="I493" s="2" t="str">
        <f t="shared" si="2"/>
        <v>Johan</v>
      </c>
      <c r="J493">
        <f t="shared" si="3"/>
        <v>10</v>
      </c>
      <c r="L493" t="s">
        <v>199</v>
      </c>
    </row>
    <row r="494" spans="1:12" x14ac:dyDescent="0.3">
      <c r="A494">
        <v>493</v>
      </c>
      <c r="B494">
        <v>29</v>
      </c>
      <c r="C494" s="11">
        <v>26</v>
      </c>
      <c r="D494">
        <v>10</v>
      </c>
      <c r="E494" s="7">
        <f>INDEX(Lotteries!C:C,MATCH(C494,Lotteries!A:A,0))*D494</f>
        <v>100</v>
      </c>
      <c r="F494" s="3">
        <f>D494*INDEX(Lotteries!G:G,MATCH(C494,Lotteries!A:A,0))</f>
        <v>0.58823529411764708</v>
      </c>
      <c r="G494" s="3">
        <f>INDEX(Lotteries!F:F,MATCH(C494,Lotteries!A:A,0))*D494/INDEX(Lotteries!D:D,MATCH(C494,Lotteries!A:A,0))*(INDEX(Lotteries!D:D,MATCH(C494,Lotteries!A:A,0))-D494)/INDEX(Lotteries!D:D,MATCH(C494,Lotteries!A:A,0))*(INDEX(Lotteries!D:D,MATCH(C494,Lotteries!A:A,0))-INDEX(Lotteries!F:F,MATCH(C494,Lotteries!A:A,0)))/(INDEX(Lotteries!D:D,MATCH(C494,Lotteries!A:A,0))-1)</f>
        <v>0.51672433679354102</v>
      </c>
      <c r="H494" s="7">
        <f>INDEX(Persons!A:A,MATCH(Sales!I494,Persons!B:B,0))</f>
        <v>29</v>
      </c>
      <c r="I494" s="2" t="str">
        <f t="shared" si="2"/>
        <v>Magnus B</v>
      </c>
      <c r="J494">
        <f t="shared" si="3"/>
        <v>10</v>
      </c>
      <c r="L494" t="s">
        <v>167</v>
      </c>
    </row>
    <row r="495" spans="1:12" x14ac:dyDescent="0.3">
      <c r="A495">
        <v>494</v>
      </c>
      <c r="B495">
        <v>63</v>
      </c>
      <c r="C495" s="11">
        <v>26</v>
      </c>
      <c r="D495">
        <v>6</v>
      </c>
      <c r="E495" s="7">
        <f>INDEX(Lotteries!C:C,MATCH(C495,Lotteries!A:A,0))*D495</f>
        <v>60</v>
      </c>
      <c r="F495" s="3">
        <f>D495*INDEX(Lotteries!G:G,MATCH(C495,Lotteries!A:A,0))</f>
        <v>0.3529411764705882</v>
      </c>
      <c r="G495" s="3">
        <f>INDEX(Lotteries!F:F,MATCH(C495,Lotteries!A:A,0))*D495/INDEX(Lotteries!D:D,MATCH(C495,Lotteries!A:A,0))*(INDEX(Lotteries!D:D,MATCH(C495,Lotteries!A:A,0))-D495)/INDEX(Lotteries!D:D,MATCH(C495,Lotteries!A:A,0))*(INDEX(Lotteries!D:D,MATCH(C495,Lotteries!A:A,0))-INDEX(Lotteries!F:F,MATCH(C495,Lotteries!A:A,0)))/(INDEX(Lotteries!D:D,MATCH(C495,Lotteries!A:A,0))-1)</f>
        <v>0.31987697039600155</v>
      </c>
      <c r="H495" s="7">
        <f>INDEX(Persons!A:A,MATCH(Sales!I495,Persons!B:B,0))</f>
        <v>63</v>
      </c>
      <c r="I495" s="2" t="str">
        <f t="shared" si="2"/>
        <v>Håkon</v>
      </c>
      <c r="J495">
        <f t="shared" si="3"/>
        <v>6</v>
      </c>
      <c r="L495" t="s">
        <v>200</v>
      </c>
    </row>
    <row r="496" spans="1:12" x14ac:dyDescent="0.3">
      <c r="A496">
        <v>495</v>
      </c>
      <c r="B496">
        <v>32</v>
      </c>
      <c r="C496" s="11">
        <v>26</v>
      </c>
      <c r="D496">
        <v>10</v>
      </c>
      <c r="E496" s="7">
        <f>INDEX(Lotteries!C:C,MATCH(C496,Lotteries!A:A,0))*D496</f>
        <v>100</v>
      </c>
      <c r="F496" s="3">
        <f>D496*INDEX(Lotteries!G:G,MATCH(C496,Lotteries!A:A,0))</f>
        <v>0.58823529411764708</v>
      </c>
      <c r="G496" s="3">
        <f>INDEX(Lotteries!F:F,MATCH(C496,Lotteries!A:A,0))*D496/INDEX(Lotteries!D:D,MATCH(C496,Lotteries!A:A,0))*(INDEX(Lotteries!D:D,MATCH(C496,Lotteries!A:A,0))-D496)/INDEX(Lotteries!D:D,MATCH(C496,Lotteries!A:A,0))*(INDEX(Lotteries!D:D,MATCH(C496,Lotteries!A:A,0))-INDEX(Lotteries!F:F,MATCH(C496,Lotteries!A:A,0)))/(INDEX(Lotteries!D:D,MATCH(C496,Lotteries!A:A,0))-1)</f>
        <v>0.51672433679354102</v>
      </c>
      <c r="H496" s="7">
        <f>INDEX(Persons!A:A,MATCH(Sales!I496,Persons!B:B,0))</f>
        <v>32</v>
      </c>
      <c r="I496" s="2" t="str">
        <f t="shared" si="2"/>
        <v>Martin</v>
      </c>
      <c r="J496">
        <f t="shared" si="3"/>
        <v>10</v>
      </c>
      <c r="L496" t="s">
        <v>201</v>
      </c>
    </row>
    <row r="497" spans="1:12" x14ac:dyDescent="0.3">
      <c r="A497">
        <v>496</v>
      </c>
      <c r="B497">
        <v>48</v>
      </c>
      <c r="C497" s="11">
        <v>26</v>
      </c>
      <c r="D497">
        <v>5</v>
      </c>
      <c r="E497" s="7">
        <f>INDEX(Lotteries!C:C,MATCH(C497,Lotteries!A:A,0))*D497</f>
        <v>50</v>
      </c>
      <c r="F497" s="3">
        <f>D497*INDEX(Lotteries!G:G,MATCH(C497,Lotteries!A:A,0))</f>
        <v>0.29411764705882354</v>
      </c>
      <c r="G497" s="3">
        <f>INDEX(Lotteries!F:F,MATCH(C497,Lotteries!A:A,0))*D497/INDEX(Lotteries!D:D,MATCH(C497,Lotteries!A:A,0))*(INDEX(Lotteries!D:D,MATCH(C497,Lotteries!A:A,0))-D497)/INDEX(Lotteries!D:D,MATCH(C497,Lotteries!A:A,0))*(INDEX(Lotteries!D:D,MATCH(C497,Lotteries!A:A,0))-INDEX(Lotteries!F:F,MATCH(C497,Lotteries!A:A,0)))/(INDEX(Lotteries!D:D,MATCH(C497,Lotteries!A:A,0))-1)</f>
        <v>0.26861463539664238</v>
      </c>
      <c r="H497" s="7">
        <f>INDEX(Persons!A:A,MATCH(Sales!I497,Persons!B:B,0))</f>
        <v>48</v>
      </c>
      <c r="I497" s="2" t="str">
        <f t="shared" si="2"/>
        <v>Ivan</v>
      </c>
      <c r="J497">
        <f t="shared" si="3"/>
        <v>5</v>
      </c>
      <c r="L497" t="s">
        <v>202</v>
      </c>
    </row>
    <row r="498" spans="1:12" x14ac:dyDescent="0.3">
      <c r="A498">
        <v>497</v>
      </c>
      <c r="B498">
        <v>64</v>
      </c>
      <c r="C498" s="11">
        <v>26</v>
      </c>
      <c r="D498">
        <v>4</v>
      </c>
      <c r="E498" s="7">
        <f>INDEX(Lotteries!C:C,MATCH(C498,Lotteries!A:A,0))*D498</f>
        <v>40</v>
      </c>
      <c r="F498" s="3">
        <f>D498*INDEX(Lotteries!G:G,MATCH(C498,Lotteries!A:A,0))</f>
        <v>0.23529411764705882</v>
      </c>
      <c r="G498" s="3">
        <f>INDEX(Lotteries!F:F,MATCH(C498,Lotteries!A:A,0))*D498/INDEX(Lotteries!D:D,MATCH(C498,Lotteries!A:A,0))*(INDEX(Lotteries!D:D,MATCH(C498,Lotteries!A:A,0))-D498)/INDEX(Lotteries!D:D,MATCH(C498,Lotteries!A:A,0))*(INDEX(Lotteries!D:D,MATCH(C498,Lotteries!A:A,0))-INDEX(Lotteries!F:F,MATCH(C498,Lotteries!A:A,0)))/(INDEX(Lotteries!D:D,MATCH(C498,Lotteries!A:A,0))-1)</f>
        <v>0.21653210303729334</v>
      </c>
      <c r="H498" s="7">
        <f>INDEX(Persons!A:A,MATCH(Sales!I498,Persons!B:B,0))</f>
        <v>64</v>
      </c>
      <c r="I498" s="2" t="str">
        <f t="shared" si="2"/>
        <v>Øystein</v>
      </c>
      <c r="J498">
        <f t="shared" si="3"/>
        <v>4</v>
      </c>
      <c r="L498" t="s">
        <v>203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5"/>
  <sheetViews>
    <sheetView showGridLines="0" topLeftCell="A113" workbookViewId="0">
      <selection activeCell="F140" sqref="F140:F145"/>
    </sheetView>
  </sheetViews>
  <sheetFormatPr defaultColWidth="8.88671875" defaultRowHeight="14.4" x14ac:dyDescent="0.3"/>
  <cols>
    <col min="6" max="6" width="8.88671875" style="2"/>
  </cols>
  <sheetData>
    <row r="1" spans="1:8" x14ac:dyDescent="0.3">
      <c r="A1" s="19" t="s">
        <v>0</v>
      </c>
      <c r="B1" s="19" t="s">
        <v>19</v>
      </c>
      <c r="C1" s="19" t="s">
        <v>18</v>
      </c>
      <c r="D1" s="19" t="s">
        <v>21</v>
      </c>
      <c r="E1" s="19"/>
      <c r="G1" t="s">
        <v>43</v>
      </c>
      <c r="H1">
        <f>SUM(D:D)</f>
        <v>163</v>
      </c>
    </row>
    <row r="2" spans="1:8" x14ac:dyDescent="0.3">
      <c r="A2">
        <v>1</v>
      </c>
      <c r="B2">
        <v>3</v>
      </c>
      <c r="C2">
        <v>1</v>
      </c>
      <c r="D2">
        <v>1</v>
      </c>
    </row>
    <row r="3" spans="1:8" x14ac:dyDescent="0.3">
      <c r="A3">
        <v>2</v>
      </c>
      <c r="B3">
        <v>5</v>
      </c>
      <c r="C3">
        <v>1</v>
      </c>
      <c r="D3">
        <v>1</v>
      </c>
    </row>
    <row r="4" spans="1:8" x14ac:dyDescent="0.3">
      <c r="A4">
        <v>3</v>
      </c>
      <c r="B4">
        <v>7</v>
      </c>
      <c r="C4">
        <v>1</v>
      </c>
      <c r="D4">
        <v>1</v>
      </c>
    </row>
    <row r="5" spans="1:8" x14ac:dyDescent="0.3">
      <c r="A5">
        <v>4</v>
      </c>
      <c r="B5">
        <v>8</v>
      </c>
      <c r="C5">
        <v>1</v>
      </c>
      <c r="D5">
        <v>1</v>
      </c>
    </row>
    <row r="6" spans="1:8" x14ac:dyDescent="0.3">
      <c r="A6">
        <v>5</v>
      </c>
      <c r="B6">
        <v>9</v>
      </c>
      <c r="C6">
        <v>1</v>
      </c>
      <c r="D6">
        <v>1</v>
      </c>
    </row>
    <row r="7" spans="1:8" x14ac:dyDescent="0.3">
      <c r="A7">
        <v>6</v>
      </c>
      <c r="B7">
        <v>12</v>
      </c>
      <c r="C7">
        <v>1</v>
      </c>
      <c r="D7">
        <v>1</v>
      </c>
    </row>
    <row r="8" spans="1:8" x14ac:dyDescent="0.3">
      <c r="A8">
        <v>7</v>
      </c>
      <c r="B8">
        <v>14</v>
      </c>
      <c r="C8">
        <v>1</v>
      </c>
      <c r="D8">
        <v>2</v>
      </c>
    </row>
    <row r="9" spans="1:8" x14ac:dyDescent="0.3">
      <c r="A9">
        <v>8</v>
      </c>
      <c r="B9">
        <v>15</v>
      </c>
      <c r="C9">
        <v>1</v>
      </c>
      <c r="D9">
        <v>2</v>
      </c>
    </row>
    <row r="10" spans="1:8" x14ac:dyDescent="0.3">
      <c r="A10">
        <v>9</v>
      </c>
      <c r="B10">
        <v>19</v>
      </c>
      <c r="C10">
        <v>2</v>
      </c>
      <c r="D10">
        <v>1</v>
      </c>
    </row>
    <row r="11" spans="1:8" x14ac:dyDescent="0.3">
      <c r="A11">
        <v>10</v>
      </c>
      <c r="B11">
        <v>20</v>
      </c>
      <c r="C11">
        <v>2</v>
      </c>
      <c r="D11">
        <v>1</v>
      </c>
    </row>
    <row r="12" spans="1:8" x14ac:dyDescent="0.3">
      <c r="A12">
        <v>11</v>
      </c>
      <c r="B12">
        <v>8</v>
      </c>
      <c r="C12">
        <v>2</v>
      </c>
      <c r="D12">
        <v>1</v>
      </c>
    </row>
    <row r="13" spans="1:8" x14ac:dyDescent="0.3">
      <c r="A13">
        <v>12</v>
      </c>
      <c r="B13">
        <v>22</v>
      </c>
      <c r="C13">
        <v>2</v>
      </c>
      <c r="D13">
        <v>1</v>
      </c>
    </row>
    <row r="14" spans="1:8" x14ac:dyDescent="0.3">
      <c r="A14">
        <v>13</v>
      </c>
      <c r="B14">
        <v>10</v>
      </c>
      <c r="C14">
        <v>2</v>
      </c>
      <c r="D14">
        <v>1</v>
      </c>
    </row>
    <row r="15" spans="1:8" x14ac:dyDescent="0.3">
      <c r="A15">
        <v>14</v>
      </c>
      <c r="B15">
        <v>23</v>
      </c>
      <c r="C15">
        <v>2</v>
      </c>
      <c r="D15">
        <v>1</v>
      </c>
    </row>
    <row r="16" spans="1:8" x14ac:dyDescent="0.3">
      <c r="A16">
        <v>15</v>
      </c>
      <c r="B16">
        <v>3</v>
      </c>
      <c r="C16">
        <v>3</v>
      </c>
      <c r="D16">
        <v>1</v>
      </c>
    </row>
    <row r="17" spans="1:4" x14ac:dyDescent="0.3">
      <c r="A17">
        <v>16</v>
      </c>
      <c r="B17">
        <v>5</v>
      </c>
      <c r="C17">
        <v>3</v>
      </c>
      <c r="D17">
        <v>1</v>
      </c>
    </row>
    <row r="18" spans="1:4" x14ac:dyDescent="0.3">
      <c r="A18">
        <v>17</v>
      </c>
      <c r="B18">
        <v>6</v>
      </c>
      <c r="C18">
        <v>3</v>
      </c>
      <c r="D18">
        <v>1</v>
      </c>
    </row>
    <row r="19" spans="1:4" x14ac:dyDescent="0.3">
      <c r="A19">
        <v>18</v>
      </c>
      <c r="B19">
        <v>21</v>
      </c>
      <c r="C19">
        <v>3</v>
      </c>
      <c r="D19">
        <v>1</v>
      </c>
    </row>
    <row r="20" spans="1:4" x14ac:dyDescent="0.3">
      <c r="A20">
        <v>19</v>
      </c>
      <c r="B20">
        <v>8</v>
      </c>
      <c r="C20">
        <v>3</v>
      </c>
      <c r="D20">
        <v>1</v>
      </c>
    </row>
    <row r="21" spans="1:4" x14ac:dyDescent="0.3">
      <c r="A21">
        <v>20</v>
      </c>
      <c r="B21">
        <v>10</v>
      </c>
      <c r="C21">
        <v>3</v>
      </c>
      <c r="D21">
        <v>1</v>
      </c>
    </row>
    <row r="22" spans="1:4" x14ac:dyDescent="0.3">
      <c r="A22">
        <v>21</v>
      </c>
      <c r="B22">
        <v>23</v>
      </c>
      <c r="C22">
        <v>4</v>
      </c>
      <c r="D22">
        <v>1</v>
      </c>
    </row>
    <row r="23" spans="1:4" x14ac:dyDescent="0.3">
      <c r="A23">
        <v>22</v>
      </c>
      <c r="B23">
        <v>8</v>
      </c>
      <c r="C23">
        <v>4</v>
      </c>
      <c r="D23">
        <v>1</v>
      </c>
    </row>
    <row r="24" spans="1:4" x14ac:dyDescent="0.3">
      <c r="A24">
        <v>23</v>
      </c>
      <c r="B24">
        <v>9</v>
      </c>
      <c r="C24">
        <v>4</v>
      </c>
      <c r="D24">
        <v>1</v>
      </c>
    </row>
    <row r="25" spans="1:4" x14ac:dyDescent="0.3">
      <c r="A25">
        <v>24</v>
      </c>
      <c r="B25">
        <v>4</v>
      </c>
      <c r="C25">
        <v>4</v>
      </c>
      <c r="D25">
        <v>1</v>
      </c>
    </row>
    <row r="26" spans="1:4" x14ac:dyDescent="0.3">
      <c r="A26">
        <v>25</v>
      </c>
      <c r="B26">
        <v>29</v>
      </c>
      <c r="C26">
        <v>4</v>
      </c>
      <c r="D26">
        <v>1</v>
      </c>
    </row>
    <row r="27" spans="1:4" x14ac:dyDescent="0.3">
      <c r="A27">
        <v>26</v>
      </c>
      <c r="B27">
        <v>9</v>
      </c>
      <c r="C27">
        <v>5</v>
      </c>
      <c r="D27">
        <v>1</v>
      </c>
    </row>
    <row r="28" spans="1:4" x14ac:dyDescent="0.3">
      <c r="A28">
        <v>27</v>
      </c>
      <c r="B28">
        <v>13</v>
      </c>
      <c r="C28">
        <v>5</v>
      </c>
      <c r="D28">
        <v>1</v>
      </c>
    </row>
    <row r="29" spans="1:4" x14ac:dyDescent="0.3">
      <c r="A29">
        <v>28</v>
      </c>
      <c r="B29">
        <v>19</v>
      </c>
      <c r="C29">
        <v>5</v>
      </c>
      <c r="D29">
        <v>1</v>
      </c>
    </row>
    <row r="30" spans="1:4" x14ac:dyDescent="0.3">
      <c r="A30">
        <v>29</v>
      </c>
      <c r="B30">
        <v>7</v>
      </c>
      <c r="C30">
        <v>5</v>
      </c>
      <c r="D30">
        <v>1</v>
      </c>
    </row>
    <row r="31" spans="1:4" x14ac:dyDescent="0.3">
      <c r="A31">
        <v>30</v>
      </c>
      <c r="B31">
        <v>1</v>
      </c>
      <c r="C31">
        <v>5</v>
      </c>
      <c r="D31">
        <v>1</v>
      </c>
    </row>
    <row r="32" spans="1:4" x14ac:dyDescent="0.3">
      <c r="A32">
        <v>31</v>
      </c>
      <c r="B32">
        <v>14</v>
      </c>
      <c r="C32">
        <v>6</v>
      </c>
      <c r="D32">
        <v>1</v>
      </c>
    </row>
    <row r="33" spans="1:4" x14ac:dyDescent="0.3">
      <c r="A33">
        <v>32</v>
      </c>
      <c r="B33">
        <v>10</v>
      </c>
      <c r="C33">
        <v>6</v>
      </c>
      <c r="D33">
        <v>1</v>
      </c>
    </row>
    <row r="34" spans="1:4" x14ac:dyDescent="0.3">
      <c r="A34">
        <v>33</v>
      </c>
      <c r="B34">
        <v>7</v>
      </c>
      <c r="C34">
        <v>6</v>
      </c>
      <c r="D34">
        <v>1</v>
      </c>
    </row>
    <row r="35" spans="1:4" x14ac:dyDescent="0.3">
      <c r="A35">
        <v>34</v>
      </c>
      <c r="B35">
        <v>12</v>
      </c>
      <c r="C35">
        <v>6</v>
      </c>
      <c r="D35">
        <v>1</v>
      </c>
    </row>
    <row r="36" spans="1:4" x14ac:dyDescent="0.3">
      <c r="A36">
        <v>35</v>
      </c>
      <c r="B36">
        <v>24</v>
      </c>
      <c r="C36">
        <v>6</v>
      </c>
      <c r="D36">
        <v>1</v>
      </c>
    </row>
    <row r="37" spans="1:4" x14ac:dyDescent="0.3">
      <c r="A37">
        <v>36</v>
      </c>
      <c r="B37">
        <v>29</v>
      </c>
      <c r="C37">
        <v>7</v>
      </c>
      <c r="D37">
        <v>1</v>
      </c>
    </row>
    <row r="38" spans="1:4" x14ac:dyDescent="0.3">
      <c r="A38">
        <v>37</v>
      </c>
      <c r="B38">
        <v>9</v>
      </c>
      <c r="C38">
        <v>7</v>
      </c>
      <c r="D38">
        <v>1</v>
      </c>
    </row>
    <row r="39" spans="1:4" x14ac:dyDescent="0.3">
      <c r="A39">
        <v>38</v>
      </c>
      <c r="B39">
        <v>20</v>
      </c>
      <c r="C39">
        <v>7</v>
      </c>
      <c r="D39">
        <v>1</v>
      </c>
    </row>
    <row r="40" spans="1:4" x14ac:dyDescent="0.3">
      <c r="A40">
        <v>39</v>
      </c>
      <c r="B40">
        <v>32</v>
      </c>
      <c r="C40">
        <v>7</v>
      </c>
      <c r="D40">
        <v>1</v>
      </c>
    </row>
    <row r="41" spans="1:4" x14ac:dyDescent="0.3">
      <c r="A41">
        <v>40</v>
      </c>
      <c r="B41">
        <v>5</v>
      </c>
      <c r="C41">
        <v>7</v>
      </c>
      <c r="D41">
        <v>1</v>
      </c>
    </row>
    <row r="42" spans="1:4" x14ac:dyDescent="0.3">
      <c r="A42">
        <v>41</v>
      </c>
      <c r="B42">
        <v>5</v>
      </c>
      <c r="C42">
        <v>7</v>
      </c>
      <c r="D42">
        <v>1</v>
      </c>
    </row>
    <row r="43" spans="1:4" x14ac:dyDescent="0.3">
      <c r="A43">
        <v>42</v>
      </c>
      <c r="B43">
        <v>31</v>
      </c>
      <c r="C43">
        <v>7</v>
      </c>
      <c r="D43">
        <v>1</v>
      </c>
    </row>
    <row r="44" spans="1:4" x14ac:dyDescent="0.3">
      <c r="A44">
        <v>43</v>
      </c>
      <c r="B44">
        <v>9</v>
      </c>
      <c r="C44">
        <v>8</v>
      </c>
      <c r="D44">
        <v>1</v>
      </c>
    </row>
    <row r="45" spans="1:4" x14ac:dyDescent="0.3">
      <c r="A45">
        <v>44</v>
      </c>
      <c r="B45">
        <v>36</v>
      </c>
      <c r="C45">
        <v>8</v>
      </c>
      <c r="D45">
        <v>1</v>
      </c>
    </row>
    <row r="46" spans="1:4" x14ac:dyDescent="0.3">
      <c r="A46">
        <v>45</v>
      </c>
      <c r="B46">
        <v>38</v>
      </c>
      <c r="C46">
        <v>8</v>
      </c>
      <c r="D46">
        <v>1</v>
      </c>
    </row>
    <row r="47" spans="1:4" x14ac:dyDescent="0.3">
      <c r="A47">
        <v>46</v>
      </c>
      <c r="B47">
        <v>37</v>
      </c>
      <c r="C47">
        <v>8</v>
      </c>
      <c r="D47">
        <v>1</v>
      </c>
    </row>
    <row r="48" spans="1:4" x14ac:dyDescent="0.3">
      <c r="A48">
        <v>47</v>
      </c>
      <c r="B48">
        <v>2</v>
      </c>
      <c r="C48">
        <v>8</v>
      </c>
      <c r="D48">
        <v>1</v>
      </c>
    </row>
    <row r="49" spans="1:4" x14ac:dyDescent="0.3">
      <c r="A49">
        <v>48</v>
      </c>
      <c r="B49">
        <v>8</v>
      </c>
      <c r="C49">
        <v>8</v>
      </c>
      <c r="D49">
        <v>1</v>
      </c>
    </row>
    <row r="50" spans="1:4" x14ac:dyDescent="0.3">
      <c r="A50">
        <v>49</v>
      </c>
      <c r="B50">
        <v>38</v>
      </c>
      <c r="C50">
        <v>8</v>
      </c>
      <c r="D50">
        <v>1</v>
      </c>
    </row>
    <row r="51" spans="1:4" x14ac:dyDescent="0.3">
      <c r="A51">
        <v>50</v>
      </c>
      <c r="B51">
        <v>8</v>
      </c>
      <c r="C51">
        <v>9</v>
      </c>
      <c r="D51">
        <v>1</v>
      </c>
    </row>
    <row r="52" spans="1:4" x14ac:dyDescent="0.3">
      <c r="A52">
        <v>51</v>
      </c>
      <c r="B52">
        <v>9</v>
      </c>
      <c r="C52">
        <v>9</v>
      </c>
      <c r="D52">
        <v>1</v>
      </c>
    </row>
    <row r="53" spans="1:4" x14ac:dyDescent="0.3">
      <c r="A53">
        <v>52</v>
      </c>
      <c r="B53">
        <v>37</v>
      </c>
      <c r="C53">
        <v>9</v>
      </c>
      <c r="D53">
        <v>1</v>
      </c>
    </row>
    <row r="54" spans="1:4" x14ac:dyDescent="0.3">
      <c r="A54">
        <v>53</v>
      </c>
      <c r="B54">
        <v>2</v>
      </c>
      <c r="C54">
        <v>9</v>
      </c>
      <c r="D54">
        <v>1</v>
      </c>
    </row>
    <row r="55" spans="1:4" x14ac:dyDescent="0.3">
      <c r="A55">
        <v>54</v>
      </c>
      <c r="B55">
        <v>12</v>
      </c>
      <c r="C55">
        <v>9</v>
      </c>
      <c r="D55">
        <v>1</v>
      </c>
    </row>
    <row r="56" spans="1:4" x14ac:dyDescent="0.3">
      <c r="A56">
        <v>55</v>
      </c>
      <c r="B56">
        <v>15</v>
      </c>
      <c r="C56">
        <v>10</v>
      </c>
      <c r="D56">
        <v>1</v>
      </c>
    </row>
    <row r="57" spans="1:4" x14ac:dyDescent="0.3">
      <c r="A57">
        <v>56</v>
      </c>
      <c r="B57">
        <v>23</v>
      </c>
      <c r="C57">
        <v>10</v>
      </c>
      <c r="D57">
        <v>2</v>
      </c>
    </row>
    <row r="58" spans="1:4" x14ac:dyDescent="0.3">
      <c r="A58">
        <v>57</v>
      </c>
      <c r="B58">
        <v>35</v>
      </c>
      <c r="C58">
        <v>10</v>
      </c>
      <c r="D58">
        <v>1</v>
      </c>
    </row>
    <row r="59" spans="1:4" x14ac:dyDescent="0.3">
      <c r="A59">
        <v>58</v>
      </c>
      <c r="B59">
        <v>8</v>
      </c>
      <c r="C59">
        <v>10</v>
      </c>
      <c r="D59">
        <v>1</v>
      </c>
    </row>
    <row r="60" spans="1:4" x14ac:dyDescent="0.3">
      <c r="A60">
        <v>59</v>
      </c>
      <c r="B60">
        <v>33</v>
      </c>
      <c r="C60">
        <v>11</v>
      </c>
      <c r="D60">
        <v>1</v>
      </c>
    </row>
    <row r="61" spans="1:4" x14ac:dyDescent="0.3">
      <c r="A61">
        <v>60</v>
      </c>
      <c r="B61">
        <v>14</v>
      </c>
      <c r="C61">
        <v>11</v>
      </c>
      <c r="D61">
        <v>1</v>
      </c>
    </row>
    <row r="62" spans="1:4" x14ac:dyDescent="0.3">
      <c r="A62">
        <v>61</v>
      </c>
      <c r="B62">
        <v>20</v>
      </c>
      <c r="C62">
        <v>11</v>
      </c>
      <c r="D62">
        <v>1</v>
      </c>
    </row>
    <row r="63" spans="1:4" x14ac:dyDescent="0.3">
      <c r="A63">
        <v>62</v>
      </c>
      <c r="B63">
        <v>18</v>
      </c>
      <c r="C63">
        <v>11</v>
      </c>
      <c r="D63">
        <v>1</v>
      </c>
    </row>
    <row r="64" spans="1:4" x14ac:dyDescent="0.3">
      <c r="A64">
        <v>63</v>
      </c>
      <c r="B64">
        <v>1</v>
      </c>
      <c r="C64">
        <v>11</v>
      </c>
      <c r="D64">
        <v>1</v>
      </c>
    </row>
    <row r="65" spans="1:4" x14ac:dyDescent="0.3">
      <c r="A65">
        <v>64</v>
      </c>
      <c r="B65">
        <v>38</v>
      </c>
      <c r="C65">
        <v>11</v>
      </c>
      <c r="D65">
        <v>1</v>
      </c>
    </row>
    <row r="66" spans="1:4" x14ac:dyDescent="0.3">
      <c r="A66">
        <v>65</v>
      </c>
      <c r="B66">
        <v>9</v>
      </c>
      <c r="C66">
        <v>12</v>
      </c>
      <c r="D66">
        <v>1</v>
      </c>
    </row>
    <row r="67" spans="1:4" x14ac:dyDescent="0.3">
      <c r="A67">
        <v>66</v>
      </c>
      <c r="B67">
        <v>19</v>
      </c>
      <c r="C67">
        <v>12</v>
      </c>
      <c r="D67">
        <v>2</v>
      </c>
    </row>
    <row r="68" spans="1:4" x14ac:dyDescent="0.3">
      <c r="A68">
        <v>67</v>
      </c>
      <c r="B68">
        <v>4</v>
      </c>
      <c r="C68">
        <v>12</v>
      </c>
      <c r="D68">
        <v>2</v>
      </c>
    </row>
    <row r="69" spans="1:4" x14ac:dyDescent="0.3">
      <c r="A69">
        <v>68</v>
      </c>
      <c r="B69">
        <v>32</v>
      </c>
      <c r="C69">
        <v>12</v>
      </c>
      <c r="D69">
        <v>1</v>
      </c>
    </row>
    <row r="70" spans="1:4" x14ac:dyDescent="0.3">
      <c r="A70">
        <v>69</v>
      </c>
      <c r="B70">
        <v>35</v>
      </c>
      <c r="C70">
        <v>13</v>
      </c>
      <c r="D70">
        <v>1</v>
      </c>
    </row>
    <row r="71" spans="1:4" x14ac:dyDescent="0.3">
      <c r="A71">
        <v>70</v>
      </c>
      <c r="B71">
        <v>33</v>
      </c>
      <c r="C71">
        <v>13</v>
      </c>
      <c r="D71">
        <v>1</v>
      </c>
    </row>
    <row r="72" spans="1:4" x14ac:dyDescent="0.3">
      <c r="A72">
        <v>71</v>
      </c>
      <c r="B72">
        <v>38</v>
      </c>
      <c r="C72">
        <v>13</v>
      </c>
      <c r="D72">
        <v>1</v>
      </c>
    </row>
    <row r="73" spans="1:4" x14ac:dyDescent="0.3">
      <c r="A73">
        <v>72</v>
      </c>
      <c r="B73">
        <v>14</v>
      </c>
      <c r="C73">
        <v>13</v>
      </c>
      <c r="D73">
        <v>1</v>
      </c>
    </row>
    <row r="74" spans="1:4" x14ac:dyDescent="0.3">
      <c r="A74">
        <v>73</v>
      </c>
      <c r="B74">
        <v>8</v>
      </c>
      <c r="C74">
        <v>13</v>
      </c>
      <c r="D74">
        <v>1</v>
      </c>
    </row>
    <row r="75" spans="1:4" x14ac:dyDescent="0.3">
      <c r="A75">
        <v>74</v>
      </c>
      <c r="B75">
        <v>36</v>
      </c>
      <c r="C75">
        <v>14</v>
      </c>
      <c r="D75">
        <v>1</v>
      </c>
    </row>
    <row r="76" spans="1:4" x14ac:dyDescent="0.3">
      <c r="A76">
        <v>75</v>
      </c>
      <c r="B76">
        <v>41</v>
      </c>
      <c r="C76">
        <v>14</v>
      </c>
      <c r="D76">
        <v>2</v>
      </c>
    </row>
    <row r="77" spans="1:4" x14ac:dyDescent="0.3">
      <c r="A77">
        <v>76</v>
      </c>
      <c r="B77">
        <v>7</v>
      </c>
      <c r="C77">
        <v>14</v>
      </c>
      <c r="D77">
        <v>1</v>
      </c>
    </row>
    <row r="78" spans="1:4" x14ac:dyDescent="0.3">
      <c r="A78">
        <v>77</v>
      </c>
      <c r="B78">
        <v>1</v>
      </c>
      <c r="C78">
        <v>14</v>
      </c>
      <c r="D78">
        <v>1</v>
      </c>
    </row>
    <row r="79" spans="1:4" x14ac:dyDescent="0.3">
      <c r="A79">
        <v>78</v>
      </c>
      <c r="B79">
        <v>43</v>
      </c>
      <c r="C79">
        <v>14</v>
      </c>
      <c r="D79">
        <v>1</v>
      </c>
    </row>
    <row r="80" spans="1:4" x14ac:dyDescent="0.3">
      <c r="A80">
        <v>79</v>
      </c>
      <c r="B80">
        <v>33</v>
      </c>
      <c r="C80">
        <v>15</v>
      </c>
      <c r="D80">
        <v>1</v>
      </c>
    </row>
    <row r="81" spans="1:4" x14ac:dyDescent="0.3">
      <c r="A81">
        <v>80</v>
      </c>
      <c r="B81">
        <v>6</v>
      </c>
      <c r="C81">
        <v>15</v>
      </c>
      <c r="D81">
        <v>1</v>
      </c>
    </row>
    <row r="82" spans="1:4" x14ac:dyDescent="0.3">
      <c r="A82">
        <v>81</v>
      </c>
      <c r="B82">
        <v>37</v>
      </c>
      <c r="C82">
        <v>15</v>
      </c>
      <c r="D82">
        <v>1</v>
      </c>
    </row>
    <row r="83" spans="1:4" x14ac:dyDescent="0.3">
      <c r="A83">
        <v>82</v>
      </c>
      <c r="B83">
        <v>34</v>
      </c>
      <c r="C83">
        <v>15</v>
      </c>
      <c r="D83">
        <v>1</v>
      </c>
    </row>
    <row r="84" spans="1:4" x14ac:dyDescent="0.3">
      <c r="A84">
        <v>83</v>
      </c>
      <c r="B84">
        <v>44</v>
      </c>
      <c r="C84">
        <v>15</v>
      </c>
      <c r="D84">
        <v>1</v>
      </c>
    </row>
    <row r="85" spans="1:4" x14ac:dyDescent="0.3">
      <c r="A85">
        <v>84</v>
      </c>
      <c r="B85">
        <v>15</v>
      </c>
      <c r="C85">
        <v>15</v>
      </c>
      <c r="D85">
        <v>1</v>
      </c>
    </row>
    <row r="86" spans="1:4" x14ac:dyDescent="0.3">
      <c r="A86">
        <v>85</v>
      </c>
      <c r="B86">
        <v>41</v>
      </c>
      <c r="C86">
        <v>16</v>
      </c>
      <c r="D86">
        <v>1</v>
      </c>
    </row>
    <row r="87" spans="1:4" x14ac:dyDescent="0.3">
      <c r="A87">
        <v>86</v>
      </c>
      <c r="B87">
        <v>5</v>
      </c>
      <c r="C87">
        <v>16</v>
      </c>
      <c r="D87">
        <v>1</v>
      </c>
    </row>
    <row r="88" spans="1:4" x14ac:dyDescent="0.3">
      <c r="A88">
        <v>87</v>
      </c>
      <c r="B88">
        <v>14</v>
      </c>
      <c r="C88">
        <v>16</v>
      </c>
      <c r="D88">
        <v>1</v>
      </c>
    </row>
    <row r="89" spans="1:4" x14ac:dyDescent="0.3">
      <c r="A89">
        <v>88</v>
      </c>
      <c r="B89">
        <v>15</v>
      </c>
      <c r="C89">
        <v>16</v>
      </c>
      <c r="D89">
        <v>1</v>
      </c>
    </row>
    <row r="90" spans="1:4" x14ac:dyDescent="0.3">
      <c r="A90">
        <v>89</v>
      </c>
      <c r="B90">
        <v>10</v>
      </c>
      <c r="C90">
        <v>16</v>
      </c>
      <c r="D90">
        <v>2</v>
      </c>
    </row>
    <row r="91" spans="1:4" x14ac:dyDescent="0.3">
      <c r="A91">
        <v>90</v>
      </c>
      <c r="B91">
        <v>48</v>
      </c>
      <c r="C91">
        <v>17</v>
      </c>
      <c r="D91">
        <v>1</v>
      </c>
    </row>
    <row r="92" spans="1:4" x14ac:dyDescent="0.3">
      <c r="A92">
        <v>91</v>
      </c>
      <c r="B92">
        <v>46</v>
      </c>
      <c r="C92">
        <v>17</v>
      </c>
      <c r="D92">
        <v>1</v>
      </c>
    </row>
    <row r="93" spans="1:4" x14ac:dyDescent="0.3">
      <c r="A93">
        <v>92</v>
      </c>
      <c r="B93">
        <v>1</v>
      </c>
      <c r="C93">
        <v>17</v>
      </c>
      <c r="D93">
        <v>2</v>
      </c>
    </row>
    <row r="94" spans="1:4" x14ac:dyDescent="0.3">
      <c r="A94">
        <v>93</v>
      </c>
      <c r="B94">
        <v>42</v>
      </c>
      <c r="C94">
        <v>17</v>
      </c>
      <c r="D94">
        <v>1</v>
      </c>
    </row>
    <row r="95" spans="1:4" x14ac:dyDescent="0.3">
      <c r="A95">
        <v>94</v>
      </c>
      <c r="B95">
        <v>20</v>
      </c>
      <c r="C95">
        <v>17</v>
      </c>
      <c r="D95">
        <v>1</v>
      </c>
    </row>
    <row r="96" spans="1:4" x14ac:dyDescent="0.3">
      <c r="A96">
        <v>95</v>
      </c>
      <c r="B96">
        <v>32</v>
      </c>
      <c r="C96">
        <v>17</v>
      </c>
      <c r="D96">
        <v>1</v>
      </c>
    </row>
    <row r="97" spans="1:4" x14ac:dyDescent="0.3">
      <c r="A97">
        <v>96</v>
      </c>
      <c r="B97">
        <v>37</v>
      </c>
      <c r="C97">
        <v>18</v>
      </c>
      <c r="D97">
        <v>1</v>
      </c>
    </row>
    <row r="98" spans="1:4" x14ac:dyDescent="0.3">
      <c r="A98">
        <v>97</v>
      </c>
      <c r="B98">
        <v>33</v>
      </c>
      <c r="C98">
        <v>18</v>
      </c>
      <c r="D98">
        <v>2</v>
      </c>
    </row>
    <row r="99" spans="1:4" x14ac:dyDescent="0.3">
      <c r="A99">
        <v>98</v>
      </c>
      <c r="B99">
        <v>44</v>
      </c>
      <c r="C99">
        <v>18</v>
      </c>
      <c r="D99">
        <v>1</v>
      </c>
    </row>
    <row r="100" spans="1:4" x14ac:dyDescent="0.3">
      <c r="A100">
        <v>99</v>
      </c>
      <c r="B100">
        <v>10</v>
      </c>
      <c r="C100">
        <v>18</v>
      </c>
      <c r="D100">
        <v>1</v>
      </c>
    </row>
    <row r="101" spans="1:4" x14ac:dyDescent="0.3">
      <c r="A101">
        <v>100</v>
      </c>
      <c r="B101">
        <v>41</v>
      </c>
      <c r="C101">
        <v>18</v>
      </c>
      <c r="D101">
        <v>1</v>
      </c>
    </row>
    <row r="102" spans="1:4" x14ac:dyDescent="0.3">
      <c r="A102">
        <v>101</v>
      </c>
      <c r="B102">
        <v>15</v>
      </c>
      <c r="C102">
        <v>19</v>
      </c>
      <c r="D102">
        <v>1</v>
      </c>
    </row>
    <row r="103" spans="1:4" x14ac:dyDescent="0.3">
      <c r="A103">
        <v>102</v>
      </c>
      <c r="B103">
        <v>10</v>
      </c>
      <c r="C103">
        <v>19</v>
      </c>
      <c r="D103">
        <v>1</v>
      </c>
    </row>
    <row r="104" spans="1:4" x14ac:dyDescent="0.3">
      <c r="A104">
        <v>103</v>
      </c>
      <c r="B104">
        <v>14</v>
      </c>
      <c r="C104">
        <v>19</v>
      </c>
      <c r="D104">
        <v>1</v>
      </c>
    </row>
    <row r="105" spans="1:4" x14ac:dyDescent="0.3">
      <c r="A105">
        <v>104</v>
      </c>
      <c r="B105">
        <v>46</v>
      </c>
      <c r="C105">
        <v>19</v>
      </c>
      <c r="D105">
        <v>1</v>
      </c>
    </row>
    <row r="106" spans="1:4" x14ac:dyDescent="0.3">
      <c r="A106">
        <v>105</v>
      </c>
      <c r="B106">
        <v>52</v>
      </c>
      <c r="C106">
        <v>19</v>
      </c>
      <c r="D106">
        <v>1</v>
      </c>
    </row>
    <row r="107" spans="1:4" x14ac:dyDescent="0.3">
      <c r="A107">
        <v>106</v>
      </c>
      <c r="B107">
        <v>20</v>
      </c>
      <c r="C107">
        <v>19</v>
      </c>
      <c r="D107">
        <v>2</v>
      </c>
    </row>
    <row r="108" spans="1:4" x14ac:dyDescent="0.3">
      <c r="A108">
        <v>107</v>
      </c>
      <c r="B108">
        <v>32</v>
      </c>
      <c r="C108">
        <v>19</v>
      </c>
      <c r="D108">
        <v>1</v>
      </c>
    </row>
    <row r="109" spans="1:4" x14ac:dyDescent="0.3">
      <c r="A109">
        <v>108</v>
      </c>
      <c r="B109">
        <v>13</v>
      </c>
      <c r="C109">
        <v>20</v>
      </c>
      <c r="D109">
        <v>1</v>
      </c>
    </row>
    <row r="110" spans="1:4" x14ac:dyDescent="0.3">
      <c r="A110">
        <v>109</v>
      </c>
      <c r="B110">
        <v>10</v>
      </c>
      <c r="C110">
        <v>20</v>
      </c>
      <c r="D110">
        <v>1</v>
      </c>
    </row>
    <row r="111" spans="1:4" x14ac:dyDescent="0.3">
      <c r="A111">
        <v>110</v>
      </c>
      <c r="B111">
        <v>29</v>
      </c>
      <c r="C111">
        <v>20</v>
      </c>
      <c r="D111">
        <v>2</v>
      </c>
    </row>
    <row r="112" spans="1:4" x14ac:dyDescent="0.3">
      <c r="A112">
        <v>111</v>
      </c>
      <c r="B112">
        <v>33</v>
      </c>
      <c r="C112">
        <v>20</v>
      </c>
      <c r="D112">
        <v>1</v>
      </c>
    </row>
    <row r="113" spans="1:4" x14ac:dyDescent="0.3">
      <c r="A113">
        <v>112</v>
      </c>
      <c r="B113">
        <v>48</v>
      </c>
      <c r="C113">
        <v>20</v>
      </c>
      <c r="D113">
        <v>1</v>
      </c>
    </row>
    <row r="114" spans="1:4" x14ac:dyDescent="0.3">
      <c r="A114">
        <v>113</v>
      </c>
      <c r="B114">
        <v>17</v>
      </c>
      <c r="C114">
        <v>21</v>
      </c>
      <c r="D114">
        <v>1</v>
      </c>
    </row>
    <row r="115" spans="1:4" x14ac:dyDescent="0.3">
      <c r="A115">
        <v>114</v>
      </c>
      <c r="B115">
        <v>34</v>
      </c>
      <c r="C115">
        <v>21</v>
      </c>
      <c r="D115">
        <v>1</v>
      </c>
    </row>
    <row r="116" spans="1:4" x14ac:dyDescent="0.3">
      <c r="A116">
        <v>115</v>
      </c>
      <c r="B116">
        <v>48</v>
      </c>
      <c r="C116">
        <v>21</v>
      </c>
      <c r="D116">
        <v>1</v>
      </c>
    </row>
    <row r="117" spans="1:4" x14ac:dyDescent="0.3">
      <c r="A117">
        <v>116</v>
      </c>
      <c r="B117">
        <v>13</v>
      </c>
      <c r="C117">
        <v>21</v>
      </c>
      <c r="D117">
        <v>1</v>
      </c>
    </row>
    <row r="118" spans="1:4" x14ac:dyDescent="0.3">
      <c r="A118">
        <v>117</v>
      </c>
      <c r="B118">
        <v>10</v>
      </c>
      <c r="C118">
        <v>21</v>
      </c>
      <c r="D118">
        <v>1</v>
      </c>
    </row>
    <row r="119" spans="1:4" x14ac:dyDescent="0.3">
      <c r="A119">
        <v>118</v>
      </c>
      <c r="B119">
        <v>13</v>
      </c>
      <c r="C119">
        <v>22</v>
      </c>
      <c r="D119">
        <v>2</v>
      </c>
    </row>
    <row r="120" spans="1:4" x14ac:dyDescent="0.3">
      <c r="A120">
        <v>119</v>
      </c>
      <c r="B120">
        <v>56</v>
      </c>
      <c r="C120">
        <v>22</v>
      </c>
      <c r="D120">
        <v>2</v>
      </c>
    </row>
    <row r="121" spans="1:4" x14ac:dyDescent="0.3">
      <c r="A121">
        <v>120</v>
      </c>
      <c r="B121">
        <v>14</v>
      </c>
      <c r="C121">
        <v>22</v>
      </c>
      <c r="D121">
        <v>1</v>
      </c>
    </row>
    <row r="122" spans="1:4" x14ac:dyDescent="0.3">
      <c r="A122">
        <v>121</v>
      </c>
      <c r="B122">
        <v>10</v>
      </c>
      <c r="C122">
        <v>22</v>
      </c>
      <c r="D122">
        <v>1</v>
      </c>
    </row>
    <row r="123" spans="1:4" x14ac:dyDescent="0.3">
      <c r="A123">
        <v>122</v>
      </c>
      <c r="B123">
        <v>33</v>
      </c>
      <c r="C123">
        <v>23</v>
      </c>
      <c r="D123">
        <v>1</v>
      </c>
    </row>
    <row r="124" spans="1:4" x14ac:dyDescent="0.3">
      <c r="A124">
        <v>123</v>
      </c>
      <c r="B124">
        <v>46</v>
      </c>
      <c r="C124">
        <v>23</v>
      </c>
      <c r="D124">
        <v>1</v>
      </c>
    </row>
    <row r="125" spans="1:4" x14ac:dyDescent="0.3">
      <c r="A125">
        <v>124</v>
      </c>
      <c r="B125">
        <v>36</v>
      </c>
      <c r="C125">
        <v>23</v>
      </c>
      <c r="D125">
        <v>1</v>
      </c>
    </row>
    <row r="126" spans="1:4" x14ac:dyDescent="0.3">
      <c r="A126">
        <v>125</v>
      </c>
      <c r="B126">
        <v>52</v>
      </c>
      <c r="C126">
        <v>23</v>
      </c>
      <c r="D126">
        <v>3</v>
      </c>
    </row>
    <row r="127" spans="1:4" x14ac:dyDescent="0.3">
      <c r="A127">
        <v>126</v>
      </c>
      <c r="B127">
        <v>60</v>
      </c>
      <c r="C127">
        <v>23</v>
      </c>
      <c r="D127">
        <v>1</v>
      </c>
    </row>
    <row r="128" spans="1:4" x14ac:dyDescent="0.3">
      <c r="A128">
        <v>127</v>
      </c>
      <c r="B128">
        <v>54</v>
      </c>
      <c r="C128">
        <v>23</v>
      </c>
      <c r="D128">
        <v>1</v>
      </c>
    </row>
    <row r="129" spans="1:9" x14ac:dyDescent="0.3">
      <c r="A129">
        <v>128</v>
      </c>
      <c r="B129">
        <v>53</v>
      </c>
      <c r="C129">
        <v>24</v>
      </c>
      <c r="D129">
        <v>1</v>
      </c>
    </row>
    <row r="130" spans="1:9" x14ac:dyDescent="0.3">
      <c r="A130">
        <v>129</v>
      </c>
      <c r="B130">
        <v>37</v>
      </c>
      <c r="C130">
        <v>24</v>
      </c>
      <c r="D130">
        <v>1</v>
      </c>
    </row>
    <row r="131" spans="1:9" x14ac:dyDescent="0.3">
      <c r="A131">
        <v>130</v>
      </c>
      <c r="B131">
        <v>34</v>
      </c>
      <c r="C131">
        <v>24</v>
      </c>
      <c r="D131">
        <v>1</v>
      </c>
    </row>
    <row r="132" spans="1:9" x14ac:dyDescent="0.3">
      <c r="A132">
        <v>131</v>
      </c>
      <c r="B132">
        <v>44</v>
      </c>
      <c r="C132">
        <v>24</v>
      </c>
      <c r="D132">
        <v>2</v>
      </c>
    </row>
    <row r="133" spans="1:9" x14ac:dyDescent="0.3">
      <c r="A133">
        <v>132</v>
      </c>
      <c r="B133">
        <v>62</v>
      </c>
      <c r="C133">
        <v>24</v>
      </c>
      <c r="D133">
        <v>1</v>
      </c>
    </row>
    <row r="134" spans="1:9" x14ac:dyDescent="0.3">
      <c r="A134">
        <v>133</v>
      </c>
      <c r="B134">
        <v>43</v>
      </c>
      <c r="C134">
        <v>24</v>
      </c>
      <c r="D134">
        <v>1</v>
      </c>
    </row>
    <row r="135" spans="1:9" x14ac:dyDescent="0.3">
      <c r="A135">
        <v>134</v>
      </c>
      <c r="B135">
        <v>52</v>
      </c>
      <c r="C135">
        <v>25</v>
      </c>
      <c r="D135">
        <v>1</v>
      </c>
      <c r="E135">
        <f>INDEX(Persons!A:A,MATCH(Prizes!F135,Persons!B:B,0))</f>
        <v>52</v>
      </c>
      <c r="F135" s="2" t="str">
        <f t="shared" ref="F135:F139" si="0">MID(I135,FIND("""name"": """,I135)+9,FIND("""",I135,FIND("""name"": """,I135)+9)-FIND("""name"": """,I135)-9)</f>
        <v>Anders Sz</v>
      </c>
      <c r="G135">
        <f t="shared" ref="G135:G139" si="1">VALUE(MID(I135,FIND("""prizes"": ",I135)+10,FIND("}",I135,FIND("""prizes"": ",I135))-FIND("""prizes"": ",I135)-10))</f>
        <v>1</v>
      </c>
      <c r="I135" t="s">
        <v>163</v>
      </c>
    </row>
    <row r="136" spans="1:9" x14ac:dyDescent="0.3">
      <c r="A136">
        <v>135</v>
      </c>
      <c r="B136">
        <v>46</v>
      </c>
      <c r="C136">
        <v>25</v>
      </c>
      <c r="D136">
        <v>1</v>
      </c>
      <c r="E136">
        <f>INDEX(Persons!A:A,MATCH(Prizes!F136,Persons!B:B,0))</f>
        <v>46</v>
      </c>
      <c r="F136" s="2" t="str">
        <f t="shared" si="0"/>
        <v>Ciaran</v>
      </c>
      <c r="G136">
        <f t="shared" si="1"/>
        <v>1</v>
      </c>
      <c r="I136" t="s">
        <v>170</v>
      </c>
    </row>
    <row r="137" spans="1:9" x14ac:dyDescent="0.3">
      <c r="A137">
        <v>136</v>
      </c>
      <c r="B137">
        <v>32</v>
      </c>
      <c r="C137">
        <v>25</v>
      </c>
      <c r="D137">
        <v>2</v>
      </c>
      <c r="E137">
        <f>INDEX(Persons!A:A,MATCH(Prizes!F137,Persons!B:B,0))</f>
        <v>32</v>
      </c>
      <c r="F137" s="2" t="str">
        <f t="shared" si="0"/>
        <v>Martin</v>
      </c>
      <c r="G137">
        <f t="shared" si="1"/>
        <v>2</v>
      </c>
      <c r="I137" t="s">
        <v>171</v>
      </c>
    </row>
    <row r="138" spans="1:9" x14ac:dyDescent="0.3">
      <c r="A138">
        <v>137</v>
      </c>
      <c r="B138">
        <v>10</v>
      </c>
      <c r="C138">
        <v>25</v>
      </c>
      <c r="D138">
        <v>1</v>
      </c>
      <c r="E138">
        <f>INDEX(Persons!A:A,MATCH(Prizes!F138,Persons!B:B,0))</f>
        <v>10</v>
      </c>
      <c r="F138" s="2" t="str">
        <f t="shared" si="0"/>
        <v>Odd</v>
      </c>
      <c r="G138">
        <f t="shared" si="1"/>
        <v>1</v>
      </c>
      <c r="I138" t="s">
        <v>173</v>
      </c>
    </row>
    <row r="139" spans="1:9" x14ac:dyDescent="0.3">
      <c r="A139">
        <v>138</v>
      </c>
      <c r="B139">
        <v>52</v>
      </c>
      <c r="C139">
        <v>25</v>
      </c>
      <c r="D139">
        <v>1</v>
      </c>
      <c r="E139">
        <f>INDEX(Persons!A:A,MATCH(Prizes!F139,Persons!B:B,0))</f>
        <v>52</v>
      </c>
      <c r="F139" s="2" t="str">
        <f t="shared" si="0"/>
        <v>Anders Sz</v>
      </c>
      <c r="G139">
        <f t="shared" si="1"/>
        <v>1</v>
      </c>
      <c r="I139" t="s">
        <v>174</v>
      </c>
    </row>
    <row r="140" spans="1:9" x14ac:dyDescent="0.3">
      <c r="A140">
        <v>139</v>
      </c>
      <c r="B140">
        <v>33</v>
      </c>
      <c r="C140">
        <v>26</v>
      </c>
      <c r="D140">
        <v>1</v>
      </c>
      <c r="E140">
        <f>INDEX(Persons!A:A,MATCH(Prizes!F140,Persons!B:B,0))</f>
        <v>33</v>
      </c>
      <c r="F140" s="2" t="str">
        <f t="shared" ref="F140:F141" si="2">MID(I140,FIND("""name"": """,I140)+9,FIND("""",I140,FIND("""name"": """,I140)+9)-FIND("""name"": """,I140)-9)</f>
        <v>Anders A</v>
      </c>
      <c r="G140">
        <f t="shared" ref="G140:G141" si="3">VALUE(MID(I140,FIND("""prizes"": ",I140)+10,FIND("}",I140,FIND("""prizes"": ",I140))-FIND("""prizes"": ",I140)-10))</f>
        <v>1</v>
      </c>
      <c r="I140" t="s">
        <v>190</v>
      </c>
    </row>
    <row r="141" spans="1:9" x14ac:dyDescent="0.3">
      <c r="A141">
        <v>140</v>
      </c>
      <c r="B141">
        <v>41</v>
      </c>
      <c r="C141">
        <v>26</v>
      </c>
      <c r="D141">
        <v>1</v>
      </c>
      <c r="E141">
        <f>INDEX(Persons!A:A,MATCH(Prizes!F141,Persons!B:B,0))</f>
        <v>41</v>
      </c>
      <c r="F141" s="2" t="str">
        <f t="shared" si="2"/>
        <v>Ruben B</v>
      </c>
      <c r="G141">
        <f t="shared" si="3"/>
        <v>1</v>
      </c>
      <c r="I141" t="s">
        <v>191</v>
      </c>
    </row>
    <row r="142" spans="1:9" x14ac:dyDescent="0.3">
      <c r="A142">
        <v>141</v>
      </c>
      <c r="B142">
        <v>57</v>
      </c>
      <c r="C142">
        <v>26</v>
      </c>
      <c r="D142">
        <v>1</v>
      </c>
      <c r="E142">
        <f>INDEX(Persons!A:A,MATCH(Prizes!F142,Persons!B:B,0))</f>
        <v>57</v>
      </c>
      <c r="F142" s="2" t="str">
        <f t="shared" ref="F142:F145" si="4">MID(I142,FIND("""name"": """,I142)+9,FIND("""",I142,FIND("""name"": """,I142)+9)-FIND("""name"": """,I142)-9)</f>
        <v>Helga</v>
      </c>
      <c r="G142">
        <f t="shared" ref="G142:G145" si="5">VALUE(MID(I142,FIND("""prizes"": ",I142)+10,FIND("}",I142,FIND("""prizes"": ",I142))-FIND("""prizes"": ",I142)-10))</f>
        <v>1</v>
      </c>
      <c r="I142" t="s">
        <v>196</v>
      </c>
    </row>
    <row r="143" spans="1:9" x14ac:dyDescent="0.3">
      <c r="A143">
        <v>142</v>
      </c>
      <c r="B143">
        <v>14</v>
      </c>
      <c r="C143">
        <v>26</v>
      </c>
      <c r="D143">
        <v>2</v>
      </c>
      <c r="E143">
        <f>INDEX(Persons!A:A,MATCH(Prizes!F143,Persons!B:B,0))</f>
        <v>14</v>
      </c>
      <c r="F143" s="2" t="str">
        <f t="shared" si="4"/>
        <v>Truls</v>
      </c>
      <c r="G143">
        <f t="shared" si="5"/>
        <v>2</v>
      </c>
      <c r="I143" t="s">
        <v>197</v>
      </c>
    </row>
    <row r="144" spans="1:9" x14ac:dyDescent="0.3">
      <c r="A144">
        <v>143</v>
      </c>
      <c r="B144">
        <v>48</v>
      </c>
      <c r="C144">
        <v>26</v>
      </c>
      <c r="D144">
        <v>1</v>
      </c>
      <c r="E144">
        <f>INDEX(Persons!A:A,MATCH(Prizes!F144,Persons!B:B,0))</f>
        <v>48</v>
      </c>
      <c r="F144" s="2" t="str">
        <f t="shared" si="4"/>
        <v>Ivan</v>
      </c>
      <c r="G144">
        <f t="shared" si="5"/>
        <v>1</v>
      </c>
      <c r="I144" t="s">
        <v>202</v>
      </c>
    </row>
    <row r="145" spans="1:9" x14ac:dyDescent="0.3">
      <c r="A145">
        <v>144</v>
      </c>
      <c r="B145">
        <v>64</v>
      </c>
      <c r="C145">
        <v>26</v>
      </c>
      <c r="D145">
        <v>2</v>
      </c>
      <c r="E145">
        <f>INDEX(Persons!A:A,MATCH(Prizes!F145,Persons!B:B,0))</f>
        <v>64</v>
      </c>
      <c r="F145" s="2" t="str">
        <f t="shared" si="4"/>
        <v>Øystein</v>
      </c>
      <c r="G145">
        <f t="shared" si="5"/>
        <v>2</v>
      </c>
      <c r="I145" t="s">
        <v>203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showGridLines="0" workbookViewId="0">
      <selection activeCell="J27" sqref="J27"/>
    </sheetView>
  </sheetViews>
  <sheetFormatPr defaultColWidth="8.88671875" defaultRowHeight="14.4" x14ac:dyDescent="0.3"/>
  <cols>
    <col min="2" max="2" width="10.109375" bestFit="1" customWidth="1"/>
    <col min="3" max="3" width="9.44140625" bestFit="1" customWidth="1"/>
    <col min="5" max="5" width="11" bestFit="1" customWidth="1"/>
    <col min="7" max="7" width="10.109375" style="13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9" t="s">
        <v>21</v>
      </c>
      <c r="E1" s="19" t="s">
        <v>128</v>
      </c>
      <c r="F1" t="s">
        <v>86</v>
      </c>
      <c r="G1" s="13">
        <f>SUM(C:C)</f>
        <v>37591.15</v>
      </c>
      <c r="H1" s="12">
        <f>SUM(D:D)</f>
        <v>169</v>
      </c>
    </row>
    <row r="2" spans="1:8" x14ac:dyDescent="0.3">
      <c r="A2">
        <v>1</v>
      </c>
      <c r="B2" s="1">
        <v>42291</v>
      </c>
      <c r="C2" s="14">
        <v>1651.2</v>
      </c>
      <c r="D2">
        <v>10</v>
      </c>
    </row>
    <row r="3" spans="1:8" x14ac:dyDescent="0.3">
      <c r="A3">
        <v>2</v>
      </c>
      <c r="B3" s="1">
        <v>42412</v>
      </c>
      <c r="C3" s="14">
        <v>986.65</v>
      </c>
      <c r="D3">
        <v>6</v>
      </c>
    </row>
    <row r="4" spans="1:8" x14ac:dyDescent="0.3">
      <c r="A4">
        <v>3</v>
      </c>
      <c r="B4" s="1">
        <v>42482</v>
      </c>
      <c r="C4" s="14">
        <v>1083.5</v>
      </c>
      <c r="D4">
        <v>6</v>
      </c>
    </row>
    <row r="5" spans="1:8" x14ac:dyDescent="0.3">
      <c r="A5">
        <v>4</v>
      </c>
      <c r="B5" s="1">
        <v>43173</v>
      </c>
      <c r="C5" s="14">
        <v>2500</v>
      </c>
      <c r="D5">
        <v>10</v>
      </c>
    </row>
    <row r="6" spans="1:8" x14ac:dyDescent="0.3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3">
      <c r="A7">
        <v>6</v>
      </c>
      <c r="B7" s="1" t="s">
        <v>85</v>
      </c>
      <c r="C7" s="14">
        <v>0</v>
      </c>
      <c r="D7">
        <v>4</v>
      </c>
    </row>
    <row r="8" spans="1:8" x14ac:dyDescent="0.3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3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3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3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3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3">
      <c r="A14">
        <v>13</v>
      </c>
      <c r="B14" s="1" t="s">
        <v>85</v>
      </c>
      <c r="C14" s="14" t="s">
        <v>85</v>
      </c>
      <c r="D14">
        <v>1</v>
      </c>
    </row>
    <row r="15" spans="1:8" x14ac:dyDescent="0.3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3">
      <c r="A16">
        <v>15</v>
      </c>
      <c r="B16" s="1" t="s">
        <v>85</v>
      </c>
      <c r="C16" s="14" t="s">
        <v>85</v>
      </c>
      <c r="D16">
        <v>2</v>
      </c>
    </row>
    <row r="17" spans="1:5" x14ac:dyDescent="0.3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3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3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3">
      <c r="A20">
        <v>19</v>
      </c>
      <c r="B20" s="1" t="s">
        <v>85</v>
      </c>
      <c r="C20" s="14" t="s">
        <v>85</v>
      </c>
      <c r="D20">
        <v>2</v>
      </c>
    </row>
    <row r="21" spans="1:5" x14ac:dyDescent="0.3">
      <c r="A21">
        <v>20</v>
      </c>
      <c r="B21" s="1" t="s">
        <v>85</v>
      </c>
      <c r="C21" s="14" t="s">
        <v>85</v>
      </c>
      <c r="D21">
        <v>1</v>
      </c>
    </row>
    <row r="22" spans="1:5" x14ac:dyDescent="0.3">
      <c r="A22">
        <v>21</v>
      </c>
      <c r="B22" s="1">
        <v>44123</v>
      </c>
      <c r="C22" s="14">
        <v>3315</v>
      </c>
      <c r="D22">
        <v>12</v>
      </c>
      <c r="E22" t="s">
        <v>187</v>
      </c>
    </row>
    <row r="23" spans="1:5" x14ac:dyDescent="0.3">
      <c r="A23">
        <v>22</v>
      </c>
      <c r="B23" s="1" t="s">
        <v>85</v>
      </c>
      <c r="C23" s="14" t="s">
        <v>85</v>
      </c>
      <c r="D23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11"/>
  <sheetViews>
    <sheetView showGridLines="0" workbookViewId="0">
      <selection activeCell="I13" sqref="I13"/>
    </sheetView>
  </sheetViews>
  <sheetFormatPr defaultColWidth="8.88671875" defaultRowHeight="14.4" x14ac:dyDescent="0.3"/>
  <cols>
    <col min="3" max="3" width="12.33203125" bestFit="1" customWidth="1"/>
    <col min="7" max="7" width="8.88671875" style="12"/>
    <col min="9" max="9" width="10.88671875" bestFit="1" customWidth="1"/>
  </cols>
  <sheetData>
    <row r="2" spans="2:10" x14ac:dyDescent="0.3">
      <c r="I2" t="s">
        <v>92</v>
      </c>
      <c r="J2" s="136">
        <v>11</v>
      </c>
    </row>
    <row r="3" spans="2:10" x14ac:dyDescent="0.3">
      <c r="B3" t="s">
        <v>87</v>
      </c>
      <c r="C3" s="136">
        <v>3929</v>
      </c>
      <c r="I3" t="s">
        <v>93</v>
      </c>
      <c r="J3" s="136">
        <v>9</v>
      </c>
    </row>
    <row r="4" spans="2:10" x14ac:dyDescent="0.3">
      <c r="B4" t="s">
        <v>88</v>
      </c>
      <c r="C4" s="136">
        <f>Sales!K1</f>
        <v>37590</v>
      </c>
      <c r="I4" t="s">
        <v>94</v>
      </c>
      <c r="J4" s="136">
        <v>6</v>
      </c>
    </row>
    <row r="5" spans="2:10" x14ac:dyDescent="0.3">
      <c r="B5" t="s">
        <v>91</v>
      </c>
      <c r="C5" s="136">
        <f>J8</f>
        <v>34</v>
      </c>
      <c r="I5" t="s">
        <v>127</v>
      </c>
      <c r="J5" s="136">
        <v>5</v>
      </c>
    </row>
    <row r="6" spans="2:10" x14ac:dyDescent="0.3">
      <c r="B6" t="s">
        <v>58</v>
      </c>
      <c r="C6" s="136">
        <f>-Persons!X1</f>
        <v>-100</v>
      </c>
      <c r="F6" t="s">
        <v>86</v>
      </c>
      <c r="G6" s="12">
        <f>Purchases!H1</f>
        <v>169</v>
      </c>
      <c r="I6" s="115" t="s">
        <v>188</v>
      </c>
      <c r="J6" s="137">
        <v>3</v>
      </c>
    </row>
    <row r="7" spans="2:10" x14ac:dyDescent="0.3">
      <c r="B7" s="15" t="s">
        <v>86</v>
      </c>
      <c r="C7" s="135">
        <f>-Purchases!G1</f>
        <v>-37591.15</v>
      </c>
      <c r="F7" s="15" t="s">
        <v>43</v>
      </c>
      <c r="G7" s="23">
        <f>-Prizes!H1</f>
        <v>-163</v>
      </c>
      <c r="I7" s="15" t="s">
        <v>206</v>
      </c>
      <c r="J7" s="135">
        <v>0</v>
      </c>
    </row>
    <row r="8" spans="2:10" x14ac:dyDescent="0.3">
      <c r="B8" s="22" t="s">
        <v>89</v>
      </c>
      <c r="C8" s="138">
        <f>SUM(C3:C7)</f>
        <v>3861.8499999999985</v>
      </c>
      <c r="F8" s="22" t="s">
        <v>89</v>
      </c>
      <c r="G8" s="24">
        <f>SUM(G3:G7)</f>
        <v>6</v>
      </c>
      <c r="I8" s="134" t="s">
        <v>95</v>
      </c>
      <c r="J8" s="139">
        <f>SUM(J2:J7)</f>
        <v>34</v>
      </c>
    </row>
    <row r="11" spans="2:10" x14ac:dyDescent="0.3">
      <c r="C11" s="44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M16" sqref="M16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52</v>
      </c>
      <c r="B1" t="s">
        <v>53</v>
      </c>
      <c r="M1" t="s">
        <v>67</v>
      </c>
    </row>
    <row r="2" spans="1:15" x14ac:dyDescent="0.3">
      <c r="A2" t="s">
        <v>51</v>
      </c>
      <c r="M2" t="s">
        <v>0</v>
      </c>
      <c r="N2" t="s">
        <v>1</v>
      </c>
      <c r="O2" t="s">
        <v>2</v>
      </c>
    </row>
    <row r="3" spans="1:15" x14ac:dyDescent="0.3">
      <c r="A3" t="s">
        <v>48</v>
      </c>
      <c r="N3" t="s">
        <v>59</v>
      </c>
    </row>
    <row r="4" spans="1:15" x14ac:dyDescent="0.3">
      <c r="A4" t="s">
        <v>54</v>
      </c>
      <c r="N4" t="s">
        <v>60</v>
      </c>
    </row>
    <row r="5" spans="1:15" x14ac:dyDescent="0.3">
      <c r="A5" t="s">
        <v>55</v>
      </c>
      <c r="N5" t="s">
        <v>61</v>
      </c>
    </row>
    <row r="6" spans="1:15" x14ac:dyDescent="0.3">
      <c r="N6" t="s">
        <v>62</v>
      </c>
    </row>
    <row r="8" spans="1:15" x14ac:dyDescent="0.3">
      <c r="M8" t="s">
        <v>70</v>
      </c>
    </row>
    <row r="9" spans="1:15" x14ac:dyDescent="0.3">
      <c r="M9" t="s">
        <v>0</v>
      </c>
      <c r="N9" t="s">
        <v>1</v>
      </c>
    </row>
    <row r="10" spans="1:15" x14ac:dyDescent="0.3">
      <c r="N10" t="s">
        <v>63</v>
      </c>
    </row>
    <row r="11" spans="1:15" x14ac:dyDescent="0.3">
      <c r="N11" t="s">
        <v>64</v>
      </c>
    </row>
    <row r="12" spans="1:15" x14ac:dyDescent="0.3">
      <c r="N12" t="s">
        <v>65</v>
      </c>
    </row>
    <row r="14" spans="1:15" x14ac:dyDescent="0.3">
      <c r="M14" t="s">
        <v>66</v>
      </c>
    </row>
    <row r="15" spans="1:15" x14ac:dyDescent="0.3">
      <c r="M15" t="s">
        <v>0</v>
      </c>
      <c r="N15" t="s">
        <v>74</v>
      </c>
    </row>
    <row r="22" spans="13:17" x14ac:dyDescent="0.3">
      <c r="M22" t="s">
        <v>68</v>
      </c>
    </row>
    <row r="23" spans="13:17" x14ac:dyDescent="0.3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2022-04-26T08:44:38Z</dcterms:modified>
</cp:coreProperties>
</file>