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8" i="7" l="1"/>
  <c r="AG27" i="7"/>
  <c r="AG26" i="7"/>
  <c r="AG25" i="7"/>
  <c r="AG24" i="7"/>
  <c r="AG23" i="7"/>
  <c r="AG22" i="7"/>
  <c r="AG21" i="7"/>
  <c r="AG20" i="7"/>
  <c r="AF28" i="7"/>
  <c r="AF27" i="7"/>
  <c r="AF26" i="7"/>
  <c r="AF25" i="7"/>
  <c r="AF24" i="7"/>
  <c r="AF23" i="7"/>
  <c r="AF22" i="7"/>
  <c r="AF21" i="7"/>
  <c r="AF20" i="7"/>
  <c r="AE21" i="7"/>
  <c r="AE22" i="7"/>
  <c r="AE23" i="7"/>
  <c r="AE24" i="7"/>
  <c r="AE25" i="7"/>
  <c r="AE26" i="7"/>
  <c r="AE27" i="7"/>
  <c r="AE28" i="7"/>
  <c r="AE20" i="7"/>
  <c r="AD21" i="7"/>
  <c r="AD22" i="7"/>
  <c r="AD23" i="7"/>
  <c r="AD24" i="7"/>
  <c r="AD25" i="7"/>
  <c r="AD26" i="7"/>
  <c r="AD27" i="7"/>
  <c r="AD28" i="7"/>
  <c r="AD20" i="7"/>
  <c r="AC20" i="7"/>
  <c r="AC21" i="7"/>
  <c r="AC22" i="7"/>
  <c r="AC23" i="7"/>
  <c r="AC24" i="7"/>
  <c r="AC25" i="7"/>
  <c r="AC26" i="7"/>
  <c r="AC27" i="7"/>
  <c r="AC28" i="7"/>
  <c r="AB20" i="7"/>
  <c r="Y21" i="7"/>
  <c r="Z21" i="7"/>
  <c r="AA21" i="7"/>
  <c r="AB21" i="7"/>
  <c r="Y22" i="7"/>
  <c r="Z22" i="7"/>
  <c r="AA22" i="7"/>
  <c r="AB22" i="7"/>
  <c r="Y23" i="7"/>
  <c r="Z23" i="7"/>
  <c r="AA23" i="7"/>
  <c r="AB23" i="7"/>
  <c r="Y24" i="7"/>
  <c r="Z24" i="7"/>
  <c r="AA24" i="7"/>
  <c r="AB24" i="7"/>
  <c r="Y25" i="7"/>
  <c r="Z25" i="7"/>
  <c r="AA25" i="7"/>
  <c r="AB25" i="7"/>
  <c r="Y26" i="7"/>
  <c r="Z26" i="7"/>
  <c r="AA26" i="7"/>
  <c r="AB26" i="7"/>
  <c r="Y27" i="7"/>
  <c r="Z27" i="7"/>
  <c r="AA27" i="7"/>
  <c r="AB27" i="7"/>
  <c r="Y28" i="7"/>
  <c r="Z28" i="7"/>
  <c r="AA28" i="7"/>
  <c r="AB28" i="7"/>
  <c r="AA20" i="7"/>
  <c r="Z20" i="7"/>
  <c r="Y20" i="7"/>
  <c r="V21" i="7"/>
  <c r="V22" i="7" s="1"/>
  <c r="V23" i="7" s="1"/>
  <c r="V24" i="7" s="1"/>
  <c r="V25" i="7" s="1"/>
  <c r="V26" i="7" s="1"/>
  <c r="V27" i="7" s="1"/>
  <c r="V28" i="7" s="1"/>
  <c r="F129" i="4"/>
  <c r="E129" i="4" s="1"/>
  <c r="G129" i="4"/>
  <c r="F130" i="4"/>
  <c r="E130" i="4" s="1"/>
  <c r="G130" i="4"/>
  <c r="F131" i="4"/>
  <c r="E131" i="4" s="1"/>
  <c r="G131" i="4"/>
  <c r="F132" i="4"/>
  <c r="E132" i="4" s="1"/>
  <c r="G132" i="4"/>
  <c r="F133" i="4"/>
  <c r="E133" i="4" s="1"/>
  <c r="G133" i="4"/>
  <c r="F134" i="4"/>
  <c r="E134" i="4" s="1"/>
  <c r="G134" i="4"/>
  <c r="D65" i="1" a="1"/>
  <c r="D65" i="1" s="1"/>
  <c r="I65" i="1"/>
  <c r="D64" i="1" a="1"/>
  <c r="D64" i="1" s="1"/>
  <c r="F64" i="1"/>
  <c r="H64" i="1"/>
  <c r="I64" i="1"/>
  <c r="J64" i="1"/>
  <c r="L64" i="1"/>
  <c r="O64" i="1"/>
  <c r="Q64" i="1"/>
  <c r="S64" i="1"/>
  <c r="U64" i="1"/>
  <c r="D63" i="1" a="1"/>
  <c r="D63" i="1" s="1"/>
  <c r="I63" i="1"/>
  <c r="I438" i="3"/>
  <c r="H438" i="3" s="1"/>
  <c r="J438" i="3"/>
  <c r="I439" i="3"/>
  <c r="H439" i="3" s="1"/>
  <c r="J439" i="3"/>
  <c r="I440" i="3"/>
  <c r="H440" i="3" s="1"/>
  <c r="J440" i="3"/>
  <c r="I441" i="3"/>
  <c r="H441" i="3" s="1"/>
  <c r="J441" i="3"/>
  <c r="I442" i="3"/>
  <c r="H442" i="3" s="1"/>
  <c r="J442" i="3"/>
  <c r="I443" i="3"/>
  <c r="H443" i="3" s="1"/>
  <c r="J443" i="3"/>
  <c r="I444" i="3"/>
  <c r="H444" i="3" s="1"/>
  <c r="J444" i="3"/>
  <c r="I445" i="3"/>
  <c r="H445" i="3" s="1"/>
  <c r="J445" i="3"/>
  <c r="I446" i="3"/>
  <c r="H446" i="3" s="1"/>
  <c r="J446" i="3"/>
  <c r="I447" i="3"/>
  <c r="H447" i="3" s="1"/>
  <c r="J447" i="3"/>
  <c r="H448" i="3"/>
  <c r="I448" i="3"/>
  <c r="J448" i="3"/>
  <c r="I449" i="3"/>
  <c r="H449" i="3" s="1"/>
  <c r="J449" i="3"/>
  <c r="I450" i="3"/>
  <c r="H450" i="3" s="1"/>
  <c r="J450" i="3"/>
  <c r="I451" i="3"/>
  <c r="H451" i="3" s="1"/>
  <c r="J451" i="3"/>
  <c r="H452" i="3"/>
  <c r="I452" i="3"/>
  <c r="J452" i="3"/>
  <c r="I453" i="3"/>
  <c r="H453" i="3" s="1"/>
  <c r="J453" i="3"/>
  <c r="H454" i="3"/>
  <c r="I454" i="3"/>
  <c r="J454" i="3"/>
  <c r="F25" i="2"/>
  <c r="E437" i="3" l="1"/>
  <c r="D62" i="1" a="1"/>
  <c r="D62" i="1" s="1"/>
  <c r="I62" i="1"/>
  <c r="D61" i="1" a="1"/>
  <c r="D61" i="1" s="1"/>
  <c r="I61" i="1"/>
  <c r="D60" i="1" a="1"/>
  <c r="D60" i="1" s="1"/>
  <c r="F60" i="1"/>
  <c r="H60" i="1"/>
  <c r="I60" i="1"/>
  <c r="J60" i="1"/>
  <c r="L60" i="1"/>
  <c r="O60" i="1"/>
  <c r="Q60" i="1"/>
  <c r="S60" i="1"/>
  <c r="U60" i="1"/>
  <c r="D24" i="2"/>
  <c r="E24" i="2" s="1"/>
  <c r="F24" i="2"/>
  <c r="G437" i="3" l="1"/>
  <c r="G24" i="2"/>
  <c r="F437" i="3" s="1"/>
  <c r="H24" i="2"/>
  <c r="E415" i="3"/>
  <c r="D58" i="1" l="1" a="1"/>
  <c r="D58" i="1" s="1"/>
  <c r="D59" i="1" a="1"/>
  <c r="D59" i="1" s="1"/>
  <c r="I58" i="1"/>
  <c r="I59" i="1"/>
  <c r="F23" i="2" l="1"/>
  <c r="D57" i="1" l="1" a="1"/>
  <c r="D57" i="1" s="1"/>
  <c r="I57" i="1"/>
  <c r="D56" i="1" a="1"/>
  <c r="D56" i="1" s="1"/>
  <c r="I56" i="1"/>
  <c r="F22" i="2"/>
  <c r="I55" i="1" l="1"/>
  <c r="D55" i="1" a="1"/>
  <c r="D55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20" i="1"/>
  <c r="O21" i="1"/>
  <c r="O23" i="1"/>
  <c r="O24" i="1"/>
  <c r="O25" i="1"/>
  <c r="O27" i="1"/>
  <c r="O28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G49" i="1"/>
  <c r="I47" i="1"/>
  <c r="I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6" i="1"/>
  <c r="G25" i="1"/>
  <c r="G14" i="1"/>
  <c r="G21" i="1"/>
  <c r="G9" i="1"/>
  <c r="G41" i="1"/>
  <c r="G23" i="1"/>
  <c r="G6" i="1"/>
  <c r="G33" i="1"/>
  <c r="G27" i="1"/>
  <c r="G40" i="1"/>
  <c r="G20" i="1"/>
  <c r="G44" i="1"/>
  <c r="G8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63" i="1" l="1"/>
  <c r="J65" i="1"/>
  <c r="J62" i="1"/>
  <c r="J61" i="1"/>
  <c r="J59" i="1"/>
  <c r="J58" i="1"/>
  <c r="J56" i="1"/>
  <c r="J57" i="1"/>
  <c r="J55" i="1"/>
  <c r="J54" i="1"/>
  <c r="J53" i="1"/>
  <c r="N51" i="1"/>
  <c r="P51" i="1" s="1"/>
  <c r="J52" i="1"/>
  <c r="N47" i="1"/>
  <c r="J51" i="1"/>
  <c r="T51" i="1"/>
  <c r="R51" i="1"/>
  <c r="J50" i="1"/>
  <c r="J49" i="1"/>
  <c r="J48" i="1"/>
  <c r="J47" i="1"/>
  <c r="T47" i="1"/>
  <c r="R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47" i="1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26" i="1"/>
  <c r="M10" i="1"/>
  <c r="M9" i="1"/>
  <c r="M14" i="1"/>
  <c r="M6" i="1"/>
  <c r="M30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6" i="1"/>
  <c r="E23" i="1"/>
  <c r="E32" i="1"/>
  <c r="E21" i="1"/>
  <c r="E28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7" i="1"/>
  <c r="F24" i="1"/>
  <c r="R24" i="1"/>
  <c r="K33" i="1"/>
  <c r="K6" i="1"/>
  <c r="K9" i="1"/>
  <c r="R27" i="1"/>
  <c r="K23" i="1"/>
  <c r="K30" i="1"/>
  <c r="K20" i="1"/>
  <c r="K8" i="1"/>
  <c r="K11" i="1"/>
  <c r="K25" i="1"/>
  <c r="K26" i="1"/>
  <c r="K7" i="1"/>
  <c r="K3" i="1"/>
  <c r="K21" i="1"/>
  <c r="T2" i="1"/>
  <c r="C5" i="12"/>
  <c r="K14" i="1"/>
  <c r="K10" i="1"/>
  <c r="N9" i="1" l="1"/>
  <c r="P9" i="1" s="1"/>
  <c r="N20" i="1"/>
  <c r="P20" i="1" s="1"/>
  <c r="N3" i="1"/>
  <c r="N11" i="1"/>
  <c r="P11" i="1" s="1"/>
  <c r="N10" i="1"/>
  <c r="N26" i="1"/>
  <c r="N25" i="1"/>
  <c r="P25" i="1" s="1"/>
  <c r="N6" i="1"/>
  <c r="P6" i="1" s="1"/>
  <c r="N8" i="1"/>
  <c r="P8" i="1" s="1"/>
  <c r="N5" i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L27" i="1"/>
  <c r="R20" i="1"/>
  <c r="L20" i="1"/>
  <c r="R10" i="1"/>
  <c r="L10" i="1"/>
  <c r="L24" i="1"/>
  <c r="R6" i="1"/>
  <c r="R9" i="1"/>
  <c r="R8" i="1"/>
  <c r="R11" i="1"/>
  <c r="R25" i="1"/>
  <c r="R26" i="1"/>
  <c r="T32" i="1"/>
  <c r="T33" i="1"/>
  <c r="P26" i="1" l="1"/>
  <c r="P10" i="1"/>
  <c r="O10" i="1"/>
  <c r="P5" i="1"/>
  <c r="P3" i="1"/>
  <c r="O3" i="1"/>
  <c r="S20" i="1"/>
  <c r="S3" i="1"/>
  <c r="S42" i="1"/>
  <c r="S27" i="1"/>
  <c r="S10" i="1"/>
  <c r="S24" i="1"/>
  <c r="T27" i="1" l="1"/>
  <c r="T20" i="1"/>
  <c r="T28" i="1"/>
  <c r="T30" i="1"/>
  <c r="T6" i="1"/>
  <c r="T25" i="1"/>
  <c r="T14" i="1"/>
  <c r="T7" i="1"/>
  <c r="T3" i="1"/>
  <c r="T9" i="1"/>
  <c r="T5" i="1"/>
  <c r="T21" i="1"/>
  <c r="T8" i="1"/>
  <c r="T10" i="1"/>
  <c r="T11" i="1"/>
  <c r="T23" i="1"/>
  <c r="T26" i="1"/>
  <c r="T24" i="1" l="1"/>
  <c r="U3" i="1" l="1"/>
  <c r="U27" i="1"/>
  <c r="U24" i="1"/>
  <c r="U20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J42" i="1"/>
  <c r="J43" i="1"/>
  <c r="J35" i="1"/>
  <c r="J38" i="1"/>
  <c r="J37" i="1"/>
  <c r="J41" i="1"/>
  <c r="J17" i="1"/>
  <c r="H3" i="1"/>
  <c r="J15" i="1"/>
  <c r="H24" i="1"/>
  <c r="J44" i="1"/>
  <c r="J3" i="1"/>
  <c r="J34" i="1"/>
  <c r="J26" i="1"/>
  <c r="J4" i="1"/>
  <c r="J18" i="1"/>
  <c r="J10" i="1"/>
  <c r="Q10" i="1"/>
  <c r="J12" i="1"/>
  <c r="J14" i="7" l="1"/>
  <c r="J15" i="7"/>
  <c r="J16" i="7"/>
  <c r="J12" i="7"/>
  <c r="K12" i="7" s="1" a="1"/>
  <c r="K12" i="7" s="1"/>
  <c r="J13" i="7"/>
  <c r="K13" i="7" s="1" a="1"/>
  <c r="K13" i="7" s="1"/>
  <c r="K14" i="7" l="1" a="1"/>
  <c r="K14" i="7" s="1"/>
  <c r="L14" i="7" s="1"/>
  <c r="K15" i="7" a="1"/>
  <c r="K15" i="7" s="1"/>
  <c r="L15" i="7" s="1"/>
  <c r="K16" i="7" a="1"/>
  <c r="K16" i="7" s="1"/>
  <c r="L16" i="7" s="1"/>
  <c r="L13" i="7"/>
  <c r="M13" i="7"/>
  <c r="M12" i="7"/>
  <c r="L12" i="7"/>
  <c r="M14" i="7" l="1"/>
  <c r="M15" i="7"/>
  <c r="M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4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49" i="1" s="1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K49" i="1" s="1"/>
  <c r="F365" i="3"/>
  <c r="N49" i="1" l="1"/>
  <c r="R49" i="1"/>
  <c r="T49" i="1"/>
  <c r="P49" i="1" l="1"/>
  <c r="D22" i="2"/>
  <c r="G391" i="3" s="1"/>
  <c r="E391" i="3"/>
  <c r="E390" i="3"/>
  <c r="G57" i="1"/>
  <c r="E387" i="3"/>
  <c r="E396" i="3"/>
  <c r="E378" i="3"/>
  <c r="E393" i="3"/>
  <c r="E22" i="1" s="1"/>
  <c r="E389" i="3"/>
  <c r="G22" i="1"/>
  <c r="E379" i="3"/>
  <c r="E384" i="3"/>
  <c r="E394" i="3"/>
  <c r="E395" i="3"/>
  <c r="E392" i="3"/>
  <c r="E375" i="3"/>
  <c r="E377" i="3"/>
  <c r="G4" i="1"/>
  <c r="E383" i="3"/>
  <c r="E380" i="3"/>
  <c r="E376" i="3"/>
  <c r="E382" i="3"/>
  <c r="E386" i="3"/>
  <c r="E388" i="3"/>
  <c r="E385" i="3"/>
  <c r="E4" i="1" s="1"/>
  <c r="E381" i="3"/>
  <c r="E57" i="1" s="1"/>
  <c r="G394" i="3" l="1"/>
  <c r="G383" i="3"/>
  <c r="G384" i="3"/>
  <c r="G378" i="3"/>
  <c r="G387" i="3"/>
  <c r="G375" i="3"/>
  <c r="G379" i="3"/>
  <c r="G390" i="3"/>
  <c r="H57" i="1"/>
  <c r="G389" i="3"/>
  <c r="G388" i="3"/>
  <c r="G396" i="3"/>
  <c r="H22" i="2"/>
  <c r="G376" i="3"/>
  <c r="G381" i="3"/>
  <c r="M57" i="1" s="1"/>
  <c r="G386" i="3"/>
  <c r="G395" i="3"/>
  <c r="G392" i="3"/>
  <c r="G393" i="3"/>
  <c r="M22" i="1" s="1"/>
  <c r="G377" i="3"/>
  <c r="F41" i="1"/>
  <c r="F51" i="1"/>
  <c r="F22" i="1"/>
  <c r="F57" i="1"/>
  <c r="H22" i="1"/>
  <c r="G382" i="3"/>
  <c r="G22" i="2"/>
  <c r="E22" i="2"/>
  <c r="H41" i="1"/>
  <c r="G380" i="3"/>
  <c r="H51" i="1"/>
  <c r="G385" i="3"/>
  <c r="M4" i="1" s="1"/>
  <c r="F391" i="3" l="1"/>
  <c r="F375" i="3"/>
  <c r="F389" i="3"/>
  <c r="F384" i="3"/>
  <c r="F381" i="3"/>
  <c r="K57" i="1" s="1"/>
  <c r="F378" i="3"/>
  <c r="F396" i="3"/>
  <c r="F394" i="3"/>
  <c r="F385" i="3"/>
  <c r="K4" i="1" s="1"/>
  <c r="F383" i="3"/>
  <c r="F393" i="3"/>
  <c r="K22" i="1" s="1"/>
  <c r="F390" i="3"/>
  <c r="F379" i="3"/>
  <c r="F395" i="3"/>
  <c r="F392" i="3"/>
  <c r="F377" i="3"/>
  <c r="F380" i="3"/>
  <c r="F382" i="3"/>
  <c r="F376" i="3"/>
  <c r="F386" i="3"/>
  <c r="F387" i="3"/>
  <c r="F388" i="3"/>
  <c r="L22" i="1" l="1"/>
  <c r="T22" i="1"/>
  <c r="R22" i="1"/>
  <c r="N22" i="1"/>
  <c r="L51" i="1"/>
  <c r="R4" i="1"/>
  <c r="L41" i="1"/>
  <c r="N4" i="1"/>
  <c r="T4" i="1"/>
  <c r="N57" i="1"/>
  <c r="R57" i="1"/>
  <c r="L57" i="1"/>
  <c r="T57" i="1"/>
  <c r="P57" i="1" l="1"/>
  <c r="O57" i="1"/>
  <c r="P22" i="1"/>
  <c r="O22" i="1"/>
  <c r="S57" i="1"/>
  <c r="P4" i="1"/>
  <c r="O51" i="1"/>
  <c r="O41" i="1"/>
  <c r="S22" i="1"/>
  <c r="U22" i="1"/>
  <c r="U51" i="1"/>
  <c r="U41" i="1"/>
  <c r="S41" i="1"/>
  <c r="S51" i="1"/>
  <c r="U57" i="1"/>
  <c r="Q41" i="1" l="1"/>
  <c r="Q51" i="1"/>
  <c r="Q22" i="1"/>
  <c r="Q57" i="1"/>
  <c r="E412" i="3"/>
  <c r="D23" i="2"/>
  <c r="G413" i="3" s="1"/>
  <c r="E398" i="3"/>
  <c r="E404" i="3"/>
  <c r="E52" i="1" s="1"/>
  <c r="E409" i="3"/>
  <c r="E405" i="3"/>
  <c r="E401" i="3"/>
  <c r="E397" i="3"/>
  <c r="G15" i="1"/>
  <c r="G53" i="1"/>
  <c r="E406" i="3"/>
  <c r="E410" i="3"/>
  <c r="E399" i="3"/>
  <c r="E402" i="3"/>
  <c r="E407" i="3"/>
  <c r="E408" i="3"/>
  <c r="E414" i="3"/>
  <c r="E400" i="3"/>
  <c r="E411" i="3"/>
  <c r="G52" i="1"/>
  <c r="E403" i="3"/>
  <c r="E15" i="1" s="1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M15" i="1" s="1"/>
  <c r="G23" i="2"/>
  <c r="G400" i="3"/>
  <c r="G399" i="3"/>
  <c r="G405" i="3"/>
  <c r="G412" i="3"/>
  <c r="G401" i="3"/>
  <c r="G404" i="3"/>
  <c r="M52" i="1" s="1"/>
  <c r="E53" i="1"/>
  <c r="G402" i="3"/>
  <c r="G397" i="3"/>
  <c r="M53" i="1" s="1"/>
  <c r="G411" i="3"/>
  <c r="F410" i="3" l="1"/>
  <c r="F415" i="3"/>
  <c r="F399" i="3"/>
  <c r="F406" i="3"/>
  <c r="F401" i="3"/>
  <c r="F414" i="3"/>
  <c r="F404" i="3"/>
  <c r="K52" i="1" s="1"/>
  <c r="F397" i="3"/>
  <c r="K53" i="1" s="1"/>
  <c r="T53" i="1" s="1"/>
  <c r="F398" i="3"/>
  <c r="F407" i="3"/>
  <c r="F402" i="3"/>
  <c r="F400" i="3"/>
  <c r="F403" i="3"/>
  <c r="K15" i="1" s="1"/>
  <c r="F413" i="3"/>
  <c r="F405" i="3"/>
  <c r="F409" i="3"/>
  <c r="F408" i="3"/>
  <c r="F412" i="3"/>
  <c r="F411" i="3"/>
  <c r="T15" i="1" l="1"/>
  <c r="R15" i="1"/>
  <c r="N15" i="1"/>
  <c r="R53" i="1"/>
  <c r="N53" i="1"/>
  <c r="N52" i="1"/>
  <c r="R52" i="1"/>
  <c r="T52" i="1"/>
  <c r="P52" i="1" l="1"/>
  <c r="P53" i="1"/>
  <c r="P15" i="1"/>
  <c r="G62" i="1" l="1"/>
  <c r="G429" i="3"/>
  <c r="G436" i="3"/>
  <c r="M62" i="1" s="1"/>
  <c r="E436" i="3"/>
  <c r="E62" i="1" s="1"/>
  <c r="G434" i="3"/>
  <c r="G435" i="3"/>
  <c r="M29" i="1" s="1"/>
  <c r="G418" i="3"/>
  <c r="M18" i="1" s="1"/>
  <c r="G29" i="1"/>
  <c r="G19" i="1"/>
  <c r="G60" i="1"/>
  <c r="G430" i="3"/>
  <c r="M61" i="1" s="1"/>
  <c r="G424" i="3"/>
  <c r="M60" i="1" s="1"/>
  <c r="E426" i="3"/>
  <c r="E59" i="1" s="1"/>
  <c r="G416" i="3"/>
  <c r="G428" i="3"/>
  <c r="M54" i="1" s="1"/>
  <c r="G432" i="3"/>
  <c r="M34" i="1" s="1"/>
  <c r="G427" i="3"/>
  <c r="M58" i="1" s="1"/>
  <c r="G38" i="1"/>
  <c r="G34" i="1"/>
  <c r="G59" i="1"/>
  <c r="G58" i="1"/>
  <c r="G431" i="3"/>
  <c r="G425" i="3"/>
  <c r="M38" i="1" s="1"/>
  <c r="G433" i="3"/>
  <c r="G422" i="3"/>
  <c r="M16" i="1" s="1"/>
  <c r="G16" i="1"/>
  <c r="G421" i="3"/>
  <c r="E431" i="3"/>
  <c r="G420" i="3"/>
  <c r="F436" i="3"/>
  <c r="K62" i="1" s="1"/>
  <c r="E427" i="3"/>
  <c r="E58" i="1" s="1"/>
  <c r="F431" i="3"/>
  <c r="G419" i="3"/>
  <c r="M19" i="1" s="1"/>
  <c r="G61" i="1"/>
  <c r="G54" i="1"/>
  <c r="E423" i="3"/>
  <c r="E48" i="1" s="1"/>
  <c r="E424" i="3"/>
  <c r="E60" i="1" s="1"/>
  <c r="E422" i="3"/>
  <c r="E16" i="1" s="1"/>
  <c r="E432" i="3"/>
  <c r="E34" i="1" s="1"/>
  <c r="G426" i="3"/>
  <c r="M59" i="1" s="1"/>
  <c r="E433" i="3"/>
  <c r="E416" i="3"/>
  <c r="F433" i="3"/>
  <c r="F427" i="3"/>
  <c r="K58" i="1" s="1"/>
  <c r="F429" i="3"/>
  <c r="E429" i="3"/>
  <c r="G48" i="1"/>
  <c r="E430" i="3"/>
  <c r="E61" i="1" s="1"/>
  <c r="E418" i="3"/>
  <c r="E18" i="1"/>
  <c r="F421" i="3"/>
  <c r="E421" i="3"/>
  <c r="F430" i="3"/>
  <c r="K61" i="1" s="1"/>
  <c r="F422" i="3"/>
  <c r="K16" i="1" s="1"/>
  <c r="N16" i="1" s="1"/>
  <c r="F420" i="3"/>
  <c r="E420" i="3"/>
  <c r="F428" i="3"/>
  <c r="K54" i="1" s="1"/>
  <c r="E428" i="3"/>
  <c r="E54" i="1" s="1"/>
  <c r="F432" i="3"/>
  <c r="K34" i="1" s="1"/>
  <c r="F424" i="3"/>
  <c r="K60" i="1" s="1"/>
  <c r="N60" i="1" s="1"/>
  <c r="E417" i="3"/>
  <c r="F435" i="3"/>
  <c r="K29" i="1" s="1"/>
  <c r="E435" i="3"/>
  <c r="E29" i="1" s="1"/>
  <c r="F426" i="3"/>
  <c r="K59" i="1" s="1"/>
  <c r="N59" i="1" s="1"/>
  <c r="F425" i="3"/>
  <c r="K38" i="1" s="1"/>
  <c r="E425" i="3"/>
  <c r="E38" i="1" s="1"/>
  <c r="E419" i="3"/>
  <c r="E19" i="1"/>
  <c r="F419" i="3"/>
  <c r="K19" i="1" s="1"/>
  <c r="F423" i="3"/>
  <c r="K48" i="1" s="1"/>
  <c r="G423" i="3"/>
  <c r="M48" i="1" s="1"/>
  <c r="F416" i="3"/>
  <c r="F417" i="3"/>
  <c r="G417" i="3"/>
  <c r="E434" i="3"/>
  <c r="F418" i="3"/>
  <c r="K18" i="1" s="1"/>
  <c r="N18" i="1" s="1"/>
  <c r="G18" i="1"/>
  <c r="F434" i="3"/>
  <c r="R61" i="1" l="1"/>
  <c r="R34" i="1"/>
  <c r="R19" i="1"/>
  <c r="T19" i="1"/>
  <c r="P60" i="1"/>
  <c r="R59" i="1"/>
  <c r="R29" i="1"/>
  <c r="N29" i="1"/>
  <c r="P29" i="1" s="1"/>
  <c r="T29" i="1"/>
  <c r="N58" i="1"/>
  <c r="P58" i="1" s="1"/>
  <c r="R58" i="1"/>
  <c r="N34" i="1"/>
  <c r="P34" i="1" s="1"/>
  <c r="P16" i="1"/>
  <c r="T60" i="1"/>
  <c r="T18" i="1"/>
  <c r="T38" i="1"/>
  <c r="P59" i="1"/>
  <c r="T34" i="1"/>
  <c r="T16" i="1"/>
  <c r="T58" i="1"/>
  <c r="R54" i="1"/>
  <c r="N54" i="1"/>
  <c r="R62" i="1"/>
  <c r="N62" i="1"/>
  <c r="T62" i="1"/>
  <c r="N48" i="1"/>
  <c r="R48" i="1"/>
  <c r="T48" i="1"/>
  <c r="F53" i="1"/>
  <c r="P18" i="1"/>
  <c r="L44" i="1"/>
  <c r="T61" i="1"/>
  <c r="N19" i="1"/>
  <c r="R18" i="1"/>
  <c r="F5" i="1"/>
  <c r="H53" i="1"/>
  <c r="T59" i="1"/>
  <c r="N61" i="1"/>
  <c r="L53" i="1"/>
  <c r="F44" i="1"/>
  <c r="H5" i="1"/>
  <c r="R60" i="1"/>
  <c r="R38" i="1"/>
  <c r="N38" i="1"/>
  <c r="R16" i="1"/>
  <c r="H44" i="1"/>
  <c r="L5" i="1"/>
  <c r="T54" i="1"/>
  <c r="P62" i="1" l="1"/>
  <c r="S44" i="1"/>
  <c r="S53" i="1"/>
  <c r="O44" i="1"/>
  <c r="O53" i="1"/>
  <c r="O5" i="1"/>
  <c r="U53" i="1"/>
  <c r="S5" i="1"/>
  <c r="U44" i="1"/>
  <c r="U5" i="1"/>
  <c r="P54" i="1"/>
  <c r="P38" i="1"/>
  <c r="P61" i="1"/>
  <c r="P19" i="1"/>
  <c r="P48" i="1"/>
  <c r="Q5" i="1" l="1"/>
  <c r="Q44" i="1"/>
  <c r="Q53" i="1"/>
  <c r="E50" i="1"/>
  <c r="G13" i="1"/>
  <c r="E453" i="3"/>
  <c r="E43" i="1" s="1"/>
  <c r="E446" i="3"/>
  <c r="E46" i="1" s="1"/>
  <c r="E442" i="3"/>
  <c r="E56" i="1" s="1"/>
  <c r="G31" i="1"/>
  <c r="G39" i="1"/>
  <c r="E449" i="3"/>
  <c r="G56" i="1"/>
  <c r="G43" i="1"/>
  <c r="G55" i="1"/>
  <c r="G64" i="1"/>
  <c r="E450" i="3"/>
  <c r="E64" i="1"/>
  <c r="G63" i="1"/>
  <c r="G36" i="1"/>
  <c r="G37" i="1"/>
  <c r="G35" i="1"/>
  <c r="G65" i="1"/>
  <c r="D25" i="2"/>
  <c r="G442" i="3" s="1"/>
  <c r="M56" i="1" s="1"/>
  <c r="E447" i="3"/>
  <c r="E13" i="1"/>
  <c r="G50" i="1"/>
  <c r="E451" i="3"/>
  <c r="E45" i="1"/>
  <c r="E452" i="3"/>
  <c r="E65" i="1" s="1"/>
  <c r="E440" i="3"/>
  <c r="E37" i="1" s="1"/>
  <c r="E448" i="3"/>
  <c r="E63" i="1"/>
  <c r="E438" i="3"/>
  <c r="E55" i="1" s="1"/>
  <c r="G440" i="3"/>
  <c r="M37" i="1" s="1"/>
  <c r="E444" i="3"/>
  <c r="E12" i="1" s="1"/>
  <c r="E454" i="3"/>
  <c r="E31" i="1"/>
  <c r="E445" i="3"/>
  <c r="E36" i="1"/>
  <c r="G17" i="1"/>
  <c r="E443" i="3"/>
  <c r="E35" i="1" s="1"/>
  <c r="E441" i="3"/>
  <c r="E17" i="1" s="1"/>
  <c r="E439" i="3"/>
  <c r="E39" i="1" s="1"/>
  <c r="G45" i="1"/>
  <c r="G46" i="1"/>
  <c r="G12" i="1"/>
  <c r="G444" i="3" l="1"/>
  <c r="M12" i="1" s="1"/>
  <c r="G438" i="3"/>
  <c r="M55" i="1" s="1"/>
  <c r="G25" i="2"/>
  <c r="F453" i="3" s="1"/>
  <c r="K43" i="1" s="1"/>
  <c r="T43" i="1" s="1"/>
  <c r="G449" i="3"/>
  <c r="M50" i="1" s="1"/>
  <c r="H25" i="2"/>
  <c r="F39" i="1"/>
  <c r="F62" i="1"/>
  <c r="F26" i="1"/>
  <c r="F15" i="1"/>
  <c r="F18" i="1"/>
  <c r="F19" i="1"/>
  <c r="F4" i="1"/>
  <c r="F61" i="1"/>
  <c r="F59" i="1"/>
  <c r="F49" i="1"/>
  <c r="F12" i="1"/>
  <c r="F47" i="1"/>
  <c r="F54" i="1"/>
  <c r="F58" i="1"/>
  <c r="F29" i="1"/>
  <c r="F48" i="1"/>
  <c r="F16" i="1"/>
  <c r="F52" i="1"/>
  <c r="F38" i="1"/>
  <c r="F34" i="1"/>
  <c r="F65" i="1"/>
  <c r="F45" i="1"/>
  <c r="H39" i="1"/>
  <c r="H31" i="1"/>
  <c r="F56" i="1"/>
  <c r="H61" i="1"/>
  <c r="H26" i="1"/>
  <c r="H43" i="1"/>
  <c r="H16" i="1"/>
  <c r="H38" i="1"/>
  <c r="H19" i="1"/>
  <c r="H18" i="1"/>
  <c r="H62" i="1"/>
  <c r="H58" i="1"/>
  <c r="H29" i="1"/>
  <c r="H59" i="1"/>
  <c r="H52" i="1"/>
  <c r="H15" i="1"/>
  <c r="H12" i="1"/>
  <c r="H49" i="1"/>
  <c r="H47" i="1"/>
  <c r="H48" i="1"/>
  <c r="H35" i="1"/>
  <c r="H34" i="1"/>
  <c r="H54" i="1"/>
  <c r="H55" i="1"/>
  <c r="H37" i="1"/>
  <c r="H56" i="1"/>
  <c r="H46" i="1"/>
  <c r="H36" i="1"/>
  <c r="H65" i="1"/>
  <c r="H17" i="1"/>
  <c r="H45" i="1"/>
  <c r="F55" i="1"/>
  <c r="H50" i="1"/>
  <c r="H63" i="1"/>
  <c r="F46" i="1"/>
  <c r="F31" i="1"/>
  <c r="F36" i="1"/>
  <c r="F17" i="1"/>
  <c r="K1" i="3"/>
  <c r="C3" i="12" s="1"/>
  <c r="C7" i="12" s="1"/>
  <c r="F63" i="1"/>
  <c r="F13" i="1"/>
  <c r="F43" i="1"/>
  <c r="F35" i="1"/>
  <c r="H13" i="1"/>
  <c r="F50" i="1"/>
  <c r="H4" i="1"/>
  <c r="F442" i="3"/>
  <c r="K56" i="1" s="1"/>
  <c r="F454" i="3"/>
  <c r="K31" i="1" s="1"/>
  <c r="T31" i="1" s="1"/>
  <c r="F449" i="3"/>
  <c r="K50" i="1" s="1"/>
  <c r="T50" i="1" s="1"/>
  <c r="F443" i="3"/>
  <c r="K35" i="1" s="1"/>
  <c r="F441" i="3"/>
  <c r="K17" i="1" s="1"/>
  <c r="F37" i="1"/>
  <c r="G447" i="3"/>
  <c r="M13" i="1" s="1"/>
  <c r="G445" i="3"/>
  <c r="M36" i="1" s="1"/>
  <c r="G450" i="3"/>
  <c r="M64" i="1" s="1"/>
  <c r="E25" i="2"/>
  <c r="G453" i="3"/>
  <c r="M43" i="1" s="1"/>
  <c r="G448" i="3"/>
  <c r="M63" i="1" s="1"/>
  <c r="G452" i="3"/>
  <c r="M65" i="1" s="1"/>
  <c r="G439" i="3"/>
  <c r="M39" i="1" s="1"/>
  <c r="G451" i="3"/>
  <c r="M45" i="1" s="1"/>
  <c r="G441" i="3"/>
  <c r="M17" i="1" s="1"/>
  <c r="G454" i="3"/>
  <c r="M31" i="1" s="1"/>
  <c r="G446" i="3"/>
  <c r="M46" i="1" s="1"/>
  <c r="G443" i="3"/>
  <c r="M35" i="1" s="1"/>
  <c r="F448" i="3" l="1"/>
  <c r="K63" i="1" s="1"/>
  <c r="R63" i="1" s="1"/>
  <c r="F446" i="3"/>
  <c r="K46" i="1" s="1"/>
  <c r="T46" i="1" s="1"/>
  <c r="F447" i="3"/>
  <c r="K13" i="1" s="1"/>
  <c r="R13" i="1" s="1"/>
  <c r="F445" i="3"/>
  <c r="K36" i="1" s="1"/>
  <c r="F451" i="3"/>
  <c r="K45" i="1" s="1"/>
  <c r="F444" i="3"/>
  <c r="K12" i="1" s="1"/>
  <c r="F452" i="3"/>
  <c r="K65" i="1" s="1"/>
  <c r="F450" i="3"/>
  <c r="K64" i="1" s="1"/>
  <c r="F438" i="3"/>
  <c r="K55" i="1" s="1"/>
  <c r="F440" i="3"/>
  <c r="K37" i="1" s="1"/>
  <c r="F439" i="3"/>
  <c r="K39" i="1" s="1"/>
  <c r="J23" i="7"/>
  <c r="K23" i="7" s="1" a="1"/>
  <c r="K23" i="7" s="1"/>
  <c r="J24" i="7"/>
  <c r="K24" i="7" s="1" a="1"/>
  <c r="K24" i="7" s="1"/>
  <c r="J21" i="7"/>
  <c r="K21" i="7" s="1" a="1"/>
  <c r="K21" i="7" s="1"/>
  <c r="J20" i="7"/>
  <c r="K20" i="7" s="1" a="1"/>
  <c r="K20" i="7" s="1"/>
  <c r="J22" i="7"/>
  <c r="K22" i="7" s="1" a="1"/>
  <c r="K22" i="7" s="1"/>
  <c r="R56" i="1"/>
  <c r="N56" i="1"/>
  <c r="R17" i="1"/>
  <c r="N17" i="1"/>
  <c r="T17" i="1"/>
  <c r="T56" i="1"/>
  <c r="R35" i="1"/>
  <c r="N35" i="1"/>
  <c r="N43" i="1"/>
  <c r="R43" i="1"/>
  <c r="N50" i="1"/>
  <c r="R50" i="1"/>
  <c r="N31" i="1"/>
  <c r="R31" i="1"/>
  <c r="T35" i="1"/>
  <c r="L29" i="1" l="1"/>
  <c r="L55" i="1"/>
  <c r="N63" i="1"/>
  <c r="T13" i="1"/>
  <c r="N13" i="1"/>
  <c r="T63" i="1"/>
  <c r="N46" i="1"/>
  <c r="R46" i="1"/>
  <c r="L36" i="1"/>
  <c r="L46" i="1"/>
  <c r="L18" i="1"/>
  <c r="L45" i="1"/>
  <c r="L48" i="1"/>
  <c r="L39" i="1"/>
  <c r="L56" i="1"/>
  <c r="L43" i="1"/>
  <c r="L12" i="1"/>
  <c r="L38" i="1"/>
  <c r="L4" i="1"/>
  <c r="L63" i="1"/>
  <c r="L52" i="1"/>
  <c r="L58" i="1"/>
  <c r="L61" i="1"/>
  <c r="L19" i="1"/>
  <c r="L47" i="1"/>
  <c r="L37" i="1"/>
  <c r="L13" i="1"/>
  <c r="L50" i="1"/>
  <c r="L59" i="1"/>
  <c r="L65" i="1"/>
  <c r="L35" i="1"/>
  <c r="L31" i="1"/>
  <c r="L62" i="1"/>
  <c r="L26" i="1"/>
  <c r="L34" i="1"/>
  <c r="L16" i="1"/>
  <c r="L17" i="1"/>
  <c r="L49" i="1"/>
  <c r="L15" i="1"/>
  <c r="T39" i="1"/>
  <c r="R39" i="1"/>
  <c r="N39" i="1"/>
  <c r="P39" i="1" s="1"/>
  <c r="R37" i="1"/>
  <c r="N37" i="1"/>
  <c r="P37" i="1" s="1"/>
  <c r="T37" i="1"/>
  <c r="T55" i="1"/>
  <c r="R55" i="1"/>
  <c r="N55" i="1"/>
  <c r="P55" i="1" s="1"/>
  <c r="T64" i="1"/>
  <c r="R64" i="1"/>
  <c r="N64" i="1"/>
  <c r="P64" i="1" s="1"/>
  <c r="N65" i="1"/>
  <c r="P65" i="1" s="1"/>
  <c r="R65" i="1"/>
  <c r="T65" i="1"/>
  <c r="T12" i="1"/>
  <c r="R12" i="1"/>
  <c r="N12" i="1"/>
  <c r="T45" i="1"/>
  <c r="N45" i="1"/>
  <c r="P45" i="1" s="1"/>
  <c r="R45" i="1"/>
  <c r="N36" i="1"/>
  <c r="P36" i="1" s="1"/>
  <c r="R36" i="1"/>
  <c r="T36" i="1"/>
  <c r="L54" i="1"/>
  <c r="L20" i="7"/>
  <c r="M20" i="7"/>
  <c r="L21" i="7"/>
  <c r="M21" i="7"/>
  <c r="L24" i="7"/>
  <c r="M24" i="7"/>
  <c r="L23" i="7"/>
  <c r="M23" i="7"/>
  <c r="P35" i="1"/>
  <c r="P17" i="1"/>
  <c r="P31" i="1"/>
  <c r="P13" i="1"/>
  <c r="P43" i="1"/>
  <c r="P56" i="1"/>
  <c r="P63" i="1"/>
  <c r="P50" i="1"/>
  <c r="P46" i="1"/>
  <c r="L22" i="7"/>
  <c r="M22" i="7"/>
  <c r="J4" i="7" l="1"/>
  <c r="K4" i="7" s="1" a="1"/>
  <c r="K4" i="7" s="1"/>
  <c r="M4" i="7" s="1"/>
  <c r="J6" i="7"/>
  <c r="K6" i="7" s="1" a="1"/>
  <c r="K6" i="7" s="1"/>
  <c r="M6" i="7" s="1"/>
  <c r="J7" i="7"/>
  <c r="K7" i="7" s="1" a="1"/>
  <c r="K7" i="7" s="1"/>
  <c r="M7" i="7" s="1"/>
  <c r="J8" i="7"/>
  <c r="K8" i="7" s="1" a="1"/>
  <c r="K8" i="7" s="1"/>
  <c r="M8" i="7" s="1"/>
  <c r="J5" i="7"/>
  <c r="K5" i="7" s="1" a="1"/>
  <c r="K5" i="7" s="1"/>
  <c r="M5" i="7" s="1"/>
  <c r="U13" i="1"/>
  <c r="O37" i="1"/>
  <c r="S47" i="1"/>
  <c r="U61" i="1"/>
  <c r="U38" i="1"/>
  <c r="U65" i="1"/>
  <c r="S65" i="1"/>
  <c r="S63" i="1"/>
  <c r="U48" i="1"/>
  <c r="U59" i="1"/>
  <c r="O54" i="1"/>
  <c r="S17" i="1"/>
  <c r="U15" i="1"/>
  <c r="S46" i="1"/>
  <c r="U50" i="1"/>
  <c r="O61" i="1"/>
  <c r="O18" i="1"/>
  <c r="S15" i="1"/>
  <c r="O4" i="1"/>
  <c r="U55" i="1"/>
  <c r="O65" i="1"/>
  <c r="U18" i="1"/>
  <c r="O26" i="1"/>
  <c r="O46" i="1"/>
  <c r="U43" i="1"/>
  <c r="U39" i="1"/>
  <c r="S16" i="1"/>
  <c r="U36" i="1"/>
  <c r="U26" i="1"/>
  <c r="U63" i="1"/>
  <c r="S39" i="1"/>
  <c r="U56" i="1"/>
  <c r="U62" i="1"/>
  <c r="S34" i="1"/>
  <c r="S29" i="1"/>
  <c r="S49" i="1"/>
  <c r="O36" i="1"/>
  <c r="U52" i="1"/>
  <c r="O38" i="1"/>
  <c r="O50" i="1"/>
  <c r="S59" i="1"/>
  <c r="U35" i="1"/>
  <c r="U49" i="1"/>
  <c r="S43" i="1"/>
  <c r="S45" i="1"/>
  <c r="S62" i="1"/>
  <c r="O39" i="1"/>
  <c r="O63" i="1"/>
  <c r="S13" i="1"/>
  <c r="O59" i="1"/>
  <c r="U17" i="1"/>
  <c r="U54" i="1"/>
  <c r="O58" i="1"/>
  <c r="P12" i="1"/>
  <c r="Q37" i="1" s="1"/>
  <c r="O55" i="1"/>
  <c r="S38" i="1"/>
  <c r="U29" i="1"/>
  <c r="U45" i="1"/>
  <c r="S55" i="1"/>
  <c r="U34" i="1"/>
  <c r="U12" i="1"/>
  <c r="U58" i="1"/>
  <c r="S18" i="1"/>
  <c r="S58" i="1"/>
  <c r="S26" i="1"/>
  <c r="S12" i="1"/>
  <c r="S61" i="1"/>
  <c r="S54" i="1"/>
  <c r="S19" i="1"/>
  <c r="O49" i="1"/>
  <c r="O34" i="1"/>
  <c r="S50" i="1"/>
  <c r="O52" i="1"/>
  <c r="U31" i="1"/>
  <c r="U19" i="1"/>
  <c r="U4" i="1"/>
  <c r="U37" i="1"/>
  <c r="O15" i="1"/>
  <c r="U46" i="1"/>
  <c r="S36" i="1"/>
  <c r="S56" i="1"/>
  <c r="O12" i="1"/>
  <c r="O56" i="1"/>
  <c r="O43" i="1"/>
  <c r="O47" i="1"/>
  <c r="U16" i="1"/>
  <c r="O19" i="1"/>
  <c r="S37" i="1"/>
  <c r="O48" i="1"/>
  <c r="O62" i="1"/>
  <c r="S48" i="1"/>
  <c r="O29" i="1"/>
  <c r="O13" i="1"/>
  <c r="S35" i="1"/>
  <c r="S4" i="1"/>
  <c r="O35" i="1"/>
  <c r="Q59" i="1"/>
  <c r="O45" i="1"/>
  <c r="S52" i="1"/>
  <c r="O16" i="1"/>
  <c r="O31" i="1"/>
  <c r="O17" i="1"/>
  <c r="U47" i="1"/>
  <c r="S31" i="1"/>
  <c r="Q56" i="1"/>
  <c r="Q12" i="1"/>
  <c r="Q48" i="1"/>
  <c r="Q36" i="1"/>
  <c r="Q49" i="1"/>
  <c r="Q43" i="1"/>
  <c r="Q35" i="1"/>
  <c r="Q13" i="1"/>
  <c r="Q19" i="1"/>
  <c r="Q62" i="1"/>
  <c r="Q18" i="1"/>
  <c r="Q16" i="1"/>
  <c r="Q38" i="1"/>
  <c r="Q50" i="1"/>
  <c r="Q17" i="1"/>
  <c r="Q29" i="1"/>
  <c r="Q58" i="1"/>
  <c r="Q63" i="1"/>
  <c r="Q61" i="1"/>
  <c r="Q4" i="1"/>
  <c r="Q52" i="1"/>
  <c r="Q15" i="1"/>
  <c r="Q54" i="1"/>
  <c r="Q55" i="1"/>
  <c r="B20" i="7" l="1"/>
  <c r="C20" i="7" s="1" a="1"/>
  <c r="C20" i="7" s="1"/>
  <c r="E20" i="7" s="1"/>
  <c r="Q46" i="1"/>
  <c r="Q34" i="1"/>
  <c r="Q47" i="1"/>
  <c r="Q31" i="1"/>
  <c r="Q26" i="1"/>
  <c r="L6" i="7"/>
  <c r="L7" i="7"/>
  <c r="L5" i="7"/>
  <c r="F14" i="7"/>
  <c r="F23" i="7"/>
  <c r="B12" i="7"/>
  <c r="C12" i="7" s="1" a="1"/>
  <c r="C12" i="7" s="1"/>
  <c r="E12" i="7" s="1"/>
  <c r="B13" i="7"/>
  <c r="C13" i="7" s="1" a="1"/>
  <c r="C13" i="7" s="1"/>
  <c r="E13" i="7" s="1"/>
  <c r="F12" i="7"/>
  <c r="G12" i="7" s="1" a="1"/>
  <c r="G12" i="7" s="1"/>
  <c r="I12" i="7" s="1"/>
  <c r="B15" i="7"/>
  <c r="F15" i="7"/>
  <c r="F16" i="7"/>
  <c r="G16" i="7" a="1"/>
  <c r="G16" i="7" s="1"/>
  <c r="H16" i="7" s="1"/>
  <c r="B14" i="7"/>
  <c r="C14" i="7" s="1" a="1"/>
  <c r="C14" i="7" s="1"/>
  <c r="E14" i="7" s="1"/>
  <c r="F24" i="7"/>
  <c r="B21" i="7"/>
  <c r="C21" i="7" s="1" a="1"/>
  <c r="C21" i="7" s="1"/>
  <c r="E21" i="7" s="1"/>
  <c r="B24" i="7"/>
  <c r="C24" i="7" s="1" a="1"/>
  <c r="C24" i="7" s="1"/>
  <c r="E24" i="7" s="1"/>
  <c r="F20" i="7"/>
  <c r="G20" i="7" s="1" a="1"/>
  <c r="G20" i="7" s="1"/>
  <c r="H20" i="7" s="1"/>
  <c r="B22" i="7"/>
  <c r="C22" i="7" s="1" a="1"/>
  <c r="C22" i="7" s="1"/>
  <c r="D22" i="7" s="1"/>
  <c r="F22" i="7"/>
  <c r="B16" i="7"/>
  <c r="B23" i="7"/>
  <c r="Q65" i="1"/>
  <c r="F13" i="7"/>
  <c r="G13" i="7" s="1" a="1"/>
  <c r="G13" i="7" s="1"/>
  <c r="I13" i="7" s="1"/>
  <c r="F21" i="7"/>
  <c r="Q45" i="1"/>
  <c r="C15" i="7" a="1"/>
  <c r="C15" i="7" s="1"/>
  <c r="D15" i="7" s="1"/>
  <c r="Q39" i="1"/>
  <c r="G14" i="7" a="1"/>
  <c r="G14" i="7" s="1"/>
  <c r="D20" i="7" l="1"/>
  <c r="C23" i="7" a="1"/>
  <c r="C23" i="7" s="1"/>
  <c r="E23" i="7" s="1"/>
  <c r="G21" i="7" a="1"/>
  <c r="G21" i="7" s="1"/>
  <c r="I21" i="7" s="1"/>
  <c r="C16" i="7" a="1"/>
  <c r="C16" i="7" s="1"/>
  <c r="E16" i="7" s="1"/>
  <c r="L4" i="7"/>
  <c r="D14" i="7"/>
  <c r="D12" i="7"/>
  <c r="H12" i="7"/>
  <c r="D13" i="7"/>
  <c r="F6" i="7"/>
  <c r="G6" i="7" a="1"/>
  <c r="G6" i="7" s="1"/>
  <c r="H6" i="7" s="1"/>
  <c r="B4" i="7"/>
  <c r="C4" i="7" s="1" a="1"/>
  <c r="C4" i="7" s="1"/>
  <c r="D4" i="7" s="1"/>
  <c r="D24" i="7"/>
  <c r="B6" i="7"/>
  <c r="I16" i="7"/>
  <c r="B8" i="7"/>
  <c r="F8" i="7"/>
  <c r="E22" i="7"/>
  <c r="D21" i="7"/>
  <c r="F4" i="7"/>
  <c r="G4" i="7" s="1" a="1"/>
  <c r="G4" i="7" s="1"/>
  <c r="I4" i="7" s="1"/>
  <c r="H13" i="7"/>
  <c r="E15" i="7"/>
  <c r="B5" i="7"/>
  <c r="C5" i="7" s="1" a="1"/>
  <c r="C5" i="7" s="1"/>
  <c r="E5" i="7" s="1"/>
  <c r="G22" i="7" a="1"/>
  <c r="G22" i="7" s="1"/>
  <c r="G23" i="7" a="1"/>
  <c r="G23" i="7" s="1"/>
  <c r="B7" i="7"/>
  <c r="F7" i="7"/>
  <c r="G7" i="7" s="1" a="1"/>
  <c r="G7" i="7" s="1"/>
  <c r="H7" i="7" s="1"/>
  <c r="I20" i="7"/>
  <c r="F5" i="7"/>
  <c r="G5" i="7" s="1" a="1"/>
  <c r="G5" i="7" s="1"/>
  <c r="H5" i="7" s="1"/>
  <c r="G24" i="7" a="1"/>
  <c r="G24" i="7" s="1"/>
  <c r="G15" i="7" a="1"/>
  <c r="G15" i="7" s="1"/>
  <c r="I14" i="7"/>
  <c r="H14" i="7"/>
  <c r="L8" i="7"/>
  <c r="G8" i="7" l="1" a="1"/>
  <c r="G8" i="7" s="1"/>
  <c r="H8" i="7" s="1"/>
  <c r="D23" i="7"/>
  <c r="H21" i="7"/>
  <c r="C8" i="7" a="1"/>
  <c r="C8" i="7" s="1"/>
  <c r="D8" i="7" s="1"/>
  <c r="C7" i="7" a="1"/>
  <c r="C7" i="7" s="1"/>
  <c r="D7" i="7" s="1"/>
  <c r="C6" i="7" a="1"/>
  <c r="C6" i="7" s="1"/>
  <c r="E6" i="7" s="1"/>
  <c r="D16" i="7"/>
  <c r="E4" i="7"/>
  <c r="H4" i="7"/>
  <c r="I5" i="7"/>
  <c r="I24" i="7"/>
  <c r="H24" i="7"/>
  <c r="H15" i="7"/>
  <c r="I15" i="7"/>
  <c r="I7" i="7"/>
  <c r="I6" i="7"/>
  <c r="I22" i="7"/>
  <c r="H22" i="7"/>
  <c r="I23" i="7"/>
  <c r="H23" i="7"/>
  <c r="D5" i="7"/>
  <c r="I8" i="7" l="1"/>
  <c r="E7" i="7"/>
  <c r="E8" i="7"/>
  <c r="D6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</commentList>
</comments>
</file>

<file path=xl/sharedStrings.xml><?xml version="1.0" encoding="utf-8"?>
<sst xmlns="http://schemas.openxmlformats.org/spreadsheetml/2006/main" count="265" uniqueCount="175">
  <si>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</si>
  <si>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</si>
  <si>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</si>
  <si>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</si>
  <si>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</si>
  <si>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</si>
  <si>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</si>
  <si>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</si>
  <si>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</si>
  <si>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</si>
  <si>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</si>
  <si>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</si>
  <si>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</si>
  <si>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</si>
  <si>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</si>
  <si>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</si>
  <si>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</si>
  <si>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</si>
  <si>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</si>
  <si>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</si>
  <si>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</si>
  <si>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</si>
  <si>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</si>
  <si>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</si>
  <si>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</si>
  <si>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</si>
  <si>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</si>
  <si>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</si>
  <si>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</si>
  <si>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</si>
  <si>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</si>
  <si>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</si>
  <si>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</si>
  <si>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</si>
  <si>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</si>
  <si>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</si>
  <si>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</si>
  <si>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</si>
  <si>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</si>
  <si>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</si>
  <si>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</si>
  <si>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</si>
  <si>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</si>
  <si>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</si>
  <si>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</si>
  <si>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</si>
  <si>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</si>
  <si>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</si>
  <si>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</si>
  <si>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</si>
  <si>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</si>
  <si>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</si>
  <si>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</si>
  <si>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</si>
  <si>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</si>
  <si>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</si>
  <si>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</si>
  <si>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</si>
  <si>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</si>
  <si>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</si>
  <si>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</si>
  <si>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</si>
  <si>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</si>
  <si>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</si>
  <si>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</si>
  <si>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</si>
  <si>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</si>
  <si>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</si>
  <si>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</si>
  <si>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</si>
  <si>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</si>
  <si>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</si>
  <si>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</si>
  <si>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</si>
  <si>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</si>
  <si>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</si>
  <si>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</si>
  <si>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</si>
  <si>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</si>
  <si>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</si>
  <si>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</si>
  <si>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</si>
  <si>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</si>
  <si>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</si>
  <si>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</si>
  <si>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</si>
  <si>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</si>
  <si>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</si>
  <si>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</si>
  <si>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</si>
  <si>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</si>
  <si>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</si>
  <si>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</si>
  <si>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</si>
  <si>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</si>
  <si>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</si>
  <si>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</si>
  <si>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</si>
  <si>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</si>
  <si>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</si>
  <si>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</si>
  <si>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</si>
  <si>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</si>
  <si>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</si>
  <si>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</si>
  <si>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</si>
  <si>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</si>
  <si>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</si>
  <si>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</si>
  <si>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</si>
  <si>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</si>
  <si>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</si>
  <si>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</si>
  <si>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</si>
  <si>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</si>
  <si>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</si>
  <si>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</si>
  <si>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</si>
  <si>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</si>
  <si>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</si>
  <si>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</si>
  <si>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</si>
  <si>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</si>
  <si>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</si>
  <si>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</si>
  <si>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</si>
  <si>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</si>
  <si>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</si>
  <si>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</si>
  <si>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</si>
  <si>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</si>
  <si>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</si>
  <si>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</si>
  <si>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</si>
  <si>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</si>
  <si>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</si>
  <si>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</si>
  <si>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</si>
  <si>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</si>
  <si>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{"name": "Odd", "tickets": 10},</t>
  </si>
  <si>
    <t>{"name": "Ruben B", "tickets": 5},</t>
  </si>
  <si>
    <t>Eli</t>
  </si>
  <si>
    <t>Jøran</t>
  </si>
  <si>
    <t>Kristin G</t>
  </si>
  <si>
    <t>Kristin T</t>
  </si>
  <si>
    <t>{"name": "Sondre", "tickets": 10, "prizes": 1},</t>
  </si>
  <si>
    <t>{"name": "Ruben O", "tickets": 10, "prizes": 1},</t>
  </si>
  <si>
    <t>{"name": "Yngvar", "tickets": 6},</t>
  </si>
  <si>
    <t>{"name": "Anders A", "tickets": 10},</t>
  </si>
  <si>
    <t>{"name": "Asgeir", "tickets": 5, "prizes": 1},</t>
  </si>
  <si>
    <t>{"name": "Jan", "tickets": 10, "prizes": 2},</t>
  </si>
  <si>
    <t>{"name": "Stein", "tickets": 5},</t>
  </si>
  <si>
    <t>{"name": "Tone", "tickets": 5},</t>
  </si>
  <si>
    <t>{"name": "Ivan", "tickets": 10},</t>
  </si>
  <si>
    <t>{"name": "Payam", "tickets": 7, "prizes": 1},</t>
  </si>
  <si>
    <t>{"name": "Andreas", "tickets": 5, "prizes": 1},</t>
  </si>
  <si>
    <t>{"name": "Håkon", "tickets": 4},</t>
  </si>
  <si>
    <t>{"name": "Magnus B", "tickets": 10}</t>
  </si>
  <si>
    <t>{"name": "Morten S",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</si>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</sst>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11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3" fontId="0" fillId="0" borderId="0" xfId="0" applyNumberForma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1" fillId="18" borderId="0" xfId="0" applyFont="1" applyFill="1" applyAlignment="1">
      <alignment horizontal="center"/>
    </xf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7" fillId="19" borderId="0" xfId="2" applyFont="1" applyFill="1" applyBorder="1" applyAlignment="1">
      <alignment horizontal="center"/>
    </xf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8" fillId="20" borderId="0" xfId="1" applyFont="1" applyFill="1" applyBorder="1" applyAlignment="1">
      <alignment horizontal="center"/>
    </xf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11" fillId="15" borderId="0" xfId="0" applyFont="1" applyFill="1" applyAlignment="1">
      <alignment horizontal="center"/>
    </xf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7" fillId="16" borderId="0" xfId="2" applyFont="1" applyFill="1" applyBorder="1" applyAlignment="1">
      <alignment horizontal="center"/>
    </xf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8" fillId="17" borderId="0" xfId="1" applyFont="1" applyFill="1" applyBorder="1" applyAlignment="1">
      <alignment horizontal="center"/>
    </xf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7" fillId="22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8" fillId="23" borderId="0" xfId="1" applyFont="1" applyFill="1" applyBorder="1" applyAlignment="1">
      <alignment horizontal="center"/>
    </xf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B3B3FF"/>
      <color rgb="FFE6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65" totalsRowShown="0" headerRowDxfId="40" dataDxfId="39">
  <autoFilter ref="A1:U65"/>
  <sortState ref="A2:U65">
    <sortCondition ref="A1:A65"/>
  </sortState>
  <tableColumns count="21">
    <tableColumn id="1" name="id" dataDxfId="38"/>
    <tableColumn id="2" name="name" dataDxfId="37"/>
    <tableColumn id="3" name="stats?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5">
  <autoFilter ref="A1:H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454" totalsRowShown="0">
  <autoFilter ref="A1:G454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34" totalsRowShown="0" headerRowDxfId="3">
  <autoFilter ref="A1:D134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21" totalsRowShown="0" headerRowDxfId="2">
  <autoFilter ref="A1:E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H28"/>
  <sheetViews>
    <sheetView showGridLines="0" tabSelected="1" zoomScale="220" zoomScaleNormal="220" workbookViewId="0">
      <selection activeCell="P11" sqref="P11"/>
    </sheetView>
  </sheetViews>
  <sheetFormatPr defaultColWidth="10.140625" defaultRowHeight="15" x14ac:dyDescent="0.25"/>
  <cols>
    <col min="2" max="2" width="2" bestFit="1" customWidth="1"/>
    <col min="3" max="3" width="10.140625" hidden="1" customWidth="1"/>
    <col min="4" max="4" width="11.140625" customWidth="1"/>
    <col min="5" max="5" width="9" customWidth="1"/>
    <col min="6" max="6" width="3" bestFit="1" customWidth="1"/>
    <col min="7" max="7" width="10.140625" hidden="1" customWidth="1"/>
    <col min="8" max="8" width="11.140625" customWidth="1"/>
    <col min="9" max="9" width="9" customWidth="1"/>
    <col min="10" max="10" width="2" bestFit="1" customWidth="1"/>
    <col min="11" max="11" width="10.140625" hidden="1" customWidth="1"/>
    <col min="12" max="12" width="11.140625" customWidth="1"/>
    <col min="13" max="13" width="9" customWidth="1"/>
  </cols>
  <sheetData>
    <row r="2" spans="2:26" x14ac:dyDescent="0.25">
      <c r="B2" s="70" t="s">
        <v>40</v>
      </c>
      <c r="C2" s="70"/>
      <c r="D2" s="70"/>
      <c r="E2" s="70"/>
      <c r="F2" s="81" t="s">
        <v>39</v>
      </c>
      <c r="G2" s="81"/>
      <c r="H2" s="81"/>
      <c r="I2" s="81"/>
      <c r="J2" s="95" t="s">
        <v>174</v>
      </c>
      <c r="K2" s="95"/>
      <c r="L2" s="95"/>
      <c r="M2" s="95"/>
    </row>
    <row r="3" spans="2:26" s="42" customFormat="1" x14ac:dyDescent="0.25">
      <c r="B3" s="71" t="s">
        <v>41</v>
      </c>
      <c r="C3" s="71" t="s">
        <v>19</v>
      </c>
      <c r="D3" s="71" t="s">
        <v>1</v>
      </c>
      <c r="E3" s="102" t="s">
        <v>105</v>
      </c>
      <c r="F3" s="82" t="s">
        <v>41</v>
      </c>
      <c r="G3" s="82" t="s">
        <v>19</v>
      </c>
      <c r="H3" s="82" t="s">
        <v>1</v>
      </c>
      <c r="I3" s="109" t="s">
        <v>105</v>
      </c>
      <c r="J3" s="96" t="s">
        <v>41</v>
      </c>
      <c r="K3" s="96" t="s">
        <v>19</v>
      </c>
      <c r="L3" s="96" t="s">
        <v>1</v>
      </c>
      <c r="M3" s="110" t="s">
        <v>83</v>
      </c>
    </row>
    <row r="4" spans="2:26" x14ac:dyDescent="0.25">
      <c r="B4" s="64">
        <f>SMALL(Persons!$Q:$Q,1+ROW(B4)-ROW(B$4))</f>
        <v>1</v>
      </c>
      <c r="C4" s="64">
        <f t="array" ref="C4">INDEX(Persons!$A:$A,SMALL(IF(Persons!$Q:$Q=B4,ROW(Persons!$A:$A)-ROW(Persons!$A$1)+1),COUNTIF(B$4:B4,B4)))</f>
        <v>48</v>
      </c>
      <c r="D4" s="64" t="str">
        <f>INDEX(Persons!$B:$B,MATCH(C4,Persons!$A:$A,0))</f>
        <v>Ivan</v>
      </c>
      <c r="E4" s="72">
        <f>INDEX(Persons!$R:$R,MATCH(C4,Persons!$A:$A,0))</f>
        <v>9.9400345048293204E-2</v>
      </c>
      <c r="F4" s="61">
        <f>LARGE(Persons!$Q:$Q,1+ROW(F4)-ROW(F$4))</f>
        <v>32</v>
      </c>
      <c r="G4" s="61">
        <f t="array" ref="G4">INDEX(Persons!$A:$A,SMALL(IF(Persons!$Q:$Q=F4,ROW(Persons!$A:$A)-ROW(Persons!$A$1)+1),COUNTIF(F$4:F4,F4)))</f>
        <v>11</v>
      </c>
      <c r="H4" s="61" t="str">
        <f>INDEX(Persons!$B:$B,MATCH(G4,Persons!$A:$A,0))</f>
        <v>Stein</v>
      </c>
      <c r="I4" s="83">
        <f>INDEX(Persons!$R:$R,MATCH(G4,Persons!$A:$A,0))</f>
        <v>3.8995657007222767E-2</v>
      </c>
      <c r="J4" s="67">
        <f>SMALL(Persons!$L:$L,1+ROW(J4)-ROW(J$4))</f>
        <v>1</v>
      </c>
      <c r="K4" s="67">
        <f t="array" ref="K4">INDEX(Persons!$A:$A,SMALL(IF(Persons!$L:$L=J4,ROW(Persons!$A:$A)-ROW(Persons!$A$1)+1),COUNTIF(J$4:J4,J4)))</f>
        <v>10</v>
      </c>
      <c r="L4" s="67" t="str">
        <f>INDEX(Persons!$B:$B,MATCH(K4,Persons!$A:$A,0))</f>
        <v>Odd</v>
      </c>
      <c r="M4" s="97">
        <f>INDEX(Persons!$K:$K,MATCH(K4,Persons!$A:$A,0))</f>
        <v>9.0445571492567041</v>
      </c>
      <c r="O4" s="51"/>
    </row>
    <row r="5" spans="2:26" x14ac:dyDescent="0.25">
      <c r="B5" s="64">
        <f>SMALL(Persons!$Q:$Q,1+ROW(B5)-ROW(B$4))</f>
        <v>2</v>
      </c>
      <c r="C5" s="64">
        <f t="array" ref="C5">INDEX(Persons!$A:$A,SMALL(IF(Persons!$Q:$Q=B5,ROW(Persons!$A:$A)-ROW(Persons!$A$1)+1),COUNTIF(B$4:B5,B5)))</f>
        <v>14</v>
      </c>
      <c r="D5" s="64" t="str">
        <f>INDEX(Persons!$B:$B,MATCH(C5,Persons!$A:$A,0))</f>
        <v>Truls</v>
      </c>
      <c r="E5" s="72">
        <f>INDEX(Persons!$R:$R,MATCH(C5,Persons!$A:$A,0))</f>
        <v>0.1040325256791752</v>
      </c>
      <c r="F5" s="61">
        <f>LARGE(Persons!$Q:$Q,1+ROW(F5)-ROW(F$4))</f>
        <v>31</v>
      </c>
      <c r="G5" s="61">
        <f t="array" ref="G5">INDEX(Persons!$A:$A,SMALL(IF(Persons!$Q:$Q=F5,ROW(Persons!$A:$A)-ROW(Persons!$A$1)+1),COUNTIF(F$4:F5,F5)))</f>
        <v>24</v>
      </c>
      <c r="H5" s="61" t="str">
        <f>INDEX(Persons!$B:$B,MATCH(G5,Persons!$A:$A,0))</f>
        <v>Terje</v>
      </c>
      <c r="I5" s="83">
        <f>INDEX(Persons!$R:$R,MATCH(G5,Persons!$A:$A,0))</f>
        <v>8.3979503335431097E-2</v>
      </c>
      <c r="J5" s="67">
        <f>SMALL(Persons!$L:$L,1+ROW(J5)-ROW(J$4))</f>
        <v>2</v>
      </c>
      <c r="K5" s="67">
        <f t="array" ref="K5">INDEX(Persons!$A:$A,SMALL(IF(Persons!$L:$L=J5,ROW(Persons!$A:$A)-ROW(Persons!$A$1)+1),COUNTIF(J$4:J5,J5)))</f>
        <v>33</v>
      </c>
      <c r="L5" s="67" t="str">
        <f>INDEX(Persons!$B:$B,MATCH(K5,Persons!$A:$A,0))</f>
        <v>Anders A</v>
      </c>
      <c r="M5" s="97">
        <f>INDEX(Persons!$K:$K,MATCH(K5,Persons!$A:$A,0))</f>
        <v>8.2497775462124601</v>
      </c>
    </row>
    <row r="6" spans="2:26" x14ac:dyDescent="0.25">
      <c r="B6" s="64">
        <f>SMALL(Persons!$Q:$Q,1+ROW(B6)-ROW(B$4))</f>
        <v>3</v>
      </c>
      <c r="C6" s="64">
        <f t="array" ref="C6">INDEX(Persons!$A:$A,SMALL(IF(Persons!$Q:$Q=B6,ROW(Persons!$A:$A)-ROW(Persons!$A$1)+1),COUNTIF(B$4:B6,B6)))</f>
        <v>60</v>
      </c>
      <c r="D6" s="64" t="str">
        <f>INDEX(Persons!$B:$B,MATCH(C6,Persons!$A:$A,0))</f>
        <v>Kristin G</v>
      </c>
      <c r="E6" s="72">
        <f>INDEX(Persons!$R:$R,MATCH(C6,Persons!$A:$A,0))</f>
        <v>0.1721554116441345</v>
      </c>
      <c r="F6" s="61">
        <f>LARGE(Persons!$Q:$Q,1+ROW(F6)-ROW(F$4))</f>
        <v>30</v>
      </c>
      <c r="G6" s="61">
        <f t="array" ref="G6">INDEX(Persons!$A:$A,SMALL(IF(Persons!$Q:$Q=F6,ROW(Persons!$A:$A)-ROW(Persons!$A$1)+1),COUNTIF(F$4:F6,F6)))</f>
        <v>47</v>
      </c>
      <c r="H6" s="61" t="str">
        <f>INDEX(Persons!$B:$B,MATCH(G6,Persons!$A:$A,0))</f>
        <v>Kenneth</v>
      </c>
      <c r="I6" s="83">
        <f>INDEX(Persons!$R:$R,MATCH(G6,Persons!$A:$A,0))</f>
        <v>9.4842360181836213E-2</v>
      </c>
      <c r="J6" s="67">
        <f>SMALL(Persons!$L:$L,1+ROW(J6)-ROW(J$4))</f>
        <v>3</v>
      </c>
      <c r="K6" s="67">
        <f t="array" ref="K6">INDEX(Persons!$A:$A,SMALL(IF(Persons!$L:$L=J6,ROW(Persons!$A:$A)-ROW(Persons!$A$1)+1),COUNTIF(J$4:J6,J6)))</f>
        <v>37</v>
      </c>
      <c r="L6" s="67" t="str">
        <f>INDEX(Persons!$B:$B,MATCH(K6,Persons!$A:$A,0))</f>
        <v>Ruben O</v>
      </c>
      <c r="M6" s="97">
        <f>INDEX(Persons!$K:$K,MATCH(K6,Persons!$A:$A,0))</f>
        <v>7.8193887526161188</v>
      </c>
    </row>
    <row r="7" spans="2:26" x14ac:dyDescent="0.25">
      <c r="B7" s="64">
        <f>SMALL(Persons!$Q:$Q,1+ROW(B7)-ROW(B$4))</f>
        <v>4</v>
      </c>
      <c r="C7" s="64">
        <f t="array" ref="C7">INDEX(Persons!$A:$A,SMALL(IF(Persons!$Q:$Q=B7,ROW(Persons!$A:$A)-ROW(Persons!$A$1)+1),COUNTIF(B$4:B7,B7)))</f>
        <v>46</v>
      </c>
      <c r="D7" s="64" t="str">
        <f>INDEX(Persons!$B:$B,MATCH(C7,Persons!$A:$A,0))</f>
        <v>Ciaran</v>
      </c>
      <c r="E7" s="72">
        <f>INDEX(Persons!$R:$R,MATCH(C7,Persons!$A:$A,0))</f>
        <v>0.20206907686486164</v>
      </c>
      <c r="F7" s="61">
        <f>LARGE(Persons!$Q:$Q,1+ROW(F7)-ROW(F$4))</f>
        <v>29</v>
      </c>
      <c r="G7" s="61">
        <f t="array" ref="G7">INDEX(Persons!$A:$A,SMALL(IF(Persons!$Q:$Q=F7,ROW(Persons!$A:$A)-ROW(Persons!$A$1)+1),COUNTIF(F$4:F7,F7)))</f>
        <v>45</v>
      </c>
      <c r="H7" s="61" t="str">
        <f>INDEX(Persons!$B:$B,MATCH(G7,Persons!$A:$A,0))</f>
        <v>Fridtjof</v>
      </c>
      <c r="I7" s="83">
        <f>INDEX(Persons!$R:$R,MATCH(G7,Persons!$A:$A,0))</f>
        <v>0.12701859000624371</v>
      </c>
      <c r="J7" s="67">
        <f>SMALL(Persons!$L:$L,1+ROW(J7)-ROW(J$4))</f>
        <v>4</v>
      </c>
      <c r="K7" s="67">
        <f t="array" ref="K7">INDEX(Persons!$A:$A,SMALL(IF(Persons!$L:$L=J7,ROW(Persons!$A:$A)-ROW(Persons!$A$1)+1),COUNTIF(J$4:J7,J7)))</f>
        <v>29</v>
      </c>
      <c r="L7" s="67" t="str">
        <f>INDEX(Persons!$B:$B,MATCH(K7,Persons!$A:$A,0))</f>
        <v>Magnus B</v>
      </c>
      <c r="M7" s="97">
        <f>INDEX(Persons!$K:$K,MATCH(K7,Persons!$A:$A,0))</f>
        <v>5.6690896706130403</v>
      </c>
      <c r="W7">
        <f>SUMPRODUCT(V8:V17,W8:W17)</f>
        <v>112</v>
      </c>
    </row>
    <row r="8" spans="2:26" x14ac:dyDescent="0.25">
      <c r="B8" s="64">
        <f>SMALL(Persons!$Q:$Q,1+ROW(B8)-ROW(B$4))</f>
        <v>5</v>
      </c>
      <c r="C8" s="64">
        <f t="array" ref="C8">INDEX(Persons!$A:$A,SMALL(IF(Persons!$Q:$Q=B8,ROW(Persons!$A:$A)-ROW(Persons!$A$1)+1),COUNTIF(B$4:B8,B8)))</f>
        <v>13</v>
      </c>
      <c r="D8" s="64" t="str">
        <f>INDEX(Persons!$B:$B,MATCH(C8,Persons!$A:$A,0))</f>
        <v>Sven</v>
      </c>
      <c r="E8" s="72">
        <f>INDEX(Persons!$R:$R,MATCH(C8,Persons!$A:$A,0))</f>
        <v>0.26019347689390693</v>
      </c>
      <c r="F8" s="61">
        <f>LARGE(Persons!$Q:$Q,1+ROW(F8)-ROW(F$4))</f>
        <v>28</v>
      </c>
      <c r="G8" s="61">
        <f t="array" ref="G8">INDEX(Persons!$A:$A,SMALL(IF(Persons!$Q:$Q=F8,ROW(Persons!$A:$A)-ROW(Persons!$A$1)+1),COUNTIF(F$4:F8,F8)))</f>
        <v>16</v>
      </c>
      <c r="H8" s="61" t="str">
        <f>INDEX(Persons!$B:$B,MATCH(G8,Persons!$A:$A,0))</f>
        <v>Bjarke</v>
      </c>
      <c r="I8" s="83">
        <f>INDEX(Persons!$R:$R,MATCH(G8,Persons!$A:$A,0))</f>
        <v>0.13896545370290456</v>
      </c>
      <c r="J8" s="67">
        <f>SMALL(Persons!$L:$L,1+ROW(J8)-ROW(J$4))</f>
        <v>5</v>
      </c>
      <c r="K8" s="67">
        <f t="array" ref="K8">INDEX(Persons!$A:$A,SMALL(IF(Persons!$L:$L=J8,ROW(Persons!$A:$A)-ROW(Persons!$A$1)+1),COUNTIF(J$4:J8,J8)))</f>
        <v>14</v>
      </c>
      <c r="L8" s="67" t="str">
        <f>INDEX(Persons!$B:$B,MATCH(K8,Persons!$A:$A,0))</f>
        <v>Truls</v>
      </c>
      <c r="M8" s="97">
        <f>INDEX(Persons!$K:$K,MATCH(K8,Persons!$A:$A,0))</f>
        <v>5.2642561203422185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40</v>
      </c>
      <c r="Z9" s="35"/>
    </row>
    <row r="10" spans="2:26" x14ac:dyDescent="0.25">
      <c r="B10" s="73" t="s">
        <v>116</v>
      </c>
      <c r="C10" s="73"/>
      <c r="D10" s="73"/>
      <c r="E10" s="73"/>
      <c r="F10" s="84" t="s">
        <v>117</v>
      </c>
      <c r="G10" s="84"/>
      <c r="H10" s="84"/>
      <c r="I10" s="84"/>
      <c r="J10" s="94" t="s">
        <v>43</v>
      </c>
      <c r="K10" s="94"/>
      <c r="L10" s="94"/>
      <c r="M10" s="94"/>
      <c r="U10">
        <v>2</v>
      </c>
      <c r="V10">
        <f t="shared" si="0"/>
        <v>4</v>
      </c>
      <c r="W10">
        <v>0</v>
      </c>
      <c r="Y10" s="4" t="s">
        <v>39</v>
      </c>
      <c r="Z10" s="33"/>
    </row>
    <row r="11" spans="2:26" x14ac:dyDescent="0.25">
      <c r="B11" s="74" t="s">
        <v>41</v>
      </c>
      <c r="C11" s="74" t="s">
        <v>19</v>
      </c>
      <c r="D11" s="74" t="s">
        <v>1</v>
      </c>
      <c r="E11" s="103" t="s">
        <v>110</v>
      </c>
      <c r="F11" s="85" t="s">
        <v>41</v>
      </c>
      <c r="G11" s="85" t="s">
        <v>19</v>
      </c>
      <c r="H11" s="85" t="s">
        <v>1</v>
      </c>
      <c r="I11" s="108" t="s">
        <v>110</v>
      </c>
      <c r="J11" s="88" t="s">
        <v>41</v>
      </c>
      <c r="K11" s="88" t="s">
        <v>19</v>
      </c>
      <c r="L11" s="88" t="s">
        <v>1</v>
      </c>
      <c r="M11" s="107" t="s">
        <v>21</v>
      </c>
      <c r="U11">
        <v>3</v>
      </c>
      <c r="V11">
        <f t="shared" si="0"/>
        <v>8</v>
      </c>
      <c r="W11">
        <v>0</v>
      </c>
      <c r="Y11" s="4" t="s">
        <v>114</v>
      </c>
      <c r="Z11" s="34"/>
    </row>
    <row r="12" spans="2:26" x14ac:dyDescent="0.25">
      <c r="B12" s="75">
        <f>SMALL(Persons!$O:$O,1+ROW(B12)-ROW(B$12))</f>
        <v>1</v>
      </c>
      <c r="C12" s="75">
        <f t="array" ref="C12">INDEX(Persons!$A:$A,SMALL(IF(Persons!$O:$O=B12,ROW(Persons!$A:$A)-ROW(Persons!$A$1)+1),COUNTIF(B$12:B12,B12)))</f>
        <v>14</v>
      </c>
      <c r="D12" s="75" t="str">
        <f>INDEX(Persons!$B:$B,MATCH(C12,Persons!$A:$A,0))</f>
        <v>Truls</v>
      </c>
      <c r="E12" s="76">
        <f>INDEX(Persons!$N:$N,MATCH(C12,Persons!$A:$A,0))</f>
        <v>2.7357438796577815</v>
      </c>
      <c r="F12" s="86">
        <f>LARGE(Persons!$O:$O,1+ROW(F12)-ROW(F$12))</f>
        <v>32</v>
      </c>
      <c r="G12" s="86">
        <f t="array" ref="G12">INDEX(Persons!$A:$A,SMALL(IF(Persons!$O:$O=F12,ROW(Persons!$A:$A)-ROW(Persons!$A$1)+1),COUNTIF(F$12:F12,F12)))</f>
        <v>37</v>
      </c>
      <c r="H12" s="86" t="str">
        <f>INDEX(Persons!$B:$B,MATCH(G12,Persons!$A:$A,0))</f>
        <v>Ruben O</v>
      </c>
      <c r="I12" s="87">
        <f>INDEX(Persons!$N:$N,MATCH(G12,Persons!$A:$A,0))</f>
        <v>-2.8193887526161188</v>
      </c>
      <c r="J12" s="89">
        <f>SMALL(Persons!$J:$J,1+ROW(J12)-ROW(J$12))</f>
        <v>1</v>
      </c>
      <c r="K12" s="89">
        <f t="array" ref="K12">INDEX(Persons!$A:$A,SMALL(IF(Persons!$J:$J=J12,ROW(Persons!$A:$A)-ROW(Persons!$A$1)+1),COUNTIF(J$12:J12,J12)))</f>
        <v>10</v>
      </c>
      <c r="L12" s="89" t="str">
        <f>INDEX(Persons!$B:$B,MATCH(K12,Persons!$A:$A,0))</f>
        <v>Odd</v>
      </c>
      <c r="M12" s="89">
        <f>INDEX(Persons!$I:$I,MATCH(K12,Persons!$A:$A,0))</f>
        <v>10</v>
      </c>
      <c r="U12">
        <v>4</v>
      </c>
      <c r="V12">
        <f t="shared" si="0"/>
        <v>16</v>
      </c>
      <c r="W12">
        <v>1</v>
      </c>
      <c r="Y12" s="4" t="s">
        <v>43</v>
      </c>
      <c r="Z12" s="36"/>
    </row>
    <row r="13" spans="2:26" x14ac:dyDescent="0.25">
      <c r="B13" s="75">
        <f>SMALL(Persons!$O:$O,1+ROW(B13)-ROW(B$12))</f>
        <v>2</v>
      </c>
      <c r="C13" s="75">
        <f t="array" ref="C13">INDEX(Persons!$A:$A,SMALL(IF(Persons!$O:$O=B13,ROW(Persons!$A:$A)-ROW(Persons!$A$1)+1),COUNTIF(B$12:B13,B13)))</f>
        <v>48</v>
      </c>
      <c r="D13" s="75" t="str">
        <f>INDEX(Persons!$B:$B,MATCH(C13,Persons!$A:$A,0))</f>
        <v>Ivan</v>
      </c>
      <c r="E13" s="76">
        <f>INDEX(Persons!$N:$N,MATCH(C13,Persons!$A:$A,0))</f>
        <v>1.4973565021787509</v>
      </c>
      <c r="F13" s="86">
        <f>LARGE(Persons!$O:$O,1+ROW(F13)-ROW(F$12))</f>
        <v>31</v>
      </c>
      <c r="G13" s="86">
        <f t="array" ref="G13">INDEX(Persons!$A:$A,SMALL(IF(Persons!$O:$O=F13,ROW(Persons!$A:$A)-ROW(Persons!$A$1)+1),COUNTIF(F$12:F13,F13)))</f>
        <v>11</v>
      </c>
      <c r="H13" s="86" t="str">
        <f>INDEX(Persons!$B:$B,MATCH(G13,Persons!$A:$A,0))</f>
        <v>Stein</v>
      </c>
      <c r="I13" s="87">
        <f>INDEX(Persons!$N:$N,MATCH(G13,Persons!$A:$A,0))</f>
        <v>-2.7855461833741479</v>
      </c>
      <c r="J13" s="89">
        <f>SMALL(Persons!$J:$J,1+ROW(J13)-ROW(J$12))</f>
        <v>2</v>
      </c>
      <c r="K13" s="89">
        <f t="array" ref="K13">INDEX(Persons!$A:$A,SMALL(IF(Persons!$J:$J=J13,ROW(Persons!$A:$A)-ROW(Persons!$A$1)+1),COUNTIF(J$12:J13,J13)))</f>
        <v>14</v>
      </c>
      <c r="L13" s="89" t="str">
        <f>INDEX(Persons!$B:$B,MATCH(K13,Persons!$A:$A,0))</f>
        <v>Truls</v>
      </c>
      <c r="M13" s="89">
        <f>INDEX(Persons!$I:$I,MATCH(K13,Persons!$A:$A,0))</f>
        <v>8</v>
      </c>
      <c r="U13">
        <v>5</v>
      </c>
      <c r="V13">
        <f t="shared" si="0"/>
        <v>32</v>
      </c>
      <c r="W13">
        <v>1</v>
      </c>
      <c r="Y13" s="4" t="s">
        <v>110</v>
      </c>
      <c r="Z13" s="38"/>
    </row>
    <row r="14" spans="2:26" x14ac:dyDescent="0.25">
      <c r="B14" s="75">
        <f>SMALL(Persons!$O:$O,1+ROW(B14)-ROW(B$12))</f>
        <v>3</v>
      </c>
      <c r="C14" s="75">
        <f t="array" ref="C14">INDEX(Persons!$A:$A,SMALL(IF(Persons!$O:$O=B14,ROW(Persons!$A:$A)-ROW(Persons!$A$1)+1),COUNTIF(B$12:B14,B14)))</f>
        <v>13</v>
      </c>
      <c r="D14" s="75" t="str">
        <f>INDEX(Persons!$B:$B,MATCH(C14,Persons!$A:$A,0))</f>
        <v>Sven</v>
      </c>
      <c r="E14" s="76">
        <f>INDEX(Persons!$N:$N,MATCH(C14,Persons!$A:$A,0))</f>
        <v>1.1771151864209619</v>
      </c>
      <c r="F14" s="86">
        <f>LARGE(Persons!$O:$O,1+ROW(F14)-ROW(F$12))</f>
        <v>30</v>
      </c>
      <c r="G14" s="86">
        <f t="array" ref="G14">INDEX(Persons!$A:$A,SMALL(IF(Persons!$O:$O=F14,ROW(Persons!$A:$A)-ROW(Persons!$A$1)+1),COUNTIF(F$12:F14,F14)))</f>
        <v>24</v>
      </c>
      <c r="H14" s="86" t="str">
        <f>INDEX(Persons!$B:$B,MATCH(G14,Persons!$A:$A,0))</f>
        <v>Terje</v>
      </c>
      <c r="I14" s="87">
        <f>INDEX(Persons!$N:$N,MATCH(G14,Persons!$A:$A,0))</f>
        <v>-2.4203082743728253</v>
      </c>
      <c r="J14" s="89">
        <f>SMALL(Persons!$J:$J,1+ROW(J14)-ROW(J$12))</f>
        <v>3</v>
      </c>
      <c r="K14" s="89">
        <f t="array" ref="K14">INDEX(Persons!$A:$A,SMALL(IF(Persons!$J:$J=J14,ROW(Persons!$A:$A)-ROW(Persons!$A$1)+1),COUNTIF(J$12:J14,J14)))</f>
        <v>33</v>
      </c>
      <c r="L14" s="89" t="str">
        <f>INDEX(Persons!$B:$B,MATCH(K14,Persons!$A:$A,0))</f>
        <v>Anders A</v>
      </c>
      <c r="M14" s="89">
        <f>INDEX(Persons!$I:$I,MATCH(K14,Persons!$A:$A,0))</f>
        <v>7</v>
      </c>
      <c r="U14">
        <v>6</v>
      </c>
      <c r="V14">
        <f t="shared" si="0"/>
        <v>64</v>
      </c>
      <c r="W14">
        <v>1</v>
      </c>
      <c r="Y14" s="4" t="s">
        <v>110</v>
      </c>
      <c r="Z14" s="37"/>
    </row>
    <row r="15" spans="2:26" x14ac:dyDescent="0.25">
      <c r="B15" s="75">
        <f>SMALL(Persons!$O:$O,1+ROW(B15)-ROW(B$12))</f>
        <v>4</v>
      </c>
      <c r="C15" s="75">
        <f t="array" ref="C15">INDEX(Persons!$A:$A,SMALL(IF(Persons!$O:$O=B15,ROW(Persons!$A:$A)-ROW(Persons!$A$1)+1),COUNTIF(B$12:B15,B15)))</f>
        <v>46</v>
      </c>
      <c r="D15" s="75" t="str">
        <f>INDEX(Persons!$B:$B,MATCH(C15,Persons!$A:$A,0))</f>
        <v>Ciaran</v>
      </c>
      <c r="E15" s="76">
        <f>INDEX(Persons!$N:$N,MATCH(C15,Persons!$A:$A,0))</f>
        <v>1.0977655859408828</v>
      </c>
      <c r="F15" s="86">
        <f>LARGE(Persons!$O:$O,1+ROW(F15)-ROW(F$12))</f>
        <v>29</v>
      </c>
      <c r="G15" s="86">
        <f t="array" ref="G15">INDEX(Persons!$A:$A,SMALL(IF(Persons!$O:$O=F15,ROW(Persons!$A:$A)-ROW(Persons!$A$1)+1),COUNTIF(F$12:F15,F15)))</f>
        <v>35</v>
      </c>
      <c r="H15" s="86" t="str">
        <f>INDEX(Persons!$B:$B,MATCH(G15,Persons!$A:$A,0))</f>
        <v>Mathias</v>
      </c>
      <c r="I15" s="87">
        <f>INDEX(Persons!$N:$N,MATCH(G15,Persons!$A:$A,0))</f>
        <v>-1.8370296508043831</v>
      </c>
      <c r="J15" s="89">
        <f>SMALL(Persons!$J:$J,1+ROW(J15)-ROW(J$12))</f>
        <v>4</v>
      </c>
      <c r="K15" s="89">
        <f t="array" ref="K15">INDEX(Persons!$A:$A,SMALL(IF(Persons!$J:$J=J15,ROW(Persons!$A:$A)-ROW(Persons!$A$1)+1),COUNTIF(J$12:J15,J15)))</f>
        <v>15</v>
      </c>
      <c r="L15" s="89" t="str">
        <f>INDEX(Persons!$B:$B,MATCH(K15,Persons!$A:$A,0))</f>
        <v>Yngvar</v>
      </c>
      <c r="M15" s="89">
        <f>INDEX(Persons!$I:$I,MATCH(K15,Persons!$A:$A,0))</f>
        <v>6</v>
      </c>
      <c r="U15">
        <v>7</v>
      </c>
      <c r="V15">
        <f t="shared" si="0"/>
        <v>128</v>
      </c>
      <c r="W15">
        <v>0</v>
      </c>
      <c r="Y15" s="4" t="s">
        <v>112</v>
      </c>
      <c r="Z15" s="39"/>
    </row>
    <row r="16" spans="2:26" x14ac:dyDescent="0.25">
      <c r="B16" s="75">
        <f>SMALL(Persons!$O:$O,1+ROW(B16)-ROW(B$12))</f>
        <v>5</v>
      </c>
      <c r="C16" s="75">
        <f t="array" ref="C16">INDEX(Persons!$A:$A,SMALL(IF(Persons!$O:$O=B16,ROW(Persons!$A:$A)-ROW(Persons!$A$1)+1),COUNTIF(B$12:B16,B16)))</f>
        <v>44</v>
      </c>
      <c r="D16" s="75" t="str">
        <f>INDEX(Persons!$B:$B,MATCH(C16,Persons!$A:$A,0))</f>
        <v>Jan</v>
      </c>
      <c r="E16" s="76">
        <f>INDEX(Persons!$N:$N,MATCH(C16,Persons!$A:$A,0))</f>
        <v>1.0464914883972338</v>
      </c>
      <c r="F16" s="86">
        <f>LARGE(Persons!$O:$O,1+ROW(F16)-ROW(F$12))</f>
        <v>28</v>
      </c>
      <c r="G16" s="86">
        <f t="array" ref="G16">INDEX(Persons!$A:$A,SMALL(IF(Persons!$O:$O=F16,ROW(Persons!$A:$A)-ROW(Persons!$A$1)+1),COUNTIF(F$12:F16,F16)))</f>
        <v>29</v>
      </c>
      <c r="H16" s="86" t="str">
        <f>INDEX(Persons!$B:$B,MATCH(G16,Persons!$A:$A,0))</f>
        <v>Magnus B</v>
      </c>
      <c r="I16" s="87">
        <f>INDEX(Persons!$N:$N,MATCH(G16,Persons!$A:$A,0))</f>
        <v>-1.6690896706130403</v>
      </c>
      <c r="J16" s="89">
        <f>SMALL(Persons!$J:$J,1+ROW(J16)-ROW(J$12))</f>
        <v>5</v>
      </c>
      <c r="K16" s="89">
        <f t="array" ref="K16">INDEX(Persons!$A:$A,SMALL(IF(Persons!$J:$J=J16,ROW(Persons!$A:$A)-ROW(Persons!$A$1)+1),COUNTIF(J$12:J16,J16)))</f>
        <v>13</v>
      </c>
      <c r="L16" s="89" t="str">
        <f>INDEX(Persons!$B:$B,MATCH(K16,Persons!$A:$A,0))</f>
        <v>Sven</v>
      </c>
      <c r="M16" s="89">
        <f>INDEX(Persons!$I:$I,MATCH(K16,Persons!$A:$A,0))</f>
        <v>5</v>
      </c>
      <c r="U16">
        <v>8</v>
      </c>
      <c r="V16">
        <f t="shared" si="0"/>
        <v>256</v>
      </c>
      <c r="W16">
        <v>0</v>
      </c>
      <c r="Y16" s="4" t="s">
        <v>56</v>
      </c>
      <c r="Z16" s="41"/>
    </row>
    <row r="17" spans="2:34" x14ac:dyDescent="0.25">
      <c r="U17">
        <v>9</v>
      </c>
      <c r="V17">
        <f t="shared" si="0"/>
        <v>512</v>
      </c>
      <c r="W17">
        <v>0</v>
      </c>
      <c r="Y17" s="4" t="s">
        <v>56</v>
      </c>
      <c r="Z17" s="40"/>
    </row>
    <row r="18" spans="2:34" x14ac:dyDescent="0.25">
      <c r="B18" s="77" t="s">
        <v>118</v>
      </c>
      <c r="C18" s="77"/>
      <c r="D18" s="77"/>
      <c r="E18" s="77"/>
      <c r="F18" s="90" t="s">
        <v>119</v>
      </c>
      <c r="G18" s="90"/>
      <c r="H18" s="90"/>
      <c r="I18" s="90"/>
      <c r="J18" s="98" t="s">
        <v>42</v>
      </c>
      <c r="K18" s="98"/>
      <c r="L18" s="98"/>
      <c r="M18" s="98"/>
    </row>
    <row r="19" spans="2:34" x14ac:dyDescent="0.25">
      <c r="B19" s="78" t="s">
        <v>41</v>
      </c>
      <c r="C19" s="78" t="s">
        <v>19</v>
      </c>
      <c r="D19" s="78" t="s">
        <v>1</v>
      </c>
      <c r="E19" s="104" t="s">
        <v>56</v>
      </c>
      <c r="F19" s="91" t="s">
        <v>41</v>
      </c>
      <c r="G19" s="91" t="s">
        <v>19</v>
      </c>
      <c r="H19" s="91" t="s">
        <v>1</v>
      </c>
      <c r="I19" s="105" t="s">
        <v>56</v>
      </c>
      <c r="J19" s="99" t="s">
        <v>41</v>
      </c>
      <c r="K19" s="99" t="s">
        <v>19</v>
      </c>
      <c r="L19" s="99" t="s">
        <v>1</v>
      </c>
      <c r="M19" s="106" t="s">
        <v>20</v>
      </c>
      <c r="U19" s="59" t="s">
        <v>41</v>
      </c>
      <c r="V19" s="59" t="s">
        <v>170</v>
      </c>
      <c r="W19" s="59" t="s">
        <v>162</v>
      </c>
      <c r="X19" s="59" t="s">
        <v>163</v>
      </c>
      <c r="Y19" s="59" t="s">
        <v>164</v>
      </c>
      <c r="Z19" s="59" t="s">
        <v>165</v>
      </c>
      <c r="AA19" s="59" t="s">
        <v>166</v>
      </c>
      <c r="AB19" s="59" t="s">
        <v>167</v>
      </c>
      <c r="AC19" s="59" t="s">
        <v>168</v>
      </c>
      <c r="AD19" s="59" t="s">
        <v>169</v>
      </c>
      <c r="AE19" s="59" t="s">
        <v>171</v>
      </c>
      <c r="AF19" s="59" t="s">
        <v>172</v>
      </c>
      <c r="AG19" s="59" t="s">
        <v>173</v>
      </c>
    </row>
    <row r="20" spans="2:34" x14ac:dyDescent="0.25">
      <c r="B20" s="79">
        <f>SMALL(Persons!$U:$U,1+ROW(B20)-ROW(B$20))</f>
        <v>1</v>
      </c>
      <c r="C20" s="79">
        <f t="array" ref="C20">INDEX(Persons!$A:$A,SMALL(IF(Persons!$U:$U=B20,ROW(Persons!$A:$A)-ROW(Persons!$A$1)+1),COUNTIF(B$20:B20,B20)))</f>
        <v>61</v>
      </c>
      <c r="D20" s="79" t="str">
        <f>INDEX(Persons!$B:$B,MATCH(C20,Persons!$A:$A,0))</f>
        <v>Tone</v>
      </c>
      <c r="E20" s="80">
        <f>INDEX(Persons!$T:$T,MATCH(C20,Persons!$A:$A,0))</f>
        <v>174.28571428571431</v>
      </c>
      <c r="F20" s="92">
        <f>LARGE(Persons!$U:$U,1+ROW(F20)-ROW(F$20))</f>
        <v>32</v>
      </c>
      <c r="G20" s="92">
        <f t="array" ref="G20">INDEX(Persons!$A:$A,SMALL(IF(Persons!$U:$U=F20,ROW(Persons!$A:$A)-ROW(Persons!$A$1)+1),COUNTIF(F$20:F20,F20)))</f>
        <v>52</v>
      </c>
      <c r="H20" s="92" t="str">
        <f>INDEX(Persons!$B:$B,MATCH(G20,Persons!$A:$A,0))</f>
        <v>Anders Sz</v>
      </c>
      <c r="I20" s="93">
        <f>INDEX(Persons!$T:$T,MATCH(G20,Persons!$A:$A,0))</f>
        <v>266.34879386315322</v>
      </c>
      <c r="J20" s="100">
        <f>SMALL(Persons!$H:$H,1+ROW(J20)-ROW(J$20))</f>
        <v>1</v>
      </c>
      <c r="K20" s="100">
        <f t="array" ref="K20">INDEX(Persons!$A:$A,SMALL(IF(Persons!$H:$H=J20,ROW(Persons!$A:$A)-ROW(Persons!$A$1)+1),COUNTIF(J$20:J20,J20)))</f>
        <v>10</v>
      </c>
      <c r="L20" s="100" t="str">
        <f>INDEX(Persons!$B:$B,MATCH(K20,Persons!$A:$A,0))</f>
        <v>Odd</v>
      </c>
      <c r="M20" s="101">
        <f>INDEX(Persons!$G:$G,MATCH(K20,Persons!$A:$A,0))</f>
        <v>200</v>
      </c>
      <c r="U20">
        <v>1</v>
      </c>
      <c r="V20">
        <v>0</v>
      </c>
      <c r="W20" s="58">
        <v>0.3</v>
      </c>
      <c r="X20" s="58">
        <v>1</v>
      </c>
      <c r="Y20" s="60">
        <f>W20*X20</f>
        <v>0.3</v>
      </c>
      <c r="Z20" s="52">
        <f>Y20*(1-ABS(MOD(V20/60,2)-1))</f>
        <v>0</v>
      </c>
      <c r="AA20" s="60">
        <f>X20-Y20</f>
        <v>0.7</v>
      </c>
      <c r="AB20" s="52">
        <f>IF(OR(AND(V20&gt;=0,V20&lt;60),AND(V20&gt;=300,V20&lt;360)),Y20,IF(OR(AND(V20&gt;=60,V20&lt;120),AND(V20&gt;=240,V20&lt;300)),Z20,0))</f>
        <v>0.3</v>
      </c>
      <c r="AC20" s="52">
        <f>IF(OR(AND(V20&gt;=60,V20&lt;120),AND(V20&gt;=120,V20&lt;180)),Y20,IF(OR(AND(V20&gt;=0,V20&lt;60),AND(V20&gt;=180,V20&lt;240)),Z20,0))</f>
        <v>0</v>
      </c>
      <c r="AD20" s="52">
        <f>IF(OR(AND(V20&gt;=180,V20&lt;240),AND(V20&gt;=240,V20&lt;300)),Y20,IF(OR(AND(V20&gt;=120,V20&lt;180),AND(V20&gt;=300,V20&lt;360)),Z20,0))</f>
        <v>0</v>
      </c>
      <c r="AE20" s="27">
        <f>($AA20+AB20)*255</f>
        <v>255</v>
      </c>
      <c r="AF20" s="27">
        <f>($AA20+AC20)*255</f>
        <v>178.5</v>
      </c>
      <c r="AG20" s="27">
        <f>($AA20+AD20)*255</f>
        <v>178.5</v>
      </c>
      <c r="AH20" s="61"/>
    </row>
    <row r="21" spans="2:34" x14ac:dyDescent="0.25">
      <c r="B21" s="79">
        <f>SMALL(Persons!$U:$U,1+ROW(B21)-ROW(B$20))</f>
        <v>1</v>
      </c>
      <c r="C21" s="79">
        <f t="array" ref="C21">INDEX(Persons!$A:$A,SMALL(IF(Persons!$U:$U=B21,ROW(Persons!$A:$A)-ROW(Persons!$A$1)+1),COUNTIF(B$20:B21,B21)))</f>
        <v>63</v>
      </c>
      <c r="D21" s="79" t="str">
        <f>INDEX(Persons!$B:$B,MATCH(C21,Persons!$A:$A,0))</f>
        <v>Håkon</v>
      </c>
      <c r="E21" s="80">
        <f>INDEX(Persons!$T:$T,MATCH(C21,Persons!$A:$A,0))</f>
        <v>174.28571428571428</v>
      </c>
      <c r="F21" s="92">
        <f>LARGE(Persons!$U:$U,1+ROW(F21)-ROW(F$20))</f>
        <v>31</v>
      </c>
      <c r="G21" s="92">
        <f t="array" ref="G21">INDEX(Persons!$A:$A,SMALL(IF(Persons!$U:$U=F21,ROW(Persons!$A:$A)-ROW(Persons!$A$1)+1),COUNTIF(F$20:F21,F21)))</f>
        <v>24</v>
      </c>
      <c r="H21" s="92" t="str">
        <f>INDEX(Persons!$B:$B,MATCH(G21,Persons!$A:$A,0))</f>
        <v>Terje</v>
      </c>
      <c r="I21" s="93">
        <f>INDEX(Persons!$T:$T,MATCH(G21,Persons!$A:$A,0))</f>
        <v>248.51561082044944</v>
      </c>
      <c r="J21" s="100">
        <f>SMALL(Persons!$H:$H,1+ROW(J21)-ROW(J$20))</f>
        <v>2</v>
      </c>
      <c r="K21" s="100">
        <f t="array" ref="K21">INDEX(Persons!$A:$A,SMALL(IF(Persons!$H:$H=J21,ROW(Persons!$A:$A)-ROW(Persons!$A$1)+1),COUNTIF(J$20:J21,J21)))</f>
        <v>33</v>
      </c>
      <c r="L21" s="100" t="str">
        <f>INDEX(Persons!$B:$B,MATCH(K21,Persons!$A:$A,0))</f>
        <v>Anders A</v>
      </c>
      <c r="M21" s="101">
        <f>INDEX(Persons!$G:$G,MATCH(K21,Persons!$A:$A,0))</f>
        <v>182</v>
      </c>
      <c r="U21">
        <v>2</v>
      </c>
      <c r="V21">
        <f>V20+360/9</f>
        <v>40</v>
      </c>
      <c r="W21" s="58">
        <v>0.3</v>
      </c>
      <c r="X21" s="58">
        <v>1</v>
      </c>
      <c r="Y21" s="60">
        <f t="shared" ref="Y21:Y28" si="1">W21*X21</f>
        <v>0.3</v>
      </c>
      <c r="Z21" s="52">
        <f t="shared" ref="Z21:Z28" si="2">Y21*(1-ABS(MOD(V21/60,2)-1))</f>
        <v>0.19999999999999998</v>
      </c>
      <c r="AA21" s="60">
        <f t="shared" ref="AA21:AA28" si="3">X21-Y21</f>
        <v>0.7</v>
      </c>
      <c r="AB21" s="52">
        <f t="shared" ref="AB21:AB28" si="4">IF(OR(AND(V21&gt;=0,V21&lt;60),AND(V21&gt;=300,V21&lt;360)),Y21,IF(OR(AND(V21&gt;=60,V21&lt;120),AND(V21&gt;=240,V21&lt;300)),Z21,0))</f>
        <v>0.3</v>
      </c>
      <c r="AC21" s="52">
        <f t="shared" ref="AC21:AC28" si="5">IF(OR(AND(V21&gt;=60,V21&lt;120),AND(V21&gt;=120,V21&lt;180)),Y21,IF(OR(AND(V21&gt;=0,V21&lt;60),AND(V21&gt;=180,V21&lt;240)),Z21,0))</f>
        <v>0.19999999999999998</v>
      </c>
      <c r="AD21" s="52">
        <f t="shared" ref="AD21:AD28" si="6">IF(OR(AND(V21&gt;=180,V21&lt;240),AND(V21&gt;=240,V21&lt;300)),Y21,IF(OR(AND(V21&gt;=120,V21&lt;180),AND(V21&gt;=300,V21&lt;360)),Z21,0))</f>
        <v>0</v>
      </c>
      <c r="AE21" s="27">
        <f t="shared" ref="AE21:AG28" si="7">($AA21+AB21)*255</f>
        <v>255</v>
      </c>
      <c r="AF21" s="27">
        <f t="shared" si="7"/>
        <v>229.49999999999997</v>
      </c>
      <c r="AG21" s="27">
        <f t="shared" si="7"/>
        <v>178.5</v>
      </c>
      <c r="AH21" s="62"/>
    </row>
    <row r="22" spans="2:34" x14ac:dyDescent="0.25">
      <c r="B22" s="79">
        <f>SMALL(Persons!$U:$U,1+ROW(B22)-ROW(B$20))</f>
        <v>3</v>
      </c>
      <c r="C22" s="79">
        <f t="array" ref="C22">INDEX(Persons!$A:$A,SMALL(IF(Persons!$U:$U=B22,ROW(Persons!$A:$A)-ROW(Persons!$A$1)+1),COUNTIF(B$20:B22,B22)))</f>
        <v>53</v>
      </c>
      <c r="D22" s="79" t="str">
        <f>INDEX(Persons!$B:$B,MATCH(C22,Persons!$A:$A,0))</f>
        <v>Sondre</v>
      </c>
      <c r="E22" s="80">
        <f>INDEX(Persons!$T:$T,MATCH(C22,Persons!$A:$A,0))</f>
        <v>198.02768589979175</v>
      </c>
      <c r="F22" s="92">
        <f>LARGE(Persons!$U:$U,1+ROW(F22)-ROW(F$20))</f>
        <v>30</v>
      </c>
      <c r="G22" s="92">
        <f t="array" ref="G22">INDEX(Persons!$A:$A,SMALL(IF(Persons!$U:$U=F22,ROW(Persons!$A:$A)-ROW(Persons!$A$1)+1),COUNTIF(F$20:F22,F22)))</f>
        <v>16</v>
      </c>
      <c r="H22" s="92" t="str">
        <f>INDEX(Persons!$B:$B,MATCH(G22,Persons!$A:$A,0))</f>
        <v>Bjarke</v>
      </c>
      <c r="I22" s="93">
        <f>INDEX(Persons!$T:$T,MATCH(G22,Persons!$A:$A,0))</f>
        <v>246.00664536981162</v>
      </c>
      <c r="J22" s="100">
        <f>SMALL(Persons!$H:$H,1+ROW(J22)-ROW(J$20))</f>
        <v>3</v>
      </c>
      <c r="K22" s="100">
        <f t="array" ref="K22">INDEX(Persons!$A:$A,SMALL(IF(Persons!$H:$H=J22,ROW(Persons!$A:$A)-ROW(Persons!$A$1)+1),COUNTIF(J$20:J22,J22)))</f>
        <v>37</v>
      </c>
      <c r="L22" s="100" t="str">
        <f>INDEX(Persons!$B:$B,MATCH(K22,Persons!$A:$A,0))</f>
        <v>Ruben O</v>
      </c>
      <c r="M22" s="101">
        <f>INDEX(Persons!$G:$G,MATCH(K22,Persons!$A:$A,0))</f>
        <v>171</v>
      </c>
      <c r="U22">
        <v>3</v>
      </c>
      <c r="V22">
        <f>V21+360/9</f>
        <v>80</v>
      </c>
      <c r="W22" s="58">
        <v>0.3</v>
      </c>
      <c r="X22" s="58">
        <v>1</v>
      </c>
      <c r="Y22" s="60">
        <f t="shared" si="1"/>
        <v>0.3</v>
      </c>
      <c r="Z22" s="52">
        <f t="shared" si="2"/>
        <v>0.2</v>
      </c>
      <c r="AA22" s="60">
        <f t="shared" si="3"/>
        <v>0.7</v>
      </c>
      <c r="AB22" s="52">
        <f t="shared" si="4"/>
        <v>0.2</v>
      </c>
      <c r="AC22" s="52">
        <f t="shared" si="5"/>
        <v>0.3</v>
      </c>
      <c r="AD22" s="52">
        <f t="shared" si="6"/>
        <v>0</v>
      </c>
      <c r="AE22" s="27">
        <f t="shared" si="7"/>
        <v>229.49999999999997</v>
      </c>
      <c r="AF22" s="27">
        <f t="shared" si="7"/>
        <v>255</v>
      </c>
      <c r="AG22" s="27">
        <f t="shared" si="7"/>
        <v>178.5</v>
      </c>
      <c r="AH22" s="63"/>
    </row>
    <row r="23" spans="2:34" x14ac:dyDescent="0.25">
      <c r="B23" s="79">
        <f>SMALL(Persons!$U:$U,1+ROW(B23)-ROW(B$20))</f>
        <v>4</v>
      </c>
      <c r="C23" s="79">
        <f t="array" ref="C23">INDEX(Persons!$A:$A,SMALL(IF(Persons!$U:$U=B23,ROW(Persons!$A:$A)-ROW(Persons!$A$1)+1),COUNTIF(B$20:B23,B23)))</f>
        <v>27</v>
      </c>
      <c r="D23" s="79" t="str">
        <f>INDEX(Persons!$B:$B,MATCH(C23,Persons!$A:$A,0))</f>
        <v>Kristin T</v>
      </c>
      <c r="E23" s="80">
        <f>INDEX(Persons!$T:$T,MATCH(C23,Persons!$A:$A,0))</f>
        <v>199.43598420755782</v>
      </c>
      <c r="F23" s="92">
        <f>LARGE(Persons!$U:$U,1+ROW(F23)-ROW(F$20))</f>
        <v>29</v>
      </c>
      <c r="G23" s="92">
        <f t="array" ref="G23">INDEX(Persons!$A:$A,SMALL(IF(Persons!$U:$U=F23,ROW(Persons!$A:$A)-ROW(Persons!$A$1)+1),COUNTIF(F$20:F23,F23)))</f>
        <v>17</v>
      </c>
      <c r="H23" s="92" t="str">
        <f>INDEX(Persons!$B:$B,MATCH(G23,Persons!$A:$A,0))</f>
        <v>Hanne</v>
      </c>
      <c r="I23" s="93">
        <f>INDEX(Persons!$T:$T,MATCH(G23,Persons!$A:$A,0))</f>
        <v>245.46125885069893</v>
      </c>
      <c r="J23" s="100">
        <f>SMALL(Persons!$H:$H,1+ROW(J23)-ROW(J$20))</f>
        <v>4</v>
      </c>
      <c r="K23" s="100">
        <f t="array" ref="K23">INDEX(Persons!$A:$A,SMALL(IF(Persons!$H:$H=J23,ROW(Persons!$A:$A)-ROW(Persons!$A$1)+1),COUNTIF(J$20:J23,J23)))</f>
        <v>29</v>
      </c>
      <c r="L23" s="100" t="str">
        <f>INDEX(Persons!$B:$B,MATCH(K23,Persons!$A:$A,0))</f>
        <v>Magnus B</v>
      </c>
      <c r="M23" s="101">
        <f>INDEX(Persons!$G:$G,MATCH(K23,Persons!$A:$A,0))</f>
        <v>131</v>
      </c>
      <c r="U23">
        <v>4</v>
      </c>
      <c r="V23">
        <f t="shared" ref="V23:V28" si="8">V22+360/9</f>
        <v>120</v>
      </c>
      <c r="W23" s="58">
        <v>0.3</v>
      </c>
      <c r="X23" s="58">
        <v>1</v>
      </c>
      <c r="Y23" s="60">
        <f t="shared" si="1"/>
        <v>0.3</v>
      </c>
      <c r="Z23" s="52">
        <f t="shared" si="2"/>
        <v>0</v>
      </c>
      <c r="AA23" s="60">
        <f t="shared" si="3"/>
        <v>0.7</v>
      </c>
      <c r="AB23" s="52">
        <f t="shared" si="4"/>
        <v>0</v>
      </c>
      <c r="AC23" s="52">
        <f t="shared" si="5"/>
        <v>0.3</v>
      </c>
      <c r="AD23" s="52">
        <f t="shared" si="6"/>
        <v>0</v>
      </c>
      <c r="AE23" s="27">
        <f t="shared" si="7"/>
        <v>178.5</v>
      </c>
      <c r="AF23" s="27">
        <f t="shared" si="7"/>
        <v>255</v>
      </c>
      <c r="AG23" s="27">
        <f t="shared" si="7"/>
        <v>178.5</v>
      </c>
      <c r="AH23" s="64"/>
    </row>
    <row r="24" spans="2:34" x14ac:dyDescent="0.25">
      <c r="B24" s="79">
        <f>SMALL(Persons!$U:$U,1+ROW(B24)-ROW(B$20))</f>
        <v>5</v>
      </c>
      <c r="C24" s="79">
        <f t="array" ref="C24">INDEX(Persons!$A:$A,SMALL(IF(Persons!$U:$U=B24,ROW(Persons!$A:$A)-ROW(Persons!$A$1)+1),COUNTIF(B$20:B24,B24)))</f>
        <v>44</v>
      </c>
      <c r="D24" s="79" t="str">
        <f>INDEX(Persons!$B:$B,MATCH(C24,Persons!$A:$A,0))</f>
        <v>Jan</v>
      </c>
      <c r="E24" s="80">
        <f>INDEX(Persons!$T:$T,MATCH(C24,Persons!$A:$A,0))</f>
        <v>203.14822105401717</v>
      </c>
      <c r="F24" s="92">
        <f>LARGE(Persons!$U:$U,1+ROW(F24)-ROW(F$20))</f>
        <v>28</v>
      </c>
      <c r="G24" s="92">
        <f t="array" ref="G24">INDEX(Persons!$A:$A,SMALL(IF(Persons!$U:$U=F24,ROW(Persons!$A:$A)-ROW(Persons!$A$1)+1),COUNTIF(F$20:F24,F24)))</f>
        <v>2</v>
      </c>
      <c r="H24" s="92" t="str">
        <f>INDEX(Persons!$B:$B,MATCH(G24,Persons!$A:$A,0))</f>
        <v>Erik B</v>
      </c>
      <c r="I24" s="93">
        <f>INDEX(Persons!$T:$T,MATCH(G24,Persons!$A:$A,0))</f>
        <v>243.90443880516364</v>
      </c>
      <c r="J24" s="100">
        <f>SMALL(Persons!$H:$H,1+ROW(J24)-ROW(J$20))</f>
        <v>5</v>
      </c>
      <c r="K24" s="100">
        <f t="array" ref="K24">INDEX(Persons!$A:$A,SMALL(IF(Persons!$H:$H=J24,ROW(Persons!$A:$A)-ROW(Persons!$A$1)+1),COUNTIF(J$20:J24,J24)))</f>
        <v>14</v>
      </c>
      <c r="L24" s="100" t="str">
        <f>INDEX(Persons!$B:$B,MATCH(K24,Persons!$A:$A,0))</f>
        <v>Truls</v>
      </c>
      <c r="M24" s="101">
        <f>INDEX(Persons!$G:$G,MATCH(K24,Persons!$A:$A,0))</f>
        <v>113</v>
      </c>
      <c r="U24">
        <v>5</v>
      </c>
      <c r="V24">
        <f t="shared" si="8"/>
        <v>160</v>
      </c>
      <c r="W24" s="58">
        <v>0.3</v>
      </c>
      <c r="X24" s="58">
        <v>1</v>
      </c>
      <c r="Y24" s="60">
        <f t="shared" si="1"/>
        <v>0.3</v>
      </c>
      <c r="Z24" s="52">
        <f t="shared" si="2"/>
        <v>0.19999999999999996</v>
      </c>
      <c r="AA24" s="60">
        <f t="shared" si="3"/>
        <v>0.7</v>
      </c>
      <c r="AB24" s="52">
        <f t="shared" si="4"/>
        <v>0</v>
      </c>
      <c r="AC24" s="52">
        <f t="shared" si="5"/>
        <v>0.3</v>
      </c>
      <c r="AD24" s="52">
        <f t="shared" si="6"/>
        <v>0.19999999999999996</v>
      </c>
      <c r="AE24" s="27">
        <f t="shared" si="7"/>
        <v>178.5</v>
      </c>
      <c r="AF24" s="27">
        <f t="shared" si="7"/>
        <v>255</v>
      </c>
      <c r="AG24" s="27">
        <f t="shared" si="7"/>
        <v>229.49999999999997</v>
      </c>
      <c r="AH24" s="65"/>
    </row>
    <row r="25" spans="2:34" x14ac:dyDescent="0.25">
      <c r="U25">
        <v>6</v>
      </c>
      <c r="V25">
        <f t="shared" si="8"/>
        <v>200</v>
      </c>
      <c r="W25" s="58">
        <v>0.3</v>
      </c>
      <c r="X25" s="58">
        <v>1</v>
      </c>
      <c r="Y25" s="60">
        <f t="shared" si="1"/>
        <v>0.3</v>
      </c>
      <c r="Z25" s="52">
        <f t="shared" si="2"/>
        <v>0.19999999999999996</v>
      </c>
      <c r="AA25" s="60">
        <f t="shared" si="3"/>
        <v>0.7</v>
      </c>
      <c r="AB25" s="52">
        <f t="shared" si="4"/>
        <v>0</v>
      </c>
      <c r="AC25" s="52">
        <f t="shared" si="5"/>
        <v>0.19999999999999996</v>
      </c>
      <c r="AD25" s="52">
        <f t="shared" si="6"/>
        <v>0.3</v>
      </c>
      <c r="AE25" s="27">
        <f t="shared" si="7"/>
        <v>178.5</v>
      </c>
      <c r="AF25" s="27">
        <f t="shared" si="7"/>
        <v>229.49999999999997</v>
      </c>
      <c r="AG25" s="27">
        <f t="shared" si="7"/>
        <v>255</v>
      </c>
      <c r="AH25" s="66"/>
    </row>
    <row r="26" spans="2:34" x14ac:dyDescent="0.25">
      <c r="O26" s="44" t="s">
        <v>123</v>
      </c>
      <c r="Q26" t="s">
        <v>120</v>
      </c>
      <c r="U26">
        <v>7</v>
      </c>
      <c r="V26">
        <f t="shared" si="8"/>
        <v>240</v>
      </c>
      <c r="W26" s="58">
        <v>0.3</v>
      </c>
      <c r="X26" s="58">
        <v>1</v>
      </c>
      <c r="Y26" s="60">
        <f t="shared" si="1"/>
        <v>0.3</v>
      </c>
      <c r="Z26" s="52">
        <f t="shared" si="2"/>
        <v>0</v>
      </c>
      <c r="AA26" s="60">
        <f t="shared" si="3"/>
        <v>0.7</v>
      </c>
      <c r="AB26" s="52">
        <f t="shared" si="4"/>
        <v>0</v>
      </c>
      <c r="AC26" s="52">
        <f t="shared" si="5"/>
        <v>0</v>
      </c>
      <c r="AD26" s="52">
        <f t="shared" si="6"/>
        <v>0.3</v>
      </c>
      <c r="AE26" s="27">
        <f t="shared" si="7"/>
        <v>178.5</v>
      </c>
      <c r="AF26" s="27">
        <f t="shared" si="7"/>
        <v>178.5</v>
      </c>
      <c r="AG26" s="27">
        <f t="shared" si="7"/>
        <v>255</v>
      </c>
      <c r="AH26" s="67"/>
    </row>
    <row r="27" spans="2:34" x14ac:dyDescent="0.25">
      <c r="O27" s="44" t="s">
        <v>124</v>
      </c>
      <c r="Q27" t="s">
        <v>121</v>
      </c>
      <c r="U27">
        <v>8</v>
      </c>
      <c r="V27">
        <f t="shared" si="8"/>
        <v>280</v>
      </c>
      <c r="W27" s="58">
        <v>0.3</v>
      </c>
      <c r="X27" s="58">
        <v>1</v>
      </c>
      <c r="Y27" s="60">
        <f t="shared" si="1"/>
        <v>0.3</v>
      </c>
      <c r="Z27" s="52">
        <f t="shared" si="2"/>
        <v>0.20000000000000009</v>
      </c>
      <c r="AA27" s="60">
        <f t="shared" si="3"/>
        <v>0.7</v>
      </c>
      <c r="AB27" s="52">
        <f t="shared" si="4"/>
        <v>0.20000000000000009</v>
      </c>
      <c r="AC27" s="52">
        <f t="shared" si="5"/>
        <v>0</v>
      </c>
      <c r="AD27" s="52">
        <f t="shared" si="6"/>
        <v>0.3</v>
      </c>
      <c r="AE27" s="27">
        <f t="shared" si="7"/>
        <v>229.5</v>
      </c>
      <c r="AF27" s="27">
        <f t="shared" si="7"/>
        <v>178.5</v>
      </c>
      <c r="AG27" s="27">
        <f t="shared" si="7"/>
        <v>255</v>
      </c>
      <c r="AH27" s="68"/>
    </row>
    <row r="28" spans="2:34" x14ac:dyDescent="0.25">
      <c r="U28">
        <v>9</v>
      </c>
      <c r="V28">
        <f t="shared" si="8"/>
        <v>320</v>
      </c>
      <c r="W28" s="58">
        <v>0.3</v>
      </c>
      <c r="X28" s="58">
        <v>1</v>
      </c>
      <c r="Y28" s="60">
        <f t="shared" si="1"/>
        <v>0.3</v>
      </c>
      <c r="Z28" s="52">
        <f t="shared" si="2"/>
        <v>0.20000000000000009</v>
      </c>
      <c r="AA28" s="60">
        <f t="shared" si="3"/>
        <v>0.7</v>
      </c>
      <c r="AB28" s="52">
        <f t="shared" si="4"/>
        <v>0.3</v>
      </c>
      <c r="AC28" s="52">
        <f t="shared" si="5"/>
        <v>0</v>
      </c>
      <c r="AD28" s="52">
        <f t="shared" si="6"/>
        <v>0.20000000000000009</v>
      </c>
      <c r="AE28" s="27">
        <f t="shared" si="7"/>
        <v>255</v>
      </c>
      <c r="AF28" s="27">
        <f t="shared" si="7"/>
        <v>178.5</v>
      </c>
      <c r="AG28" s="27">
        <f t="shared" si="7"/>
        <v>229.5</v>
      </c>
      <c r="AH28" s="69"/>
    </row>
  </sheetData>
  <mergeCells count="9">
    <mergeCell ref="J2:M2"/>
    <mergeCell ref="F10:I10"/>
    <mergeCell ref="F18:I18"/>
    <mergeCell ref="J18:M18"/>
    <mergeCell ref="J10:M10"/>
    <mergeCell ref="B2:E2"/>
    <mergeCell ref="F2:I2"/>
    <mergeCell ref="B10:E10"/>
    <mergeCell ref="B18:E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5"/>
  <sheetViews>
    <sheetView showGridLines="0" topLeftCell="A16" workbookViewId="0">
      <selection activeCell="D18" sqref="D18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136</v>
      </c>
      <c r="D1" s="53" t="s">
        <v>113</v>
      </c>
      <c r="E1" s="53" t="s">
        <v>49</v>
      </c>
      <c r="F1" s="53" t="s">
        <v>107</v>
      </c>
      <c r="G1" s="54" t="s">
        <v>20</v>
      </c>
      <c r="H1" s="54" t="s">
        <v>104</v>
      </c>
      <c r="I1" s="54" t="s">
        <v>21</v>
      </c>
      <c r="J1" s="54" t="s">
        <v>103</v>
      </c>
      <c r="K1" s="55" t="s">
        <v>22</v>
      </c>
      <c r="L1" s="55" t="s">
        <v>102</v>
      </c>
      <c r="M1" s="56" t="s">
        <v>90</v>
      </c>
      <c r="N1" s="56" t="s">
        <v>110</v>
      </c>
      <c r="O1" s="56" t="s">
        <v>115</v>
      </c>
      <c r="P1" s="54" t="s">
        <v>109</v>
      </c>
      <c r="Q1" s="54" t="s">
        <v>111</v>
      </c>
      <c r="R1" s="54" t="s">
        <v>105</v>
      </c>
      <c r="S1" s="54" t="s">
        <v>106</v>
      </c>
      <c r="T1" s="57" t="s">
        <v>56</v>
      </c>
      <c r="U1" s="54" t="s">
        <v>108</v>
      </c>
      <c r="V1" s="4"/>
      <c r="W1" s="4" t="s">
        <v>58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58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>IF($C2=0," ",COUNTIFS($C:$C,1,E:E,"&gt;"&amp;E2)+1)</f>
        <v xml:space="preserve"> </v>
      </c>
      <c r="G2" s="8">
        <f>SUMIF(Sales!B:B,A2,Sales!D:D)</f>
        <v>12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0.98785425101214575</v>
      </c>
      <c r="L2" s="30" t="str">
        <f>IF($C2=0," ",COUNTIFS($C:$C,1,K:K,"&gt;"&amp;K2)+1)</f>
        <v xml:space="preserve"> </v>
      </c>
      <c r="M2" s="9">
        <f>SQRT(SUMIF(Sales!B:B,A2,Sales!G:G))</f>
        <v>0.90534417201851047</v>
      </c>
      <c r="N2" s="9">
        <f>I2-K2</f>
        <v>-0.98785425101214575</v>
      </c>
      <c r="O2" s="6" t="str">
        <f>IF($C2=0," ",COUNTIFS($C:$C,1,N:N,"&gt;"&amp;N2)+1)</f>
        <v xml:space="preserve"> </v>
      </c>
      <c r="P2" s="5">
        <f>N2/M2</f>
        <v>-1.0911366986652986</v>
      </c>
      <c r="Q2" s="10" t="str">
        <f>IF($C2=0," ",COUNTIFS($C:$C,1,P:P,"&gt;"&amp;P2)+1)</f>
        <v xml:space="preserve"> </v>
      </c>
      <c r="R2" s="17">
        <f>IF(I2&gt;K2,1-_xlfn.NORM.DIST(I2,K2,M2,1),_xlfn.NORM.DIST(I2,K2,M2,1))</f>
        <v>0.137606368366785</v>
      </c>
      <c r="S2" s="6" t="str">
        <f>IF($C2=0," ",COUNTIFS($C:$C,1,R:R,"&gt;"&amp;R2)+1)</f>
        <v xml:space="preserve"> </v>
      </c>
      <c r="T2" s="6">
        <f>E2/K2</f>
        <v>101.22950819672131</v>
      </c>
      <c r="U2" s="6" t="str">
        <f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44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>IF($C3=0," ",COUNTIFS($C:$C,1,E:E,"&gt;"&amp;E3)+1)</f>
        <v xml:space="preserve"> </v>
      </c>
      <c r="G3" s="4">
        <f>SUMIF(Sales!B:B,A3,Sales!D:D)</f>
        <v>127</v>
      </c>
      <c r="H3" s="4" t="str">
        <f>IF($C3=0," ",COUNTIFS($C:$C,1,G:G,"&gt;"&amp;G3)+1)</f>
        <v xml:space="preserve"> </v>
      </c>
      <c r="I3" s="4">
        <f>SUMIF(Prizes!B:B,A3,Prizes!D:D)</f>
        <v>5</v>
      </c>
      <c r="J3" s="4" t="str">
        <f>IF($C3=0," ",COUNTIFS($C:$C,1,I:I,"&gt;"&amp;I3)+1)</f>
        <v xml:space="preserve"> </v>
      </c>
      <c r="K3" s="5">
        <f>SUMIF(Sales!B:B,A3,Sales!F:F)</f>
        <v>6.0719704412152948</v>
      </c>
      <c r="L3" s="6" t="str">
        <f>IF($C3=0," ",COUNTIFS($C:$C,1,K:K,"&gt;"&amp;K3)+1)</f>
        <v xml:space="preserve"> </v>
      </c>
      <c r="M3" s="5">
        <f>SQRT(SUMIF(Sales!B:B,A3,Sales!G:G))</f>
        <v>2.2871608424340759</v>
      </c>
      <c r="N3" s="5">
        <f>I3-K3</f>
        <v>-1.0719704412152948</v>
      </c>
      <c r="O3" s="6" t="str">
        <f>IF($C3=0," ",COUNTIFS($C:$C,1,N:N,"&gt;"&amp;N3)+1)</f>
        <v xml:space="preserve"> </v>
      </c>
      <c r="P3" s="5">
        <f>N3/M3</f>
        <v>-0.46869044858011238</v>
      </c>
      <c r="Q3" s="4" t="str">
        <f>IF($C3=0," ",COUNTIFS($C:$C,1,P:P,"&gt;"&amp;P3)+1)</f>
        <v xml:space="preserve"> </v>
      </c>
      <c r="R3" s="17">
        <f>IF(I3&gt;K3,1-_xlfn.NORM.DIST(I3,K3,M3,1),_xlfn.NORM.DIST(I3,K3,M3,1))</f>
        <v>0.3196454575746297</v>
      </c>
      <c r="S3" s="32" t="str">
        <f>IF($C3=0," ",COUNTIFS($C:$C,1,R:R,"&gt;"&amp;R3)+1)</f>
        <v xml:space="preserve"> </v>
      </c>
      <c r="T3" s="6">
        <f>E3/K3</f>
        <v>223.98000997643169</v>
      </c>
      <c r="U3" s="4" t="str">
        <f>IF($C3=0," ",COUNTIFS($C:$C,1,T:T,"&lt;"&amp;T3)+1)</f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>IF($C4=0," ",COUNTIFS($C:$C,1,E:E,"&gt;"&amp;E4)+1)</f>
        <v>14</v>
      </c>
      <c r="G4" s="4">
        <f>SUMIF(Sales!B:B,A4,Sales!D:D)</f>
        <v>65</v>
      </c>
      <c r="H4" s="4">
        <f>IF($C4=0," ",COUNTIFS($C:$C,1,G:G,"&gt;"&amp;G4)+1)</f>
        <v>14</v>
      </c>
      <c r="I4" s="4">
        <f>SUMIF(Prizes!B:B,A4,Prizes!D:D)</f>
        <v>2</v>
      </c>
      <c r="J4" s="4">
        <f>IF($C4=0," ",COUNTIFS($C:$C,1,I:I,"&gt;"&amp;I4)+1)</f>
        <v>16</v>
      </c>
      <c r="K4" s="5">
        <f>SUMIF(Sales!B:B,A4,Sales!F:F)</f>
        <v>3.0749747879706155</v>
      </c>
      <c r="L4" s="6">
        <f>IF($C4=0," ",COUNTIFS($C:$C,1,K:K,"&gt;"&amp;K4)+1)</f>
        <v>14</v>
      </c>
      <c r="M4" s="5">
        <f>SQRT(SUMIF(Sales!B:B,A4,Sales!G:G))</f>
        <v>1.6670556241583492</v>
      </c>
      <c r="N4" s="5">
        <f>I4-K4</f>
        <v>-1.0749747879706155</v>
      </c>
      <c r="O4" s="6">
        <f>IF($C4=0," ",COUNTIFS($C:$C,1,N:N,"&gt;"&amp;N4)+1)</f>
        <v>22</v>
      </c>
      <c r="P4" s="5">
        <f>N4/M4</f>
        <v>-0.64483438488343237</v>
      </c>
      <c r="Q4" s="4">
        <f>IF($C4=0," ",COUNTIFS($C:$C,1,P:P,"&gt;"&amp;P4)+1)</f>
        <v>22</v>
      </c>
      <c r="R4" s="17">
        <f>IF(I4&gt;K4,1-_xlfn.NORM.DIST(I4,K4,M4,1),_xlfn.NORM.DIST(I4,K4,M4,1))</f>
        <v>0.25951725827739575</v>
      </c>
      <c r="S4" s="32">
        <f>IF($C4=0," ",COUNTIFS($C:$C,1,R:R,"&gt;"&amp;R4)+1)</f>
        <v>18</v>
      </c>
      <c r="T4" s="6">
        <f>E4/K4</f>
        <v>243.90443880516364</v>
      </c>
      <c r="U4" s="4">
        <f>IF($C4=0," ",COUNTIFS($C:$C,1,T:T,"&lt;"&amp;T4)+1)</f>
        <v>28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0</v>
      </c>
      <c r="D5" s="4">
        <f t="array" ref="D5">MAX(IF(Sales!B:B=A5,Sales!C:C))</f>
        <v>14</v>
      </c>
      <c r="E5" s="4">
        <f>SUMIF(Sales!B:B,A5,Sales!E:E)</f>
        <v>350</v>
      </c>
      <c r="F5" s="6" t="str">
        <f>IF($C5=0," ",COUNTIFS($C:$C,1,E:E,"&gt;"&amp;E5)+1)</f>
        <v xml:space="preserve"> </v>
      </c>
      <c r="G5" s="4">
        <f>SUMIF(Sales!B:B,A5,Sales!D:D)</f>
        <v>26</v>
      </c>
      <c r="H5" s="4" t="str">
        <f>IF($C5=0," ",COUNTIFS($C:$C,1,G:G,"&gt;"&amp;G5)+1)</f>
        <v xml:space="preserve"> </v>
      </c>
      <c r="I5" s="4">
        <f>SUMIF(Prizes!B:B,A5,Prizes!D:D)</f>
        <v>2</v>
      </c>
      <c r="J5" s="4" t="str">
        <f>IF($C5=0," ",COUNTIFS($C:$C,1,I:I,"&gt;"&amp;I5)+1)</f>
        <v xml:space="preserve"> </v>
      </c>
      <c r="K5" s="5">
        <f>SUMIF(Sales!B:B,A5,Sales!F:F)</f>
        <v>1.7386807932020698</v>
      </c>
      <c r="L5" s="6" t="str">
        <f>IF($C5=0," ",COUNTIFS($C:$C,1,K:K,"&gt;"&amp;K5)+1)</f>
        <v xml:space="preserve"> </v>
      </c>
      <c r="M5" s="5">
        <f>SQRT(SUMIF(Sales!B:B,A5,Sales!G:G))</f>
        <v>1.2196223879112047</v>
      </c>
      <c r="N5" s="5">
        <f>I5-K5</f>
        <v>0.26131920679793019</v>
      </c>
      <c r="O5" s="6" t="str">
        <f>IF($C5=0," ",COUNTIFS($C:$C,1,N:N,"&gt;"&amp;N5)+1)</f>
        <v xml:space="preserve"> </v>
      </c>
      <c r="P5" s="5">
        <f>N5/M5</f>
        <v>0.21426238923465521</v>
      </c>
      <c r="Q5" s="4" t="str">
        <f>IF($C5=0," ",COUNTIFS($C:$C,1,P:P,"&gt;"&amp;P5)+1)</f>
        <v xml:space="preserve"> </v>
      </c>
      <c r="R5" s="17">
        <f>IF(I5&gt;K5,1-_xlfn.NORM.DIST(I5,K5,M5,1),_xlfn.NORM.DIST(I5,K5,M5,1))</f>
        <v>0.41517122299034059</v>
      </c>
      <c r="S5" s="32" t="str">
        <f>IF($C5=0," ",COUNTIFS($C:$C,1,R:R,"&gt;"&amp;R5)+1)</f>
        <v xml:space="preserve"> </v>
      </c>
      <c r="T5" s="6">
        <f>E5/K5</f>
        <v>201.3020454176737</v>
      </c>
      <c r="U5" s="4" t="str">
        <f>IF($C5=0," ",COUNTIFS($C:$C,1,T:T,"&lt;"&amp;T5)+1)</f>
        <v xml:space="preserve"> 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>IF($C6=0," ",COUNTIFS($C:$C,1,E:E,"&gt;"&amp;E6)+1)</f>
        <v xml:space="preserve"> </v>
      </c>
      <c r="G6" s="4">
        <f>SUMIF(Sales!B:B,A6,Sales!D:D)</f>
        <v>55</v>
      </c>
      <c r="H6" s="4" t="str">
        <f>IF($C6=0," ",COUNTIFS($C:$C,1,G:G,"&gt;"&amp;G6)+1)</f>
        <v xml:space="preserve"> </v>
      </c>
      <c r="I6" s="4">
        <f>SUMIF(Prizes!B:B,A6,Prizes!D:D)</f>
        <v>3</v>
      </c>
      <c r="J6" s="4" t="str">
        <f>IF($C6=0," ",COUNTIFS($C:$C,1,I:I,"&gt;"&amp;I6)+1)</f>
        <v xml:space="preserve"> </v>
      </c>
      <c r="K6" s="5">
        <f>SUMIF(Sales!B:B,A6,Sales!F:F)</f>
        <v>2.3740803347134869</v>
      </c>
      <c r="L6" s="6" t="str">
        <f>IF($C6=0," ",COUNTIFS($C:$C,1,K:K,"&gt;"&amp;K6)+1)</f>
        <v xml:space="preserve"> </v>
      </c>
      <c r="M6" s="5">
        <f>SQRT(SUMIF(Sales!B:B,A6,Sales!G:G))</f>
        <v>1.4608189121183603</v>
      </c>
      <c r="N6" s="5">
        <f>I6-K6</f>
        <v>0.6259196652865131</v>
      </c>
      <c r="O6" s="6" t="str">
        <f>IF($C6=0," ",COUNTIFS($C:$C,1,N:N,"&gt;"&amp;N6)+1)</f>
        <v xml:space="preserve"> </v>
      </c>
      <c r="P6" s="5">
        <f>N6/M6</f>
        <v>0.42847177024759042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0.33415384099578926</v>
      </c>
      <c r="S6" s="32" t="str">
        <f>IF($C6=0," ",COUNTIFS($C:$C,1,R:R,"&gt;"&amp;R6)+1)</f>
        <v xml:space="preserve"> </v>
      </c>
      <c r="T6" s="6">
        <f>E6/K6</f>
        <v>244.30512797706007</v>
      </c>
      <c r="U6" s="4" t="str">
        <f>IF($C6=0," ",COUNTIFS($C:$C,1,T:T,"&lt;"&amp;T6)+1)</f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>IF($C7=0," ",COUNTIFS($C:$C,1,E:E,"&gt;"&amp;E7)+1)</f>
        <v xml:space="preserve"> </v>
      </c>
      <c r="G7" s="4">
        <f>SUMIF(Sales!B:B,A7,Sales!D:D)</f>
        <v>69</v>
      </c>
      <c r="H7" s="4" t="str">
        <f>IF($C7=0," ",COUNTIFS($C:$C,1,G:G,"&gt;"&amp;G7)+1)</f>
        <v xml:space="preserve"> </v>
      </c>
      <c r="I7" s="4">
        <f>SUMIF(Prizes!B:B,A7,Prizes!D:D)</f>
        <v>5</v>
      </c>
      <c r="J7" s="4" t="str">
        <f>IF($C7=0," ",COUNTIFS($C:$C,1,I:I,"&gt;"&amp;I7)+1)</f>
        <v xml:space="preserve"> </v>
      </c>
      <c r="K7" s="5">
        <f>SUMIF(Sales!B:B,A7,Sales!F:F)</f>
        <v>3.2250613603274099</v>
      </c>
      <c r="L7" s="6" t="str">
        <f>IF($C7=0," ",COUNTIFS($C:$C,1,K:K,"&gt;"&amp;K7)+1)</f>
        <v xml:space="preserve"> </v>
      </c>
      <c r="M7" s="5">
        <f>SQRT(SUMIF(Sales!B:B,A7,Sales!G:G))</f>
        <v>1.6993617556865768</v>
      </c>
      <c r="N7" s="5">
        <f>I7-K7</f>
        <v>1.7749386396725901</v>
      </c>
      <c r="O7" s="6" t="str">
        <f>IF($C7=0," ",COUNTIFS($C:$C,1,N:N,"&gt;"&amp;N7)+1)</f>
        <v xml:space="preserve"> </v>
      </c>
      <c r="P7" s="5">
        <f>N7/M7</f>
        <v>1.0444736876848677</v>
      </c>
      <c r="Q7" s="4" t="str">
        <f>IF($C7=0," ",COUNTIFS($C:$C,1,P:P,"&gt;"&amp;P7)+1)</f>
        <v xml:space="preserve"> </v>
      </c>
      <c r="R7" s="17">
        <f>IF(I7&gt;K7,1-_xlfn.NORM.DIST(I7,K7,M7,1),_xlfn.NORM.DIST(I7,K7,M7,1))</f>
        <v>0.1481331433566947</v>
      </c>
      <c r="S7" s="32" t="str">
        <f>IF($C7=0," ",COUNTIFS($C:$C,1,R:R,"&gt;"&amp;R7)+1)</f>
        <v xml:space="preserve"> </v>
      </c>
      <c r="T7" s="6">
        <f>E7/K7</f>
        <v>244.95657965397558</v>
      </c>
      <c r="U7" s="4" t="str">
        <f>IF($C7=0," ",COUNTIFS($C:$C,1,T:T,"&lt;"&amp;T7)+1)</f>
        <v xml:space="preserve"> </v>
      </c>
      <c r="V7" s="4"/>
      <c r="X7" s="4"/>
      <c r="Y7" s="4"/>
    </row>
    <row r="8" spans="1:25" x14ac:dyDescent="0.25">
      <c r="A8" s="4">
        <v>6</v>
      </c>
      <c r="B8" s="4" t="s">
        <v>99</v>
      </c>
      <c r="C8" s="4">
        <v>0</v>
      </c>
      <c r="D8" s="4">
        <f t="array" ref="D8">MAX(IF(Sales!B:B=A8,Sales!C:C))</f>
        <v>3</v>
      </c>
      <c r="E8" s="4">
        <f>SUMIF(Sales!B:B,A8,Sales!E:E)</f>
        <v>300</v>
      </c>
      <c r="F8" s="6" t="str">
        <f>IF($C8=0," ",COUNTIFS($C:$C,1,E:E,"&gt;"&amp;E8)+1)</f>
        <v xml:space="preserve"> </v>
      </c>
      <c r="G8" s="4">
        <f>SUMIF(Sales!B:B,A8,Sales!D:D)</f>
        <v>20</v>
      </c>
      <c r="H8" s="4" t="str">
        <f>IF($C8=0," ",COUNTIFS($C:$C,1,G:G,"&gt;"&amp;G8)+1)</f>
        <v xml:space="preserve"> </v>
      </c>
      <c r="I8" s="4">
        <f>SUMIF(Prizes!B:B,A8,Prizes!D:D)</f>
        <v>2</v>
      </c>
      <c r="J8" s="4" t="str">
        <f>IF($C8=0," ",COUNTIFS($C:$C,1,I:I,"&gt;"&amp;I8)+1)</f>
        <v xml:space="preserve"> </v>
      </c>
      <c r="K8" s="5">
        <f>SUMIF(Sales!B:B,A8,Sales!F:F)</f>
        <v>1.3260933806146571</v>
      </c>
      <c r="L8" s="6" t="str">
        <f>IF($C8=0," ",COUNTIFS($C:$C,1,K:K,"&gt;"&amp;K8)+1)</f>
        <v xml:space="preserve"> </v>
      </c>
      <c r="M8" s="5">
        <f>SQRT(SUMIF(Sales!B:B,A8,Sales!G:G))</f>
        <v>1.0672538107751555</v>
      </c>
      <c r="N8" s="5">
        <f>I8-K8</f>
        <v>0.67390661938534291</v>
      </c>
      <c r="O8" s="6" t="str">
        <f>IF($C8=0," ",COUNTIFS($C:$C,1,N:N,"&gt;"&amp;N8)+1)</f>
        <v xml:space="preserve"> </v>
      </c>
      <c r="P8" s="5">
        <f>N8/M8</f>
        <v>0.63143988110558147</v>
      </c>
      <c r="Q8" s="4" t="str">
        <f>IF($C8=0," ",COUNTIFS($C:$C,1,P:P,"&gt;"&amp;P8)+1)</f>
        <v xml:space="preserve"> </v>
      </c>
      <c r="R8" s="17">
        <f>IF(I8&gt;K8,1-_xlfn.NORM.DIST(I8,K8,M8,1),_xlfn.NORM.DIST(I8,K8,M8,1))</f>
        <v>0.26387647326386743</v>
      </c>
      <c r="S8" s="32" t="str">
        <f>IF($C8=0," ",COUNTIFS($C:$C,1,R:R,"&gt;"&amp;R8)+1)</f>
        <v xml:space="preserve"> </v>
      </c>
      <c r="T8" s="6">
        <f>E8/K8</f>
        <v>226.22841225626743</v>
      </c>
      <c r="U8" s="6" t="str">
        <f>IF($C8=0," ",COUNTIFS($C:$C,1,T:T,"&lt;"&amp;T8)+1)</f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>IF($C9=0," ",COUNTIFS($C:$C,1,E:E,"&gt;"&amp;E9)+1)</f>
        <v xml:space="preserve"> </v>
      </c>
      <c r="G9" s="4">
        <f>SUMIF(Sales!B:B,A9,Sales!D:D)</f>
        <v>75</v>
      </c>
      <c r="H9" s="4" t="str">
        <f>IF($C9=0," ",COUNTIFS($C:$C,1,G:G,"&gt;"&amp;G9)+1)</f>
        <v xml:space="preserve"> </v>
      </c>
      <c r="I9" s="4">
        <f>SUMIF(Prizes!B:B,A9,Prizes!D:D)</f>
        <v>4</v>
      </c>
      <c r="J9" s="4" t="str">
        <f>IF($C9=0," ",COUNTIFS($C:$C,1,I:I,"&gt;"&amp;I9)+1)</f>
        <v xml:space="preserve"> </v>
      </c>
      <c r="K9" s="5">
        <f>SUMIF(Sales!B:B,A9,Sales!F:F)</f>
        <v>3.0883035773743104</v>
      </c>
      <c r="L9" s="6" t="str">
        <f>IF($C9=0," ",COUNTIFS($C:$C,1,K:K,"&gt;"&amp;K9)+1)</f>
        <v xml:space="preserve"> </v>
      </c>
      <c r="M9" s="5">
        <f>SQRT(SUMIF(Sales!B:B,A9,Sales!G:G))</f>
        <v>1.645289709282524</v>
      </c>
      <c r="N9" s="5">
        <f>I9-K9</f>
        <v>0.91169642262568962</v>
      </c>
      <c r="O9" s="6" t="str">
        <f>IF($C9=0," ",COUNTIFS($C:$C,1,N:N,"&gt;"&amp;N9)+1)</f>
        <v xml:space="preserve"> </v>
      </c>
      <c r="P9" s="5">
        <f>N9/M9</f>
        <v>0.55412515952783847</v>
      </c>
      <c r="Q9" s="4" t="str">
        <f>IF($C9=0," ",COUNTIFS($C:$C,1,P:P,"&gt;"&amp;P9)+1)</f>
        <v xml:space="preserve"> </v>
      </c>
      <c r="R9" s="17">
        <f>IF(I9&gt;K9,1-_xlfn.NORM.DIST(I9,K9,M9,1),_xlfn.NORM.DIST(I9,K9,M9,1))</f>
        <v>0.28974659632997213</v>
      </c>
      <c r="S9" s="32" t="str">
        <f>IF($C9=0," ",COUNTIFS($C:$C,1,R:R,"&gt;"&amp;R9)+1)</f>
        <v xml:space="preserve"> </v>
      </c>
      <c r="T9" s="6">
        <f>E9/K9</f>
        <v>259.04189143224175</v>
      </c>
      <c r="U9" s="4" t="str">
        <f>IF($C9=0," ",COUNTIFS($C:$C,1,T:T,"&lt;"&amp;T9)+1)</f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>IF($C10=0," ",COUNTIFS($C:$C,1,E:E,"&gt;"&amp;E10)+1)</f>
        <v xml:space="preserve"> </v>
      </c>
      <c r="G10" s="4">
        <f>SUMIF(Sales!B:B,A10,Sales!D:D)</f>
        <v>189</v>
      </c>
      <c r="H10" s="4" t="str">
        <f>IF($C10=0," ",COUNTIFS($C:$C,1,G:G,"&gt;"&amp;G10)+1)</f>
        <v xml:space="preserve"> </v>
      </c>
      <c r="I10" s="4">
        <f>SUMIF(Prizes!B:B,A10,Prizes!D:D)</f>
        <v>8</v>
      </c>
      <c r="J10" s="4" t="str">
        <f>IF($C10=0," ",COUNTIFS($C:$C,1,I:I,"&gt;"&amp;I10)+1)</f>
        <v xml:space="preserve"> </v>
      </c>
      <c r="K10" s="5">
        <f>SUMIF(Sales!B:B,A10,Sales!F:F)</f>
        <v>8.7731840201125806</v>
      </c>
      <c r="L10" s="6" t="str">
        <f>IF($C10=0," ",COUNTIFS($C:$C,1,K:K,"&gt;"&amp;K10)+1)</f>
        <v xml:space="preserve"> </v>
      </c>
      <c r="M10" s="5">
        <f>SQRT(SUMIF(Sales!B:B,A10,Sales!G:G))</f>
        <v>2.7176050085623271</v>
      </c>
      <c r="N10" s="5">
        <f>I10-K10</f>
        <v>-0.77318402011258058</v>
      </c>
      <c r="O10" s="6" t="str">
        <f>IF($C10=0," ",COUNTIFS($C:$C,1,N:N,"&gt;"&amp;N10)+1)</f>
        <v xml:space="preserve"> </v>
      </c>
      <c r="P10" s="5">
        <f>N10/M10</f>
        <v>-0.28450934469009237</v>
      </c>
      <c r="Q10" s="4" t="str">
        <f>IF($C10=0," ",COUNTIFS($C:$C,1,P:P,"&gt;"&amp;P10)+1)</f>
        <v xml:space="preserve"> </v>
      </c>
      <c r="R10" s="17">
        <f>IF(I10&gt;K10,1-_xlfn.NORM.DIST(I10,K10,M10,1),_xlfn.NORM.DIST(I10,K10,M10,1))</f>
        <v>0.3880100368901796</v>
      </c>
      <c r="S10" s="32" t="str">
        <f>IF($C10=0," ",COUNTIFS($C:$C,1,R:R,"&gt;"&amp;R10)+1)</f>
        <v xml:space="preserve"> </v>
      </c>
      <c r="T10" s="6">
        <f>E10/K10</f>
        <v>234.80642777780983</v>
      </c>
      <c r="U10" s="4" t="str">
        <f>IF($C10=0," ",COUNTIFS($C:$C,1,T:T,"&lt;"&amp;T10)+1)</f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>IF($C11=0," ",COUNTIFS($C:$C,1,E:E,"&gt;"&amp;E11)+1)</f>
        <v xml:space="preserve"> </v>
      </c>
      <c r="G11" s="4">
        <f>SUMIF(Sales!B:B,A11,Sales!D:D)</f>
        <v>68</v>
      </c>
      <c r="H11" s="4" t="str">
        <f>IF($C11=0," ",COUNTIFS($C:$C,1,G:G,"&gt;"&amp;G11)+1)</f>
        <v xml:space="preserve"> </v>
      </c>
      <c r="I11" s="4">
        <f>SUMIF(Prizes!B:B,A11,Prizes!D:D)</f>
        <v>7</v>
      </c>
      <c r="J11" s="4" t="str">
        <f>IF($C11=0," ",COUNTIFS($C:$C,1,I:I,"&gt;"&amp;I11)+1)</f>
        <v xml:space="preserve"> </v>
      </c>
      <c r="K11" s="5">
        <f>SUMIF(Sales!B:B,A11,Sales!F:F)</f>
        <v>3.2402189600805982</v>
      </c>
      <c r="L11" s="6" t="str">
        <f>IF($C11=0," ",COUNTIFS($C:$C,1,K:K,"&gt;"&amp;K11)+1)</f>
        <v xml:space="preserve"> </v>
      </c>
      <c r="M11" s="5">
        <f>SQRT(SUMIF(Sales!B:B,A11,Sales!G:G))</f>
        <v>1.6903967309717229</v>
      </c>
      <c r="N11" s="5">
        <f>I11-K11</f>
        <v>3.7597810399194018</v>
      </c>
      <c r="O11" s="6" t="str">
        <f>IF($C11=0," ",COUNTIFS($C:$C,1,N:N,"&gt;"&amp;N11)+1)</f>
        <v xml:space="preserve"> </v>
      </c>
      <c r="P11" s="5">
        <f>N11/M11</f>
        <v>2.224200373221318</v>
      </c>
      <c r="Q11" s="4" t="str">
        <f>IF($C11=0," ",COUNTIFS($C:$C,1,P:P,"&gt;"&amp;P11)+1)</f>
        <v xml:space="preserve"> </v>
      </c>
      <c r="R11" s="17">
        <f>IF(I11&gt;K11,1-_xlfn.NORM.DIST(I11,K11,M11,1),_xlfn.NORM.DIST(I11,K11,M11,1))</f>
        <v>1.3067482981361178E-2</v>
      </c>
      <c r="S11" s="32" t="str">
        <f>IF($C11=0," ",COUNTIFS($C:$C,1,R:R,"&gt;"&amp;R11)+1)</f>
        <v xml:space="preserve"> </v>
      </c>
      <c r="T11" s="6">
        <f>E11/K11</f>
        <v>222.20720539888777</v>
      </c>
      <c r="U11" s="4" t="str">
        <f>IF($C11=0," ",COUNTIFS($C:$C,1,T:T,"&lt;"&amp;T11)+1)</f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24</v>
      </c>
      <c r="E12" s="4">
        <f>SUMIF(Sales!B:B,A12,Sales!E:E)</f>
        <v>2100</v>
      </c>
      <c r="F12" s="6">
        <f>IF($C12=0," ",COUNTIFS($C:$C,1,E:E,"&gt;"&amp;E12)+1)</f>
        <v>1</v>
      </c>
      <c r="G12" s="4">
        <f>SUMIF(Sales!B:B,A12,Sales!D:D)</f>
        <v>200</v>
      </c>
      <c r="H12" s="4">
        <f>IF($C12=0," ",COUNTIFS($C:$C,1,G:G,"&gt;"&amp;G12)+1)</f>
        <v>1</v>
      </c>
      <c r="I12" s="4">
        <f>SUMIF(Prizes!B:B,A12,Prizes!D:D)</f>
        <v>10</v>
      </c>
      <c r="J12" s="4">
        <f>IF($C12=0," ",COUNTIFS($C:$C,1,I:I,"&gt;"&amp;I12)+1)</f>
        <v>1</v>
      </c>
      <c r="K12" s="5">
        <f>SUMIF(Sales!B:B,A12,Sales!F:F)</f>
        <v>9.0445571492567041</v>
      </c>
      <c r="L12" s="6">
        <f>IF($C12=0," ",COUNTIFS($C:$C,1,K:K,"&gt;"&amp;K12)+1)</f>
        <v>1</v>
      </c>
      <c r="M12" s="5">
        <f>SQRT(SUMIF(Sales!B:B,A12,Sales!G:G))</f>
        <v>2.8294703199056279</v>
      </c>
      <c r="N12" s="5">
        <f>I12-K12</f>
        <v>0.95544285074329593</v>
      </c>
      <c r="O12" s="6">
        <f>IF($C12=0," ",COUNTIFS($C:$C,1,N:N,"&gt;"&amp;N12)+1)</f>
        <v>6</v>
      </c>
      <c r="P12" s="5">
        <f>N12/M12</f>
        <v>0.33767551616345037</v>
      </c>
      <c r="Q12" s="4">
        <f>IF($C12=0," ",COUNTIFS($C:$C,1,P:P,"&gt;"&amp;P12)+1)</f>
        <v>9</v>
      </c>
      <c r="R12" s="17">
        <f>IF(I12&gt;K12,1-_xlfn.NORM.DIST(I12,K12,M12,1),_xlfn.NORM.DIST(I12,K12,M12,1))</f>
        <v>0.36780386368053908</v>
      </c>
      <c r="S12" s="32">
        <f>IF($C12=0," ",COUNTIFS($C:$C,1,R:R,"&gt;"&amp;R12)+1)</f>
        <v>7</v>
      </c>
      <c r="T12" s="6">
        <f>E12/K12</f>
        <v>232.18383889282865</v>
      </c>
      <c r="U12" s="4">
        <f>IF($C12=0," ",COUNTIFS($C:$C,1,T:T,"&lt;"&amp;T12)+1)</f>
        <v>24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24</v>
      </c>
      <c r="E13" s="4">
        <f>SUMIF(Sales!B:B,A13,Sales!E:E)</f>
        <v>610</v>
      </c>
      <c r="F13" s="6">
        <f>IF($C13=0," ",COUNTIFS($C:$C,1,E:E,"&gt;"&amp;E13)+1)</f>
        <v>15</v>
      </c>
      <c r="G13" s="4">
        <f>SUMIF(Sales!B:B,A13,Sales!D:D)</f>
        <v>54</v>
      </c>
      <c r="H13" s="4">
        <f>IF($C13=0," ",COUNTIFS($C:$C,1,G:G,"&gt;"&amp;G13)+1)</f>
        <v>16</v>
      </c>
      <c r="I13" s="4">
        <f>SUMIF(Prizes!B:B,A13,Prizes!D:D)</f>
        <v>0</v>
      </c>
      <c r="J13" s="4">
        <f>IF($C13=0," ",COUNTIFS($C:$C,1,I:I,"&gt;"&amp;I13)+1)</f>
        <v>24</v>
      </c>
      <c r="K13" s="5">
        <f>SUMIF(Sales!B:B,A13,Sales!F:F)</f>
        <v>2.7855461833741479</v>
      </c>
      <c r="L13" s="6">
        <f>IF($C13=0," ",COUNTIFS($C:$C,1,K:K,"&gt;"&amp;K13)+1)</f>
        <v>16</v>
      </c>
      <c r="M13" s="5">
        <f>SQRT(SUMIF(Sales!B:B,A13,Sales!G:G))</f>
        <v>1.5804860378989236</v>
      </c>
      <c r="N13" s="5">
        <f>I13-K13</f>
        <v>-2.7855461833741479</v>
      </c>
      <c r="O13" s="6">
        <f>IF($C13=0," ",COUNTIFS($C:$C,1,N:N,"&gt;"&amp;N13)+1)</f>
        <v>31</v>
      </c>
      <c r="P13" s="5">
        <f>N13/M13</f>
        <v>-1.7624617469428674</v>
      </c>
      <c r="Q13" s="4">
        <f>IF($C13=0," ",COUNTIFS($C:$C,1,P:P,"&gt;"&amp;P13)+1)</f>
        <v>32</v>
      </c>
      <c r="R13" s="17">
        <f>IF(I13&gt;K13,1-_xlfn.NORM.DIST(I13,K13,M13,1),_xlfn.NORM.DIST(I13,K13,M13,1))</f>
        <v>3.8995657007222767E-2</v>
      </c>
      <c r="S13" s="32">
        <f>IF($C13=0," ",COUNTIFS($C:$C,1,R:R,"&gt;"&amp;R13)+1)</f>
        <v>32</v>
      </c>
      <c r="T13" s="6">
        <f>E13/K13</f>
        <v>218.98757365462293</v>
      </c>
      <c r="U13" s="4">
        <f>IF($C13=0," ",COUNTIFS($C:$C,1,T:T,"&lt;"&amp;T13)+1)</f>
        <v>15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>IF($C14=0," ",COUNTIFS($C:$C,1,E:E,"&gt;"&amp;E14)+1)</f>
        <v xml:space="preserve"> </v>
      </c>
      <c r="G14" s="4">
        <f>SUMIF(Sales!B:B,A14,Sales!D:D)</f>
        <v>48</v>
      </c>
      <c r="H14" s="4" t="str">
        <f>IF($C14=0," ",COUNTIFS($C:$C,1,G:G,"&gt;"&amp;G14)+1)</f>
        <v xml:space="preserve"> </v>
      </c>
      <c r="I14" s="4">
        <f>SUMIF(Prizes!B:B,A14,Prizes!D:D)</f>
        <v>3</v>
      </c>
      <c r="J14" s="4" t="str">
        <f>IF($C14=0," ",COUNTIFS($C:$C,1,I:I,"&gt;"&amp;I14)+1)</f>
        <v xml:space="preserve"> </v>
      </c>
      <c r="K14" s="5">
        <f>SUMIF(Sales!B:B,A14,Sales!F:F)</f>
        <v>2.1645166106756251</v>
      </c>
      <c r="L14" s="6" t="str">
        <f>IF($C14=0," ",COUNTIFS($C:$C,1,K:K,"&gt;"&amp;K14)+1)</f>
        <v xml:space="preserve"> </v>
      </c>
      <c r="M14" s="5">
        <f>SQRT(SUMIF(Sales!B:B,A14,Sales!G:G))</f>
        <v>1.3966272062273601</v>
      </c>
      <c r="N14" s="5">
        <f>I14-K14</f>
        <v>0.83548338932437494</v>
      </c>
      <c r="O14" s="6" t="str">
        <f>IF($C14=0," ",COUNTIFS($C:$C,1,N:N,"&gt;"&amp;N14)+1)</f>
        <v xml:space="preserve"> </v>
      </c>
      <c r="P14" s="5">
        <f>N14/M14</f>
        <v>0.59821503232865181</v>
      </c>
      <c r="Q14" s="4" t="str">
        <f>IF($C14=0," ",COUNTIFS($C:$C,1,P:P,"&gt;"&amp;P14)+1)</f>
        <v xml:space="preserve"> </v>
      </c>
      <c r="R14" s="17">
        <f>IF(I14&gt;K14,1-_xlfn.NORM.DIST(I14,K14,M14,1),_xlfn.NORM.DIST(I14,K14,M14,1))</f>
        <v>0.27484823119819857</v>
      </c>
      <c r="S14" s="32" t="str">
        <f>IF($C14=0," ",COUNTIFS($C:$C,1,R:R,"&gt;"&amp;R14)+1)</f>
        <v xml:space="preserve"> </v>
      </c>
      <c r="T14" s="6">
        <f>E14/K14</f>
        <v>244.85836578291148</v>
      </c>
      <c r="U14" s="4" t="str">
        <f>IF($C14=0," ",COUNTIFS($C:$C,1,T:T,"&lt;"&amp;T14)+1)</f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1</v>
      </c>
      <c r="D15" s="4">
        <f t="array" ref="D15">MAX(IF(Sales!B:B=A15,Sales!C:C))</f>
        <v>22</v>
      </c>
      <c r="E15" s="4">
        <f>SUMIF(Sales!B:B,A15,Sales!E:E)</f>
        <v>820</v>
      </c>
      <c r="F15" s="6">
        <f>IF($C15=0," ",COUNTIFS($C:$C,1,E:E,"&gt;"&amp;E15)+1)</f>
        <v>11</v>
      </c>
      <c r="G15" s="4">
        <f>SUMIF(Sales!B:B,A15,Sales!D:D)</f>
        <v>78</v>
      </c>
      <c r="H15" s="4">
        <f>IF($C15=0," ",COUNTIFS($C:$C,1,G:G,"&gt;"&amp;G15)+1)</f>
        <v>12</v>
      </c>
      <c r="I15" s="4">
        <f>SUMIF(Prizes!B:B,A15,Prizes!D:D)</f>
        <v>5</v>
      </c>
      <c r="J15" s="4">
        <f>IF($C15=0," ",COUNTIFS($C:$C,1,I:I,"&gt;"&amp;I15)+1)</f>
        <v>5</v>
      </c>
      <c r="K15" s="5">
        <f>SUMIF(Sales!B:B,A15,Sales!F:F)</f>
        <v>3.8228848135790381</v>
      </c>
      <c r="L15" s="6">
        <f>IF($C15=0," ",COUNTIFS($C:$C,1,K:K,"&gt;"&amp;K15)+1)</f>
        <v>10</v>
      </c>
      <c r="M15" s="5">
        <f>SQRT(SUMIF(Sales!B:B,A15,Sales!G:G))</f>
        <v>1.8313760284710376</v>
      </c>
      <c r="N15" s="5">
        <f>I15-K15</f>
        <v>1.1771151864209619</v>
      </c>
      <c r="O15" s="6">
        <f>IF($C15=0," ",COUNTIFS($C:$C,1,N:N,"&gt;"&amp;N15)+1)</f>
        <v>3</v>
      </c>
      <c r="P15" s="5">
        <f>N15/M15</f>
        <v>0.64274904122431975</v>
      </c>
      <c r="Q15" s="4">
        <f>IF($C15=0," ",COUNTIFS($C:$C,1,P:P,"&gt;"&amp;P15)+1)</f>
        <v>5</v>
      </c>
      <c r="R15" s="17">
        <f>IF(I15&gt;K15,1-_xlfn.NORM.DIST(I15,K15,M15,1),_xlfn.NORM.DIST(I15,K15,M15,1))</f>
        <v>0.26019347689390693</v>
      </c>
      <c r="S15" s="32">
        <f>IF($C15=0," ",COUNTIFS($C:$C,1,R:R,"&gt;"&amp;R15)+1)</f>
        <v>17</v>
      </c>
      <c r="T15" s="6">
        <f>E15/K15</f>
        <v>214.49770003200922</v>
      </c>
      <c r="U15" s="4">
        <f>IF($C15=0," ",COUNTIFS($C:$C,1,T:T,"&lt;"&amp;T15)+1)</f>
        <v>11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23</v>
      </c>
      <c r="E16" s="4">
        <f>SUMIF(Sales!B:B,A16,Sales!E:E)</f>
        <v>1170</v>
      </c>
      <c r="F16" s="6">
        <f>IF($C16=0," ",COUNTIFS($C:$C,1,E:E,"&gt;"&amp;E16)+1)</f>
        <v>5</v>
      </c>
      <c r="G16" s="4">
        <f>SUMIF(Sales!B:B,A16,Sales!D:D)</f>
        <v>113</v>
      </c>
      <c r="H16" s="4">
        <f>IF($C16=0," ",COUNTIFS($C:$C,1,G:G,"&gt;"&amp;G16)+1)</f>
        <v>5</v>
      </c>
      <c r="I16" s="4">
        <f>SUMIF(Prizes!B:B,A16,Prizes!D:D)</f>
        <v>8</v>
      </c>
      <c r="J16" s="4">
        <f>IF($C16=0," ",COUNTIFS($C:$C,1,I:I,"&gt;"&amp;I16)+1)</f>
        <v>2</v>
      </c>
      <c r="K16" s="5">
        <f>SUMIF(Sales!B:B,A16,Sales!F:F)</f>
        <v>5.2642561203422185</v>
      </c>
      <c r="L16" s="6">
        <f>IF($C16=0," ",COUNTIFS($C:$C,1,K:K,"&gt;"&amp;K16)+1)</f>
        <v>5</v>
      </c>
      <c r="M16" s="5">
        <f>SQRT(SUMIF(Sales!B:B,A16,Sales!G:G))</f>
        <v>2.1731157699207841</v>
      </c>
      <c r="N16" s="5">
        <f>I16-K16</f>
        <v>2.7357438796577815</v>
      </c>
      <c r="O16" s="6">
        <f>IF($C16=0," ",COUNTIFS($C:$C,1,N:N,"&gt;"&amp;N16)+1)</f>
        <v>1</v>
      </c>
      <c r="P16" s="5">
        <f>N16/M16</f>
        <v>1.258903882399927</v>
      </c>
      <c r="Q16" s="4">
        <f>IF($C16=0," ",COUNTIFS($C:$C,1,P:P,"&gt;"&amp;P16)+1)</f>
        <v>2</v>
      </c>
      <c r="R16" s="17">
        <f>IF(I16&gt;K16,1-_xlfn.NORM.DIST(I16,K16,M16,1),_xlfn.NORM.DIST(I16,K16,M16,1))</f>
        <v>0.1040325256791752</v>
      </c>
      <c r="S16" s="32">
        <f>IF($C16=0," ",COUNTIFS($C:$C,1,R:R,"&gt;"&amp;R16)+1)</f>
        <v>28</v>
      </c>
      <c r="T16" s="6">
        <f>E16/K16</f>
        <v>222.253623922071</v>
      </c>
      <c r="U16" s="4">
        <f>IF($C16=0," ",COUNTIFS($C:$C,1,T:T,"&lt;"&amp;T16)+1)</f>
        <v>18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24</v>
      </c>
      <c r="E17" s="4">
        <f>SUMIF(Sales!B:B,A17,Sales!E:E)</f>
        <v>1100</v>
      </c>
      <c r="F17" s="6">
        <f>IF($C17=0," ",COUNTIFS($C:$C,1,E:E,"&gt;"&amp;E17)+1)</f>
        <v>6</v>
      </c>
      <c r="G17" s="4">
        <f>SUMIF(Sales!B:B,A17,Sales!D:D)</f>
        <v>100</v>
      </c>
      <c r="H17" s="4">
        <f>IF($C17=0," ",COUNTIFS($C:$C,1,G:G,"&gt;"&amp;G17)+1)</f>
        <v>7</v>
      </c>
      <c r="I17" s="4">
        <f>SUMIF(Prizes!B:B,A17,Prizes!D:D)</f>
        <v>6</v>
      </c>
      <c r="J17" s="4">
        <f>IF($C17=0," ",COUNTIFS($C:$C,1,I:I,"&gt;"&amp;I17)+1)</f>
        <v>4</v>
      </c>
      <c r="K17" s="5">
        <f>SUMIF(Sales!B:B,A17,Sales!F:F)</f>
        <v>5.2416730463232062</v>
      </c>
      <c r="L17" s="6">
        <f>IF($C17=0," ",COUNTIFS($C:$C,1,K:K,"&gt;"&amp;K17)+1)</f>
        <v>6</v>
      </c>
      <c r="M17" s="5">
        <f>SQRT(SUMIF(Sales!B:B,A17,Sales!G:G))</f>
        <v>2.1583879081049071</v>
      </c>
      <c r="N17" s="5">
        <f>I17-K17</f>
        <v>0.75832695367679381</v>
      </c>
      <c r="O17" s="6">
        <f>IF($C17=0," ",COUNTIFS($C:$C,1,N:N,"&gt;"&amp;N17)+1)</f>
        <v>7</v>
      </c>
      <c r="P17" s="5">
        <f>N17/M17</f>
        <v>0.35133951169260152</v>
      </c>
      <c r="Q17" s="4">
        <f>IF($C17=0," ",COUNTIFS($C:$C,1,P:P,"&gt;"&amp;P17)+1)</f>
        <v>8</v>
      </c>
      <c r="R17" s="17">
        <f>IF(I17&gt;K17,1-_xlfn.NORM.DIST(I17,K17,M17,1),_xlfn.NORM.DIST(I17,K17,M17,1))</f>
        <v>0.36266682794985294</v>
      </c>
      <c r="S17" s="32">
        <f>IF($C17=0," ",COUNTIFS($C:$C,1,R:R,"&gt;"&amp;R17)+1)</f>
        <v>8</v>
      </c>
      <c r="T17" s="6">
        <f>E17/K17</f>
        <v>209.85666032176496</v>
      </c>
      <c r="U17" s="4">
        <f>IF($C17=0," ",COUNTIFS($C:$C,1,T:T,"&lt;"&amp;T17)+1)</f>
        <v>7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23</v>
      </c>
      <c r="E18" s="4">
        <f>SUMIF(Sales!B:B,A18,Sales!E:E)</f>
        <v>270</v>
      </c>
      <c r="F18" s="6">
        <f>IF($C18=0," ",COUNTIFS($C:$C,1,E:E,"&gt;"&amp;E18)+1)</f>
        <v>23</v>
      </c>
      <c r="G18" s="4">
        <f>SUMIF(Sales!B:B,A18,Sales!D:D)</f>
        <v>24</v>
      </c>
      <c r="H18" s="4">
        <f>IF($C18=0," ",COUNTIFS($C:$C,1,G:G,"&gt;"&amp;G18)+1)</f>
        <v>25</v>
      </c>
      <c r="I18" s="4">
        <f>SUMIF(Prizes!B:B,A18,Prizes!D:D)</f>
        <v>0</v>
      </c>
      <c r="J18" s="4">
        <f>IF($C18=0," ",COUNTIFS($C:$C,1,I:I,"&gt;"&amp;I18)+1)</f>
        <v>24</v>
      </c>
      <c r="K18" s="5">
        <f>SUMIF(Sales!B:B,A18,Sales!F:F)</f>
        <v>1.0975313272294744</v>
      </c>
      <c r="L18" s="6">
        <f>IF($C18=0," ",COUNTIFS($C:$C,1,K:K,"&gt;"&amp;K18)+1)</f>
        <v>25</v>
      </c>
      <c r="M18" s="5">
        <f>SQRT(SUMIF(Sales!B:B,A18,Sales!G:G))</f>
        <v>1.0115690860951829</v>
      </c>
      <c r="N18" s="5">
        <f>I18-K18</f>
        <v>-1.0975313272294744</v>
      </c>
      <c r="O18" s="6">
        <f>IF($C18=0," ",COUNTIFS($C:$C,1,N:N,"&gt;"&amp;N18)+1)</f>
        <v>23</v>
      </c>
      <c r="P18" s="5">
        <f>N18/M18</f>
        <v>-1.0849791104887549</v>
      </c>
      <c r="Q18" s="4">
        <f>IF($C18=0," ",COUNTIFS($C:$C,1,P:P,"&gt;"&amp;P18)+1)</f>
        <v>28</v>
      </c>
      <c r="R18" s="17">
        <f>IF(I18&gt;K18,1-_xlfn.NORM.DIST(I18,K18,M18,1),_xlfn.NORM.DIST(I18,K18,M18,1))</f>
        <v>0.13896545370290456</v>
      </c>
      <c r="S18" s="32">
        <f>IF($C18=0," ",COUNTIFS($C:$C,1,R:R,"&gt;"&amp;R18)+1)</f>
        <v>26</v>
      </c>
      <c r="T18" s="6">
        <f>E18/K18</f>
        <v>246.00664536981162</v>
      </c>
      <c r="U18" s="4">
        <f>IF($C18=0," ",COUNTIFS($C:$C,1,T:T,"&lt;"&amp;T18)+1)</f>
        <v>30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23</v>
      </c>
      <c r="E19" s="4">
        <f>SUMIF(Sales!B:B,A19,Sales!E:E)</f>
        <v>410</v>
      </c>
      <c r="F19" s="6">
        <f>IF($C19=0," ",COUNTIFS($C:$C,1,E:E,"&gt;"&amp;E19)+1)</f>
        <v>18</v>
      </c>
      <c r="G19" s="4">
        <f>SUMIF(Sales!B:B,A19,Sales!D:D)</f>
        <v>39</v>
      </c>
      <c r="H19" s="4">
        <f>IF($C19=0," ",COUNTIFS($C:$C,1,G:G,"&gt;"&amp;G19)+1)</f>
        <v>20</v>
      </c>
      <c r="I19" s="4">
        <f>SUMIF(Prizes!B:B,A19,Prizes!D:D)</f>
        <v>1</v>
      </c>
      <c r="J19" s="4">
        <f>IF($C19=0," ",COUNTIFS($C:$C,1,I:I,"&gt;"&amp;I19)+1)</f>
        <v>19</v>
      </c>
      <c r="K19" s="5">
        <f>SUMIF(Sales!B:B,A19,Sales!F:F)</f>
        <v>1.6703246855316638</v>
      </c>
      <c r="L19" s="6">
        <f>IF($C19=0," ",COUNTIFS($C:$C,1,K:K,"&gt;"&amp;K19)+1)</f>
        <v>20</v>
      </c>
      <c r="M19" s="5">
        <f>SQRT(SUMIF(Sales!B:B,A19,Sales!G:G))</f>
        <v>1.245982760280343</v>
      </c>
      <c r="N19" s="5">
        <f>I19-K19</f>
        <v>-0.6703246855316638</v>
      </c>
      <c r="O19" s="6">
        <f>IF($C19=0," ",COUNTIFS($C:$C,1,N:N,"&gt;"&amp;N19)+1)</f>
        <v>20</v>
      </c>
      <c r="P19" s="5">
        <f>N19/M19</f>
        <v>-0.5379887321882707</v>
      </c>
      <c r="Q19" s="4">
        <f>IF($C19=0," ",COUNTIFS($C:$C,1,P:P,"&gt;"&amp;P19)+1)</f>
        <v>19</v>
      </c>
      <c r="R19" s="17">
        <f>IF(I19&gt;K19,1-_xlfn.NORM.DIST(I19,K19,M19,1),_xlfn.NORM.DIST(I19,K19,M19,1))</f>
        <v>0.29529241384275995</v>
      </c>
      <c r="S19" s="32">
        <f>IF($C19=0," ",COUNTIFS($C:$C,1,R:R,"&gt;"&amp;R19)+1)</f>
        <v>13</v>
      </c>
      <c r="T19" s="6">
        <f>E19/K19</f>
        <v>245.46125885069893</v>
      </c>
      <c r="U19" s="4">
        <f>IF($C19=0," ",COUNTIFS($C:$C,1,T:T,"&lt;"&amp;T19)+1)</f>
        <v>29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>IF($C20=0," ",COUNTIFS($C:$C,1,E:E,"&gt;"&amp;E20)+1)</f>
        <v xml:space="preserve"> </v>
      </c>
      <c r="G20" s="4">
        <f>SUMIF(Sales!B:B,A20,Sales!D:D)</f>
        <v>11</v>
      </c>
      <c r="H20" s="4" t="str">
        <f>IF($C20=0," ",COUNTIFS($C:$C,1,G:G,"&gt;"&amp;G20)+1)</f>
        <v xml:space="preserve"> </v>
      </c>
      <c r="I20" s="4">
        <f>SUMIF(Prizes!B:B,A20,Prizes!D:D)</f>
        <v>1</v>
      </c>
      <c r="J20" s="4" t="str">
        <f>IF($C20=0," ",COUNTIFS($C:$C,1,I:I,"&gt;"&amp;I20)+1)</f>
        <v xml:space="preserve"> </v>
      </c>
      <c r="K20" s="5">
        <f>SUMIF(Sales!B:B,A20,Sales!F:F)</f>
        <v>0.70284369885433717</v>
      </c>
      <c r="L20" s="6" t="str">
        <f>IF($C20=0," ",COUNTIFS($C:$C,1,K:K,"&gt;"&amp;K20)+1)</f>
        <v xml:space="preserve"> </v>
      </c>
      <c r="M20" s="5">
        <f>SQRT(SUMIF(Sales!B:B,A20,Sales!G:G))</f>
        <v>0.78059289122728581</v>
      </c>
      <c r="N20" s="5">
        <f>I20-K20</f>
        <v>0.29715630114566283</v>
      </c>
      <c r="O20" s="6" t="str">
        <f>IF($C20=0," ",COUNTIFS($C:$C,1,N:N,"&gt;"&amp;N20)+1)</f>
        <v xml:space="preserve"> </v>
      </c>
      <c r="P20" s="5">
        <f>N20/M20</f>
        <v>0.38068025533573507</v>
      </c>
      <c r="Q20" s="4" t="str">
        <f>IF($C20=0," ",COUNTIFS($C:$C,1,P:P,"&gt;"&amp;P20)+1)</f>
        <v xml:space="preserve"> </v>
      </c>
      <c r="R20" s="17">
        <f>IF(I20&gt;K20,1-_xlfn.NORM.DIST(I20,K20,M20,1),_xlfn.NORM.DIST(I20,K20,M20,1))</f>
        <v>0.35172026081826924</v>
      </c>
      <c r="S20" s="32" t="str">
        <f>IF($C20=0," ",COUNTIFS($C:$C,1,R:R,"&gt;"&amp;R20)+1)</f>
        <v xml:space="preserve"> </v>
      </c>
      <c r="T20" s="6">
        <f>E20/K20</f>
        <v>213.41871634405473</v>
      </c>
      <c r="U20" s="4" t="str">
        <f>IF($C20=0," ",COUNTIFS($C:$C,1,T:T,"&lt;"&amp;T20)+1)</f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>IF($C21=0," ",COUNTIFS($C:$C,1,E:E,"&gt;"&amp;E21)+1)</f>
        <v xml:space="preserve"> </v>
      </c>
      <c r="G21" s="4">
        <f>SUMIF(Sales!B:B,A21,Sales!D:D)</f>
        <v>147</v>
      </c>
      <c r="H21" s="4" t="str">
        <f>IF($C21=0," ",COUNTIFS($C:$C,1,G:G,"&gt;"&amp;G21)+1)</f>
        <v xml:space="preserve"> </v>
      </c>
      <c r="I21" s="4">
        <f>SUMIF(Prizes!B:B,A21,Prizes!D:D)</f>
        <v>4</v>
      </c>
      <c r="J21" s="4" t="str">
        <f>IF($C21=0," ",COUNTIFS($C:$C,1,I:I,"&gt;"&amp;I21)+1)</f>
        <v xml:space="preserve"> </v>
      </c>
      <c r="K21" s="5">
        <f>SUMIF(Sales!B:B,A21,Sales!F:F)</f>
        <v>5.3872370398255942</v>
      </c>
      <c r="L21" s="6" t="str">
        <f>IF($C21=0," ",COUNTIFS($C:$C,1,K:K,"&gt;"&amp;K21)+1)</f>
        <v xml:space="preserve"> </v>
      </c>
      <c r="M21" s="5">
        <f>SQRT(SUMIF(Sales!B:B,A21,Sales!G:G))</f>
        <v>2.1480307909963821</v>
      </c>
      <c r="N21" s="5">
        <f>I21-K21</f>
        <v>-1.3872370398255942</v>
      </c>
      <c r="O21" s="6" t="str">
        <f>IF($C21=0," ",COUNTIFS($C:$C,1,N:N,"&gt;"&amp;N21)+1)</f>
        <v xml:space="preserve"> </v>
      </c>
      <c r="P21" s="5">
        <f>N21/M21</f>
        <v>-0.6458180421064228</v>
      </c>
      <c r="Q21" s="4" t="str">
        <f>IF($C21=0," ",COUNTIFS($C:$C,1,P:P,"&gt;"&amp;P21)+1)</f>
        <v xml:space="preserve"> </v>
      </c>
      <c r="R21" s="17">
        <f>IF(I21&gt;K21,1-_xlfn.NORM.DIST(I21,K21,M21,1),_xlfn.NORM.DIST(I21,K21,M21,1))</f>
        <v>0.25919860106105741</v>
      </c>
      <c r="S21" s="32" t="str">
        <f>IF($C21=0," ",COUNTIFS($C:$C,1,R:R,"&gt;"&amp;R21)+1)</f>
        <v xml:space="preserve"> </v>
      </c>
      <c r="T21" s="6">
        <f>E21/K21</f>
        <v>291.4295377006145</v>
      </c>
      <c r="U21" s="6" t="str">
        <f>IF($C21=0," ",COUNTIFS($C:$C,1,T:T,"&lt;"&amp;T21)+1)</f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0</v>
      </c>
      <c r="D22" s="4">
        <f t="array" ref="D22">MAX(IF(Sales!B:B=A22,Sales!C:C))</f>
        <v>21</v>
      </c>
      <c r="E22" s="4">
        <f>SUMIF(Sales!B:B,A22,Sales!E:E)</f>
        <v>860</v>
      </c>
      <c r="F22" s="6" t="str">
        <f>IF($C22=0," ",COUNTIFS($C:$C,1,E:E,"&gt;"&amp;E22)+1)</f>
        <v xml:space="preserve"> </v>
      </c>
      <c r="G22" s="4">
        <f>SUMIF(Sales!B:B,A22,Sales!D:D)</f>
        <v>85</v>
      </c>
      <c r="H22" s="4" t="str">
        <f>IF($C22=0," ",COUNTIFS($C:$C,1,G:G,"&gt;"&amp;G22)+1)</f>
        <v xml:space="preserve"> </v>
      </c>
      <c r="I22" s="4">
        <f>SUMIF(Prizes!B:B,A22,Prizes!D:D)</f>
        <v>6</v>
      </c>
      <c r="J22" s="4" t="str">
        <f>IF($C22=0," ",COUNTIFS($C:$C,1,I:I,"&gt;"&amp;I22)+1)</f>
        <v xml:space="preserve"> </v>
      </c>
      <c r="K22" s="5">
        <f>SUMIF(Sales!B:B,A22,Sales!F:F)</f>
        <v>3.8059384171605499</v>
      </c>
      <c r="L22" s="6" t="str">
        <f>IF($C22=0," ",COUNTIFS($C:$C,1,K:K,"&gt;"&amp;K22)+1)</f>
        <v xml:space="preserve"> </v>
      </c>
      <c r="M22" s="5">
        <f>SQRT(SUMIF(Sales!B:B,A22,Sales!G:G))</f>
        <v>1.8697596112891726</v>
      </c>
      <c r="N22" s="5">
        <f>I22-K22</f>
        <v>2.1940615828394501</v>
      </c>
      <c r="O22" s="6" t="str">
        <f>IF($C22=0," ",COUNTIFS($C:$C,1,N:N,"&gt;"&amp;N22)+1)</f>
        <v xml:space="preserve"> </v>
      </c>
      <c r="P22" s="5">
        <f>N22/M22</f>
        <v>1.1734458106765264</v>
      </c>
      <c r="Q22" s="4" t="str">
        <f>IF($C22=0," ",COUNTIFS($C:$C,1,P:P,"&gt;"&amp;P22)+1)</f>
        <v xml:space="preserve"> </v>
      </c>
      <c r="R22" s="17">
        <f>IF(I22&gt;K22,1-_xlfn.NORM.DIST(I22,K22,M22,1),_xlfn.NORM.DIST(I22,K22,M22,1))</f>
        <v>0.12030853778064177</v>
      </c>
      <c r="S22" s="32" t="str">
        <f>IF($C22=0," ",COUNTIFS($C:$C,1,R:R,"&gt;"&amp;R22)+1)</f>
        <v xml:space="preserve"> </v>
      </c>
      <c r="T22" s="6">
        <f>E22/K22</f>
        <v>225.96266826661102</v>
      </c>
      <c r="U22" s="4" t="str">
        <f>IF($C22=0," ",COUNTIFS($C:$C,1,T:T,"&lt;"&amp;T22)+1)</f>
        <v xml:space="preserve"> 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>IF($C23=0," ",COUNTIFS($C:$C,1,E:E,"&gt;"&amp;E23)+1)</f>
        <v xml:space="preserve"> </v>
      </c>
      <c r="G23" s="4">
        <f>SUMIF(Sales!B:B,A23,Sales!D:D)</f>
        <v>15</v>
      </c>
      <c r="H23" s="4" t="str">
        <f>IF($C23=0," ",COUNTIFS($C:$C,1,G:G,"&gt;"&amp;G23)+1)</f>
        <v xml:space="preserve"> </v>
      </c>
      <c r="I23" s="4">
        <f>SUMIF(Prizes!B:B,A23,Prizes!D:D)</f>
        <v>1</v>
      </c>
      <c r="J23" s="4" t="str">
        <f>IF($C23=0," ",COUNTIFS($C:$C,1,I:I,"&gt;"&amp;I23)+1)</f>
        <v xml:space="preserve"> </v>
      </c>
      <c r="K23" s="5">
        <f>SUMIF(Sales!B:B,A23,Sales!F:F)</f>
        <v>0.63164893617021267</v>
      </c>
      <c r="L23" s="6" t="str">
        <f>IF($C23=0," ",COUNTIFS($C:$C,1,K:K,"&gt;"&amp;K23)+1)</f>
        <v xml:space="preserve"> </v>
      </c>
      <c r="M23" s="5">
        <f>SQRT(SUMIF(Sales!B:B,A23,Sales!G:G))</f>
        <v>0.75810728959235163</v>
      </c>
      <c r="N23" s="5">
        <f>I23-K23</f>
        <v>0.36835106382978733</v>
      </c>
      <c r="O23" s="6" t="str">
        <f>IF($C23=0," ",COUNTIFS($C:$C,1,N:N,"&gt;"&amp;N23)+1)</f>
        <v xml:space="preserve"> </v>
      </c>
      <c r="P23" s="5">
        <f>N23/M23</f>
        <v>0.4858824982778579</v>
      </c>
      <c r="Q23" s="4" t="str">
        <f>IF($C23=0," ",COUNTIFS($C:$C,1,P:P,"&gt;"&amp;P23)+1)</f>
        <v xml:space="preserve"> </v>
      </c>
      <c r="R23" s="17">
        <f>IF(I23&gt;K23,1-_xlfn.NORM.DIST(I23,K23,M23,1),_xlfn.NORM.DIST(I23,K23,M23,1))</f>
        <v>0.31352523895390516</v>
      </c>
      <c r="S23" s="32" t="str">
        <f>IF($C23=0," ",COUNTIFS($C:$C,1,R:R,"&gt;"&amp;R23)+1)</f>
        <v xml:space="preserve"> </v>
      </c>
      <c r="T23" s="6">
        <f>E23/K23</f>
        <v>316.6315789473685</v>
      </c>
      <c r="U23" s="4" t="str">
        <f>IF($C23=0," ",COUNTIFS($C:$C,1,T:T,"&lt;"&amp;T23)+1)</f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>IF($C24=0," ",COUNTIFS($C:$C,1,E:E,"&gt;"&amp;E24)+1)</f>
        <v xml:space="preserve"> </v>
      </c>
      <c r="G24" s="4">
        <f>SUMIF(Sales!B:B,A24,Sales!D:D)</f>
        <v>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0.54326923076923084</v>
      </c>
      <c r="L24" s="6" t="str">
        <f>IF($C24=0," ",COUNTIFS($C:$C,1,K:K,"&gt;"&amp;K24)+1)</f>
        <v xml:space="preserve"> </v>
      </c>
      <c r="M24" s="5">
        <f>SQRT(SUMIF(Sales!B:B,A24,Sales!G:G))</f>
        <v>0.67686632105875888</v>
      </c>
      <c r="N24" s="5">
        <f>I24-K24</f>
        <v>0.45673076923076916</v>
      </c>
      <c r="O24" s="6" t="str">
        <f>IF($C24=0," ",COUNTIFS($C:$C,1,N:N,"&gt;"&amp;N24)+1)</f>
        <v xml:space="preserve"> </v>
      </c>
      <c r="P24" s="5">
        <f>N24/M24</f>
        <v>0.67477248464120332</v>
      </c>
      <c r="Q24" s="4" t="str">
        <f>IF($C24=0," ",COUNTIFS($C:$C,1,P:P,"&gt;"&amp;P24)+1)</f>
        <v xml:space="preserve"> </v>
      </c>
      <c r="R24" s="17">
        <f>IF(I24&gt;K24,1-_xlfn.NORM.DIST(I24,K24,M24,1),_xlfn.NORM.DIST(I24,K24,M24,1))</f>
        <v>0.24991016218462114</v>
      </c>
      <c r="S24" s="32" t="str">
        <f>IF($C24=0," ",COUNTIFS($C:$C,1,R:R,"&gt;"&amp;R24)+1)</f>
        <v xml:space="preserve"> </v>
      </c>
      <c r="T24" s="6">
        <f>E24/K24</f>
        <v>184.07079646017698</v>
      </c>
      <c r="U24" s="4" t="str">
        <f>IF($C24=0," ",COUNTIFS($C:$C,1,T:T,"&lt;"&amp;T24)+1)</f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>IF($C25=0," ",COUNTIFS($C:$C,1,E:E,"&gt;"&amp;E25)+1)</f>
        <v xml:space="preserve"> </v>
      </c>
      <c r="G25" s="4">
        <f>SUMIF(Sales!B:B,A25,Sales!D:D)</f>
        <v>75</v>
      </c>
      <c r="H25" s="4" t="str">
        <f>IF($C25=0," ",COUNTIFS($C:$C,1,G:G,"&gt;"&amp;G25)+1)</f>
        <v xml:space="preserve"> </v>
      </c>
      <c r="I25" s="4">
        <f>SUMIF(Prizes!B:B,A25,Prizes!D:D)</f>
        <v>4</v>
      </c>
      <c r="J25" s="4" t="str">
        <f>IF($C25=0," ",COUNTIFS($C:$C,1,I:I,"&gt;"&amp;I25)+1)</f>
        <v xml:space="preserve"> </v>
      </c>
      <c r="K25" s="5">
        <f>SUMIF(Sales!B:B,A25,Sales!F:F)</f>
        <v>2.9991021425331783</v>
      </c>
      <c r="L25" s="6" t="str">
        <f>IF($C25=0," ",COUNTIFS($C:$C,1,K:K,"&gt;"&amp;K25)+1)</f>
        <v xml:space="preserve"> </v>
      </c>
      <c r="M25" s="5">
        <f>SQRT(SUMIF(Sales!B:B,A25,Sales!G:G))</f>
        <v>1.640793642686911</v>
      </c>
      <c r="N25" s="5">
        <f>I25-K25</f>
        <v>1.0008978574668217</v>
      </c>
      <c r="O25" s="6" t="str">
        <f>IF($C25=0," ",COUNTIFS($C:$C,1,N:N,"&gt;"&amp;N25)+1)</f>
        <v xml:space="preserve"> </v>
      </c>
      <c r="P25" s="5">
        <f>N25/M25</f>
        <v>0.61000837120979057</v>
      </c>
      <c r="Q25" s="4" t="str">
        <f>IF($C25=0," ",COUNTIFS($C:$C,1,P:P,"&gt;"&amp;P25)+1)</f>
        <v xml:space="preserve"> </v>
      </c>
      <c r="R25" s="17">
        <f>IF(I25&gt;K25,1-_xlfn.NORM.DIST(I25,K25,M25,1),_xlfn.NORM.DIST(I25,K25,M25,1))</f>
        <v>0.27092813112251135</v>
      </c>
      <c r="S25" s="32" t="str">
        <f>IF($C25=0," ",COUNTIFS($C:$C,1,R:R,"&gt;"&amp;R25)+1)</f>
        <v xml:space="preserve"> </v>
      </c>
      <c r="T25" s="6">
        <f>E25/K25</f>
        <v>266.74650011229147</v>
      </c>
      <c r="U25" s="4" t="str">
        <f>IF($C25=0," ",COUNTIFS($C:$C,1,T:T,"&lt;"&amp;T25)+1)</f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>IF($C26=0," ",COUNTIFS($C:$C,1,E:E,"&gt;"&amp;E26)+1)</f>
        <v>10</v>
      </c>
      <c r="G26" s="4">
        <f>SUMIF(Sales!B:B,A26,Sales!D:D)</f>
        <v>81</v>
      </c>
      <c r="H26" s="4">
        <f>IF($C26=0," ",COUNTIFS($C:$C,1,G:G,"&gt;"&amp;G26)+1)</f>
        <v>10</v>
      </c>
      <c r="I26" s="4">
        <f>SUMIF(Prizes!B:B,A26,Prizes!D:D)</f>
        <v>1</v>
      </c>
      <c r="J26" s="4">
        <f>IF($C26=0," ",COUNTIFS($C:$C,1,I:I,"&gt;"&amp;I26)+1)</f>
        <v>19</v>
      </c>
      <c r="K26" s="5">
        <f>SUMIF(Sales!B:B,A26,Sales!F:F)</f>
        <v>3.4203082743728253</v>
      </c>
      <c r="L26" s="6">
        <f>IF($C26=0," ",COUNTIFS($C:$C,1,K:K,"&gt;"&amp;K26)+1)</f>
        <v>13</v>
      </c>
      <c r="M26" s="5">
        <f>SQRT(SUMIF(Sales!B:B,A26,Sales!G:G))</f>
        <v>1.7553836370630092</v>
      </c>
      <c r="N26" s="5">
        <f>I26-K26</f>
        <v>-2.4203082743728253</v>
      </c>
      <c r="O26" s="6">
        <f>IF($C26=0," ",COUNTIFS($C:$C,1,N:N,"&gt;"&amp;N26)+1)</f>
        <v>30</v>
      </c>
      <c r="P26" s="5">
        <f>N26/M26</f>
        <v>-1.3787916346436517</v>
      </c>
      <c r="Q26" s="4">
        <f>IF($C26=0," ",COUNTIFS($C:$C,1,P:P,"&gt;"&amp;P26)+1)</f>
        <v>31</v>
      </c>
      <c r="R26" s="17">
        <f>IF(I26&gt;K26,1-_xlfn.NORM.DIST(I26,K26,M26,1),_xlfn.NORM.DIST(I26,K26,M26,1))</f>
        <v>8.3979503335431097E-2</v>
      </c>
      <c r="S26" s="32">
        <f>IF($C26=0," ",COUNTIFS($C:$C,1,R:R,"&gt;"&amp;R26)+1)</f>
        <v>31</v>
      </c>
      <c r="T26" s="6">
        <f>E26/K26</f>
        <v>248.51561082044944</v>
      </c>
      <c r="U26" s="4">
        <f>IF($C26=0," ",COUNTIFS($C:$C,1,T:T,"&lt;"&amp;T26)+1)</f>
        <v>31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>IF($C27=0," ",COUNTIFS($C:$C,1,E:E,"&gt;"&amp;E27)+1)</f>
        <v xml:space="preserve"> </v>
      </c>
      <c r="G27" s="4">
        <f>SUMIF(Sales!B:B,A27,Sales!D:D)</f>
        <v>2</v>
      </c>
      <c r="H27" s="4" t="str">
        <f>IF($C27=0," ",COUNTIFS($C:$C,1,G:G,"&gt;"&amp;G27)+1)</f>
        <v xml:space="preserve"> </v>
      </c>
      <c r="I27" s="4">
        <f>SUMIF(Prizes!B:B,A27,Prizes!D:D)</f>
        <v>0</v>
      </c>
      <c r="J27" s="4" t="str">
        <f>IF($C27=0," ",COUNTIFS($C:$C,1,I:I,"&gt;"&amp;I27)+1)</f>
        <v xml:space="preserve"> </v>
      </c>
      <c r="K27" s="5">
        <f>SUMIF(Sales!B:B,A27,Sales!F:F)</f>
        <v>6.3829787234042548E-2</v>
      </c>
      <c r="L27" s="6" t="str">
        <f>IF($C27=0," ",COUNTIFS($C:$C,1,K:K,"&gt;"&amp;K27)+1)</f>
        <v xml:space="preserve"> </v>
      </c>
      <c r="M27" s="5">
        <f>SQRT(SUMIF(Sales!B:B,A27,Sales!G:G))</f>
        <v>0.24791576048881739</v>
      </c>
      <c r="N27" s="5">
        <f>I27-K27</f>
        <v>-6.3829787234042548E-2</v>
      </c>
      <c r="O27" s="6" t="str">
        <f>IF($C27=0," ",COUNTIFS($C:$C,1,N:N,"&gt;"&amp;N27)+1)</f>
        <v xml:space="preserve"> </v>
      </c>
      <c r="P27" s="5">
        <f>N27/M27</f>
        <v>-0.25746562908380199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0.39840967257938792</v>
      </c>
      <c r="S27" s="32" t="str">
        <f>IF($C27=0," ",COUNTIFS($C:$C,1,R:R,"&gt;"&amp;R27)+1)</f>
        <v xml:space="preserve"> </v>
      </c>
      <c r="T27" s="6">
        <f>E27/K27</f>
        <v>313.33333333333337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>IF($C28=0," ",COUNTIFS($C:$C,1,E:E,"&gt;"&amp;E28)+1)</f>
        <v xml:space="preserve"> </v>
      </c>
      <c r="G28" s="4">
        <f>SUMIF(Sales!B:B,A28,Sales!D:D)</f>
        <v>10</v>
      </c>
      <c r="H28" s="4" t="str">
        <f>IF($C28=0," ",COUNTIFS($C:$C,1,G:G,"&gt;"&amp;G28)+1)</f>
        <v xml:space="preserve"> </v>
      </c>
      <c r="I28" s="4">
        <f>SUMIF(Prizes!B:B,A28,Prizes!D:D)</f>
        <v>0</v>
      </c>
      <c r="J28" s="4" t="str">
        <f>IF($C28=0," ",COUNTIFS($C:$C,1,I:I,"&gt;"&amp;I28)+1)</f>
        <v xml:space="preserve"> </v>
      </c>
      <c r="K28" s="5">
        <f>SUMIF(Sales!B:B,A28,Sales!F:F)</f>
        <v>0.31914893617021273</v>
      </c>
      <c r="L28" s="6" t="str">
        <f>IF($C28=0," ",COUNTIFS($C:$C,1,K:K,"&gt;"&amp;K28)+1)</f>
        <v xml:space="preserve"> </v>
      </c>
      <c r="M28" s="5">
        <f>SQRT(SUMIF(Sales!B:B,A28,Sales!G:G))</f>
        <v>0.54230382522055953</v>
      </c>
      <c r="N28" s="5">
        <f>I28-K28</f>
        <v>-0.31914893617021273</v>
      </c>
      <c r="O28" s="6" t="str">
        <f>IF($C28=0," ",COUNTIFS($C:$C,1,N:N,"&gt;"&amp;N28)+1)</f>
        <v xml:space="preserve"> </v>
      </c>
      <c r="P28" s="5">
        <f>N28/M28</f>
        <v>-0.58850578094375816</v>
      </c>
      <c r="Q28" s="4" t="str">
        <f>IF($C28=0," ",COUNTIFS($C:$C,1,P:P,"&gt;"&amp;P28)+1)</f>
        <v xml:space="preserve"> </v>
      </c>
      <c r="R28" s="17">
        <f>IF(I28&gt;K28,1-_xlfn.NORM.DIST(I28,K28,M28,1),_xlfn.NORM.DIST(I28,K28,M28,1))</f>
        <v>0.27809642736849838</v>
      </c>
      <c r="S28" s="32" t="str">
        <f>IF($C28=0," ",COUNTIFS($C:$C,1,R:R,"&gt;"&amp;R28)+1)</f>
        <v xml:space="preserve"> </v>
      </c>
      <c r="T28" s="6">
        <f>E28/K28</f>
        <v>313.33333333333337</v>
      </c>
      <c r="U28" s="6" t="str">
        <f>IF($C28=0," ",COUNTIFS($C:$C,1,T:T,"&lt;"&amp;T28)+1)</f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144</v>
      </c>
      <c r="C29" s="4">
        <v>1</v>
      </c>
      <c r="D29" s="4">
        <f t="array" ref="D29">MAX(IF(Sales!B:B=A29,Sales!C:C))</f>
        <v>23</v>
      </c>
      <c r="E29" s="4">
        <f>SUMIF(Sales!B:B,A29,Sales!E:E)</f>
        <v>200</v>
      </c>
      <c r="F29" s="6">
        <f>IF($C29=0," ",COUNTIFS($C:$C,1,E:E,"&gt;"&amp;E29)+1)</f>
        <v>26</v>
      </c>
      <c r="G29" s="4">
        <f>SUMIF(Sales!B:B,A29,Sales!D:D)</f>
        <v>21</v>
      </c>
      <c r="H29" s="4">
        <f>IF($C29=0," ",COUNTIFS($C:$C,1,G:G,"&gt;"&amp;G29)+1)</f>
        <v>26</v>
      </c>
      <c r="I29" s="4">
        <f>SUMIF(Prizes!B:B,A29,Prizes!D:D)</f>
        <v>0</v>
      </c>
      <c r="J29" s="4">
        <f>IF($C29=0," ",COUNTIFS($C:$C,1,I:I,"&gt;"&amp;I29)+1)</f>
        <v>24</v>
      </c>
      <c r="K29" s="5">
        <f>SUMIF(Sales!B:B,A29,Sales!F:F)</f>
        <v>1.0028280542986425</v>
      </c>
      <c r="L29" s="6">
        <f>IF($C29=0," ",COUNTIFS($C:$C,1,K:K,"&gt;"&amp;K29)+1)</f>
        <v>26</v>
      </c>
      <c r="M29" s="5">
        <f>SQRT(SUMIF(Sales!B:B,A29,Sales!G:G))</f>
        <v>0.94355811600163075</v>
      </c>
      <c r="N29" s="5">
        <f>I29-K29</f>
        <v>-1.0028280542986425</v>
      </c>
      <c r="O29" s="6">
        <f>IF($C29=0," ",COUNTIFS($C:$C,1,N:N,"&gt;"&amp;N29)+1)</f>
        <v>21</v>
      </c>
      <c r="P29" s="5">
        <f>N29/M29</f>
        <v>-1.062815355293822</v>
      </c>
      <c r="Q29" s="4">
        <f>IF($C29=0," ",COUNTIFS($C:$C,1,P:P,"&gt;"&amp;P29)+1)</f>
        <v>26</v>
      </c>
      <c r="R29" s="17">
        <f>IF(I29&gt;K29,1-_xlfn.NORM.DIST(I29,K29,M29,1),_xlfn.NORM.DIST(I29,K29,M29,1))</f>
        <v>0.14393284730129777</v>
      </c>
      <c r="S29" s="32">
        <f>IF($C29=0," ",COUNTIFS($C:$C,1,R:R,"&gt;"&amp;R29)+1)</f>
        <v>24</v>
      </c>
      <c r="T29" s="6">
        <f>E29/K29</f>
        <v>199.43598420755782</v>
      </c>
      <c r="U29" s="4">
        <f>IF($C29=0," ",COUNTIFS($C:$C,1,T:T,"&lt;"&amp;T29)+1)</f>
        <v>4</v>
      </c>
      <c r="V29" s="4"/>
      <c r="X29" s="4"/>
      <c r="Y29" s="4"/>
    </row>
    <row r="30" spans="1:25" x14ac:dyDescent="0.25">
      <c r="A30" s="4">
        <v>28</v>
      </c>
      <c r="B30" s="4" t="s">
        <v>35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>IF($C30=0," ",COUNTIFS($C:$C,1,E:E,"&gt;"&amp;E30)+1)</f>
        <v xml:space="preserve"> </v>
      </c>
      <c r="G30" s="4">
        <f>SUMIF(Sales!B:B,A30,Sales!D:D)</f>
        <v>24</v>
      </c>
      <c r="H30" s="4" t="str">
        <f>IF($C30=0," ",COUNTIFS($C:$C,1,G:G,"&gt;"&amp;G30)+1)</f>
        <v xml:space="preserve"> </v>
      </c>
      <c r="I30" s="4">
        <f>SUMIF(Prizes!B:B,A30,Prizes!D:D)</f>
        <v>0</v>
      </c>
      <c r="J30" s="4" t="str">
        <f>IF($C30=0," ",COUNTIFS($C:$C,1,I:I,"&gt;"&amp;I30)+1)</f>
        <v xml:space="preserve"> </v>
      </c>
      <c r="K30" s="5">
        <f>SUMIF(Sales!B:B,A30,Sales!F:F)</f>
        <v>0.7941427895328429</v>
      </c>
      <c r="L30" s="6" t="str">
        <f>IF($C30=0," ",COUNTIFS($C:$C,1,K:K,"&gt;"&amp;K30)+1)</f>
        <v xml:space="preserve"> </v>
      </c>
      <c r="M30" s="5">
        <f>SQRT(SUMIF(Sales!B:B,A30,Sales!G:G))</f>
        <v>0.86060092285446455</v>
      </c>
      <c r="N30" s="5">
        <f>I30-K30</f>
        <v>-0.7941427895328429</v>
      </c>
      <c r="O30" s="6" t="str">
        <f>IF($C30=0," ",COUNTIFS($C:$C,1,N:N,"&gt;"&amp;N30)+1)</f>
        <v xml:space="preserve"> </v>
      </c>
      <c r="P30" s="5">
        <f>N30/M30</f>
        <v>-0.92277706012539296</v>
      </c>
      <c r="Q30" s="4" t="str">
        <f>IF($C30=0," ",COUNTIFS($C:$C,1,P:P,"&gt;"&amp;P30)+1)</f>
        <v xml:space="preserve"> </v>
      </c>
      <c r="R30" s="17">
        <f>IF(I30&gt;K30,1-_xlfn.NORM.DIST(I30,K30,M30,1),_xlfn.NORM.DIST(I30,K30,M30,1))</f>
        <v>0.17806169891377793</v>
      </c>
      <c r="S30" s="32" t="str">
        <f>IF($C30=0," ",COUNTIFS($C:$C,1,R:R,"&gt;"&amp;R30)+1)</f>
        <v xml:space="preserve"> </v>
      </c>
      <c r="T30" s="6">
        <f>E30/K30</f>
        <v>302.21265389966049</v>
      </c>
      <c r="U30" s="6" t="str">
        <f>IF($C30=0," ",COUNTIFS($C:$C,1,T:T,"&lt;"&amp;T30)+1)</f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131</v>
      </c>
      <c r="C31" s="4">
        <v>1</v>
      </c>
      <c r="D31" s="4">
        <f t="array" ref="D31">MAX(IF(Sales!B:B=A31,Sales!C:C))</f>
        <v>24</v>
      </c>
      <c r="E31" s="4">
        <f>SUMIF(Sales!B:B,A31,Sales!E:E)</f>
        <v>1300</v>
      </c>
      <c r="F31" s="6">
        <f>IF($C31=0," ",COUNTIFS($C:$C,1,E:E,"&gt;"&amp;E31)+1)</f>
        <v>4</v>
      </c>
      <c r="G31" s="4">
        <f>SUMIF(Sales!B:B,A31,Sales!D:D)</f>
        <v>131</v>
      </c>
      <c r="H31" s="4">
        <f>IF($C31=0," ",COUNTIFS($C:$C,1,G:G,"&gt;"&amp;G31)+1)</f>
        <v>4</v>
      </c>
      <c r="I31" s="4">
        <f>SUMIF(Prizes!B:B,A31,Prizes!D:D)</f>
        <v>4</v>
      </c>
      <c r="J31" s="4">
        <f>IF($C31=0," ",COUNTIFS($C:$C,1,I:I,"&gt;"&amp;I31)+1)</f>
        <v>7</v>
      </c>
      <c r="K31" s="5">
        <f>SUMIF(Sales!B:B,A31,Sales!F:F)</f>
        <v>5.6690896706130403</v>
      </c>
      <c r="L31" s="6">
        <f>IF($C31=0," ",COUNTIFS($C:$C,1,K:K,"&gt;"&amp;K31)+1)</f>
        <v>4</v>
      </c>
      <c r="M31" s="5">
        <f>SQRT(SUMIF(Sales!B:B,A31,Sales!G:G))</f>
        <v>2.2482098819155825</v>
      </c>
      <c r="N31" s="5">
        <f>I31-K31</f>
        <v>-1.6690896706130403</v>
      </c>
      <c r="O31" s="6">
        <f>IF($C31=0," ",COUNTIFS($C:$C,1,N:N,"&gt;"&amp;N31)+1)</f>
        <v>28</v>
      </c>
      <c r="P31" s="5">
        <f>N31/M31</f>
        <v>-0.74240829739209935</v>
      </c>
      <c r="Q31" s="4">
        <f>IF($C31=0," ",COUNTIFS($C:$C,1,P:P,"&gt;"&amp;P31)+1)</f>
        <v>23</v>
      </c>
      <c r="R31" s="17">
        <f>IF(I31&gt;K31,1-_xlfn.NORM.DIST(I31,K31,M31,1),_xlfn.NORM.DIST(I31,K31,M31,1))</f>
        <v>0.22891999692444598</v>
      </c>
      <c r="S31" s="32">
        <f>IF($C31=0," ",COUNTIFS($C:$C,1,R:R,"&gt;"&amp;R31)+1)</f>
        <v>19</v>
      </c>
      <c r="T31" s="6">
        <f>E31/K31</f>
        <v>229.31371270044164</v>
      </c>
      <c r="U31" s="4">
        <f>IF($C31=0," ",COUNTIFS($C:$C,1,T:T,"&lt;"&amp;T31)+1)</f>
        <v>23</v>
      </c>
      <c r="V31" s="4"/>
      <c r="X31" s="4"/>
      <c r="Y31" s="4"/>
    </row>
    <row r="32" spans="1:25" x14ac:dyDescent="0.25">
      <c r="A32" s="4">
        <v>30</v>
      </c>
      <c r="B32" s="4" t="s">
        <v>36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>IF($C32=0," ",COUNTIFS($C:$C,1,E:E,"&gt;"&amp;E32)+1)</f>
        <v xml:space="preserve"> </v>
      </c>
      <c r="G32" s="4">
        <f>SUMIF(Sales!B:B,A32,Sales!D:D)</f>
        <v>5</v>
      </c>
      <c r="H32" s="4" t="str">
        <f>IF($C32=0," ",COUNTIFS($C:$C,1,G:G,"&gt;"&amp;G32)+1)</f>
        <v xml:space="preserve"> </v>
      </c>
      <c r="I32" s="4">
        <f>SUMIF(Prizes!B:B,A32,Prizes!D:D)</f>
        <v>0</v>
      </c>
      <c r="J32" s="4" t="str">
        <f>IF($C32=0," ",COUNTIFS($C:$C,1,I:I,"&gt;"&amp;I32)+1)</f>
        <v xml:space="preserve"> </v>
      </c>
      <c r="K32" s="5">
        <f>SUMIF(Sales!B:B,A32,Sales!F:F)</f>
        <v>0.20833333333333331</v>
      </c>
      <c r="L32" s="6" t="str">
        <f>IF($C32=0," ",COUNTIFS($C:$C,1,K:K,"&gt;"&amp;K32)+1)</f>
        <v xml:space="preserve"> </v>
      </c>
      <c r="M32" s="5">
        <f>SQRT(SUMIF(Sales!B:B,A32,Sales!G:G))</f>
        <v>0.43925136315935126</v>
      </c>
      <c r="N32" s="5">
        <f>I32-K32</f>
        <v>-0.20833333333333331</v>
      </c>
      <c r="O32" s="6" t="str">
        <f>IF($C32=0," ",COUNTIFS($C:$C,1,N:N,"&gt;"&amp;N32)+1)</f>
        <v xml:space="preserve"> </v>
      </c>
      <c r="P32" s="5">
        <f>N32/M32</f>
        <v>-0.47429183107111794</v>
      </c>
      <c r="Q32" s="4" t="str">
        <f>IF($C32=0," ",COUNTIFS($C:$C,1,P:P,"&gt;"&amp;P32)+1)</f>
        <v xml:space="preserve"> </v>
      </c>
      <c r="R32" s="17">
        <f>IF(I32&gt;K32,1-_xlfn.NORM.DIST(I32,K32,M32,1),_xlfn.NORM.DIST(I32,K32,M32,1))</f>
        <v>0.31764590799841352</v>
      </c>
      <c r="S32" s="32" t="str">
        <f>IF($C32=0," ",COUNTIFS($C:$C,1,R:R,"&gt;"&amp;R32)+1)</f>
        <v xml:space="preserve"> </v>
      </c>
      <c r="T32" s="6">
        <f>E32/K32</f>
        <v>240.00000000000003</v>
      </c>
      <c r="U32" s="6" t="str">
        <f>IF($C32=0," ",COUNTIFS($C:$C,1,T:T,"&lt;"&amp;T32)+1)</f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37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>IF($C33=0," ",COUNTIFS($C:$C,1,E:E,"&gt;"&amp;E33)+1)</f>
        <v xml:space="preserve"> </v>
      </c>
      <c r="G33" s="4">
        <f>SUMIF(Sales!B:B,A33,Sales!D:D)</f>
        <v>16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0.68315789473684219</v>
      </c>
      <c r="L33" s="6" t="str">
        <f>IF($C33=0," ",COUNTIFS($C:$C,1,K:K,"&gt;"&amp;K33)+1)</f>
        <v xml:space="preserve"> </v>
      </c>
      <c r="M33" s="5">
        <f>SQRT(SUMIF(Sales!B:B,A33,Sales!G:G))</f>
        <v>0.79496113990168826</v>
      </c>
      <c r="N33" s="5">
        <f>I33-K33</f>
        <v>0.31684210526315781</v>
      </c>
      <c r="O33" s="6" t="str">
        <f>IF($C33=0," ",COUNTIFS($C:$C,1,N:N,"&gt;"&amp;N33)+1)</f>
        <v xml:space="preserve"> </v>
      </c>
      <c r="P33" s="5">
        <f>N33/M33</f>
        <v>0.39856301064268529</v>
      </c>
      <c r="Q33" s="4" t="str">
        <f>IF($C33=0," ",COUNTIFS($C:$C,1,P:P,"&gt;"&amp;P33)+1)</f>
        <v xml:space="preserve"> </v>
      </c>
      <c r="R33" s="17">
        <f>IF(I33&gt;K33,1-_xlfn.NORM.DIST(I33,K33,M33,1),_xlfn.NORM.DIST(I33,K33,M33,1))</f>
        <v>0.34510761059987882</v>
      </c>
      <c r="S33" s="32" t="str">
        <f>IF($C33=0," ",COUNTIFS($C:$C,1,R:R,"&gt;"&amp;R33)+1)</f>
        <v xml:space="preserve"> </v>
      </c>
      <c r="T33" s="6">
        <f>E33/K33</f>
        <v>234.20647149460706</v>
      </c>
      <c r="U33" s="6" t="str">
        <f>IF($C33=0," ",COUNTIFS($C:$C,1,T:T,"&lt;"&amp;T33)+1)</f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38</v>
      </c>
      <c r="C34" s="4">
        <v>1</v>
      </c>
      <c r="D34" s="4">
        <f t="array" ref="D34">MAX(IF(Sales!B:B=A34,Sales!C:C))</f>
        <v>23</v>
      </c>
      <c r="E34" s="4">
        <f>SUMIF(Sales!B:B,A34,Sales!E:E)</f>
        <v>920</v>
      </c>
      <c r="F34" s="6">
        <f>IF($C34=0," ",COUNTIFS($C:$C,1,E:E,"&gt;"&amp;E34)+1)</f>
        <v>8</v>
      </c>
      <c r="G34" s="4">
        <f>SUMIF(Sales!B:B,A34,Sales!D:D)</f>
        <v>93</v>
      </c>
      <c r="H34" s="4">
        <f>IF($C34=0," ",COUNTIFS($C:$C,1,G:G,"&gt;"&amp;G34)+1)</f>
        <v>8</v>
      </c>
      <c r="I34" s="4">
        <f>SUMIF(Prizes!B:B,A34,Prizes!D:D)</f>
        <v>4</v>
      </c>
      <c r="J34" s="4">
        <f>IF($C34=0," ",COUNTIFS($C:$C,1,I:I,"&gt;"&amp;I34)+1)</f>
        <v>7</v>
      </c>
      <c r="K34" s="5">
        <f>SUMIF(Sales!B:B,A34,Sales!F:F)</f>
        <v>3.822081618775643</v>
      </c>
      <c r="L34" s="6">
        <f>IF($C34=0," ",COUNTIFS($C:$C,1,K:K,"&gt;"&amp;K34)+1)</f>
        <v>11</v>
      </c>
      <c r="M34" s="5">
        <f>SQRT(SUMIF(Sales!B:B,A34,Sales!G:G))</f>
        <v>1.8503553355302729</v>
      </c>
      <c r="N34" s="5">
        <f>I34-K34</f>
        <v>0.17791838122435699</v>
      </c>
      <c r="O34" s="6">
        <f>IF($C34=0," ",COUNTIFS($C:$C,1,N:N,"&gt;"&amp;N34)+1)</f>
        <v>11</v>
      </c>
      <c r="P34" s="5">
        <f>N34/M34</f>
        <v>9.6153629418086514E-2</v>
      </c>
      <c r="Q34" s="4">
        <f>IF($C34=0," ",COUNTIFS($C:$C,1,P:P,"&gt;"&amp;P34)+1)</f>
        <v>12</v>
      </c>
      <c r="R34" s="17">
        <f>IF(I34&gt;K34,1-_xlfn.NORM.DIST(I34,K34,M34,1),_xlfn.NORM.DIST(I34,K34,M34,1))</f>
        <v>0.46169927923283227</v>
      </c>
      <c r="S34" s="32">
        <f>IF($C34=0," ",COUNTIFS($C:$C,1,R:R,"&gt;"&amp;R34)+1)</f>
        <v>3</v>
      </c>
      <c r="T34" s="6">
        <f>E34/K34</f>
        <v>240.70652899733489</v>
      </c>
      <c r="U34" s="4">
        <f>IF($C34=0," ",COUNTIFS($C:$C,1,T:T,"&lt;"&amp;T34)+1)</f>
        <v>27</v>
      </c>
      <c r="V34" s="4"/>
      <c r="X34" s="4"/>
      <c r="Y34" s="4"/>
    </row>
    <row r="35" spans="1:25" x14ac:dyDescent="0.25">
      <c r="A35" s="4">
        <v>33</v>
      </c>
      <c r="B35" s="4" t="s">
        <v>75</v>
      </c>
      <c r="C35" s="4">
        <v>1</v>
      </c>
      <c r="D35" s="4">
        <f t="array" ref="D35">MAX(IF(Sales!B:B=A35,Sales!C:C))</f>
        <v>24</v>
      </c>
      <c r="E35" s="4">
        <f>SUMIF(Sales!B:B,A35,Sales!E:E)</f>
        <v>1810</v>
      </c>
      <c r="F35" s="6">
        <f>IF($C35=0," ",COUNTIFS($C:$C,1,E:E,"&gt;"&amp;E35)+1)</f>
        <v>2</v>
      </c>
      <c r="G35" s="4">
        <f>SUMIF(Sales!B:B,A35,Sales!D:D)</f>
        <v>182</v>
      </c>
      <c r="H35" s="4">
        <f>IF($C35=0," ",COUNTIFS($C:$C,1,G:G,"&gt;"&amp;G35)+1)</f>
        <v>2</v>
      </c>
      <c r="I35" s="4">
        <f>SUMIF(Prizes!B:B,A35,Prizes!D:D)</f>
        <v>7</v>
      </c>
      <c r="J35" s="4">
        <f>IF($C35=0," ",COUNTIFS($C:$C,1,I:I,"&gt;"&amp;I35)+1)</f>
        <v>3</v>
      </c>
      <c r="K35" s="5">
        <f>SUMIF(Sales!B:B,A35,Sales!F:F)</f>
        <v>8.2497775462124601</v>
      </c>
      <c r="L35" s="6">
        <f>IF($C35=0," ",COUNTIFS($C:$C,1,K:K,"&gt;"&amp;K35)+1)</f>
        <v>2</v>
      </c>
      <c r="M35" s="5">
        <f>SQRT(SUMIF(Sales!B:B,A35,Sales!G:G))</f>
        <v>2.6948190840973196</v>
      </c>
      <c r="N35" s="5">
        <f>I35-K35</f>
        <v>-1.2497775462124601</v>
      </c>
      <c r="O35" s="6">
        <f>IF($C35=0," ",COUNTIFS($C:$C,1,N:N,"&gt;"&amp;N35)+1)</f>
        <v>26</v>
      </c>
      <c r="P35" s="5">
        <f>N35/M35</f>
        <v>-0.46377048225153733</v>
      </c>
      <c r="Q35" s="4">
        <f>IF($C35=0," ",COUNTIFS($C:$C,1,P:P,"&gt;"&amp;P35)+1)</f>
        <v>16</v>
      </c>
      <c r="R35" s="17">
        <f>IF(I35&gt;K35,1-_xlfn.NORM.DIST(I35,K35,M35,1),_xlfn.NORM.DIST(I35,K35,M35,1))</f>
        <v>0.32140609680239007</v>
      </c>
      <c r="S35" s="32">
        <f>IF($C35=0," ",COUNTIFS($C:$C,1,R:R,"&gt;"&amp;R35)+1)</f>
        <v>10</v>
      </c>
      <c r="T35" s="6">
        <f>E35/K35</f>
        <v>219.39985531258182</v>
      </c>
      <c r="U35" s="4">
        <f>IF($C35=0," ",COUNTIFS($C:$C,1,T:T,"&lt;"&amp;T35)+1)</f>
        <v>16</v>
      </c>
      <c r="V35" s="4"/>
      <c r="X35" s="4"/>
      <c r="Y35" s="4"/>
    </row>
    <row r="36" spans="1:25" x14ac:dyDescent="0.25">
      <c r="A36" s="4">
        <v>34</v>
      </c>
      <c r="B36" s="4" t="s">
        <v>45</v>
      </c>
      <c r="C36" s="4">
        <v>1</v>
      </c>
      <c r="D36" s="4">
        <f t="array" ref="D36">MAX(IF(Sales!B:B=A36,Sales!C:C))</f>
        <v>24</v>
      </c>
      <c r="E36" s="4">
        <f>SUMIF(Sales!B:B,A36,Sales!E:E)</f>
        <v>910</v>
      </c>
      <c r="F36" s="6">
        <f>IF($C36=0," ",COUNTIFS($C:$C,1,E:E,"&gt;"&amp;E36)+1)</f>
        <v>9</v>
      </c>
      <c r="G36" s="4">
        <f>SUMIF(Sales!B:B,A36,Sales!D:D)</f>
        <v>92</v>
      </c>
      <c r="H36" s="4">
        <f>IF($C36=0," ",COUNTIFS($C:$C,1,G:G,"&gt;"&amp;G36)+1)</f>
        <v>9</v>
      </c>
      <c r="I36" s="4">
        <f>SUMIF(Prizes!B:B,A36,Prizes!D:D)</f>
        <v>3</v>
      </c>
      <c r="J36" s="4">
        <f>IF($C36=0," ",COUNTIFS($C:$C,1,I:I,"&gt;"&amp;I36)+1)</f>
        <v>12</v>
      </c>
      <c r="K36" s="5">
        <f>SUMIF(Sales!B:B,A36,Sales!F:F)</f>
        <v>4.1828348061508498</v>
      </c>
      <c r="L36" s="6">
        <f>IF($C36=0," ",COUNTIFS($C:$C,1,K:K,"&gt;"&amp;K36)+1)</f>
        <v>7</v>
      </c>
      <c r="M36" s="5">
        <f>SQRT(SUMIF(Sales!B:B,A36,Sales!G:G))</f>
        <v>1.9535887509475451</v>
      </c>
      <c r="N36" s="5">
        <f>I36-K36</f>
        <v>-1.1828348061508498</v>
      </c>
      <c r="O36" s="6">
        <f>IF($C36=0," ",COUNTIFS($C:$C,1,N:N,"&gt;"&amp;N36)+1)</f>
        <v>24</v>
      </c>
      <c r="P36" s="5">
        <f>N36/M36</f>
        <v>-0.60546765821473014</v>
      </c>
      <c r="Q36" s="4">
        <f>IF($C36=0," ",COUNTIFS($C:$C,1,P:P,"&gt;"&amp;P36)+1)</f>
        <v>21</v>
      </c>
      <c r="R36" s="17">
        <f>IF(I36&gt;K36,1-_xlfn.NORM.DIST(I36,K36,M36,1),_xlfn.NORM.DIST(I36,K36,M36,1))</f>
        <v>0.27243415385644643</v>
      </c>
      <c r="S36" s="32">
        <f>IF($C36=0," ",COUNTIFS($C:$C,1,R:R,"&gt;"&amp;R36)+1)</f>
        <v>15</v>
      </c>
      <c r="T36" s="6">
        <f>E36/K36</f>
        <v>217.55580656970886</v>
      </c>
      <c r="U36" s="4">
        <f>IF($C36=0," ",COUNTIFS($C:$C,1,T:T,"&lt;"&amp;T36)+1)</f>
        <v>14</v>
      </c>
      <c r="V36" s="4"/>
      <c r="X36" s="4"/>
      <c r="Y36" s="4"/>
    </row>
    <row r="37" spans="1:25" x14ac:dyDescent="0.25">
      <c r="A37" s="4">
        <v>35</v>
      </c>
      <c r="B37" s="4" t="s">
        <v>46</v>
      </c>
      <c r="C37" s="4">
        <v>1</v>
      </c>
      <c r="D37" s="4">
        <f t="array" ref="D37">MAX(IF(Sales!B:B=A37,Sales!C:C))</f>
        <v>24</v>
      </c>
      <c r="E37" s="4">
        <f>SUMIF(Sales!B:B,A37,Sales!E:E)</f>
        <v>800</v>
      </c>
      <c r="F37" s="6">
        <f>IF($C37=0," ",COUNTIFS($C:$C,1,E:E,"&gt;"&amp;E37)+1)</f>
        <v>12</v>
      </c>
      <c r="G37" s="4">
        <f>SUMIF(Sales!B:B,A37,Sales!D:D)</f>
        <v>81</v>
      </c>
      <c r="H37" s="4">
        <f>IF($C37=0," ",COUNTIFS($C:$C,1,G:G,"&gt;"&amp;G37)+1)</f>
        <v>10</v>
      </c>
      <c r="I37" s="4">
        <f>SUMIF(Prizes!B:B,A37,Prizes!D:D)</f>
        <v>2</v>
      </c>
      <c r="J37" s="4">
        <f>IF($C37=0," ",COUNTIFS($C:$C,1,I:I,"&gt;"&amp;I37)+1)</f>
        <v>16</v>
      </c>
      <c r="K37" s="5">
        <f>SUMIF(Sales!B:B,A37,Sales!F:F)</f>
        <v>3.8370296508043831</v>
      </c>
      <c r="L37" s="6">
        <f>IF($C37=0," ",COUNTIFS($C:$C,1,K:K,"&gt;"&amp;K37)+1)</f>
        <v>9</v>
      </c>
      <c r="M37" s="5">
        <f>SQRT(SUMIF(Sales!B:B,A37,Sales!G:G))</f>
        <v>1.8704902485770409</v>
      </c>
      <c r="N37" s="5">
        <f>I37-K37</f>
        <v>-1.8370296508043831</v>
      </c>
      <c r="O37" s="6">
        <f>IF($C37=0," ",COUNTIFS($C:$C,1,N:N,"&gt;"&amp;N37)+1)</f>
        <v>29</v>
      </c>
      <c r="P37" s="5">
        <f>N37/M37</f>
        <v>-0.98211132199266327</v>
      </c>
      <c r="Q37" s="4">
        <f>IF($C37=0," ",COUNTIFS($C:$C,1,P:P,"&gt;"&amp;P37)+1)</f>
        <v>25</v>
      </c>
      <c r="R37" s="17">
        <f>IF(I37&gt;K37,1-_xlfn.NORM.DIST(I37,K37,M37,1),_xlfn.NORM.DIST(I37,K37,M37,1))</f>
        <v>0.16302250413413777</v>
      </c>
      <c r="S37" s="32">
        <f>IF($C37=0," ",COUNTIFS($C:$C,1,R:R,"&gt;"&amp;R37)+1)</f>
        <v>23</v>
      </c>
      <c r="T37" s="6">
        <f>E37/K37</f>
        <v>208.4946098428743</v>
      </c>
      <c r="U37" s="4">
        <f>IF($C37=0," ",COUNTIFS($C:$C,1,T:T,"&lt;"&amp;T37)+1)</f>
        <v>6</v>
      </c>
      <c r="V37" s="4"/>
      <c r="X37" s="4"/>
      <c r="Y37" s="4"/>
    </row>
    <row r="38" spans="1:25" x14ac:dyDescent="0.25">
      <c r="A38" s="4">
        <v>36</v>
      </c>
      <c r="B38" s="4" t="s">
        <v>47</v>
      </c>
      <c r="C38" s="4">
        <v>1</v>
      </c>
      <c r="D38" s="4">
        <f t="array" ref="D38">MAX(IF(Sales!B:B=A38,Sales!C:C))</f>
        <v>23</v>
      </c>
      <c r="E38" s="4">
        <f>SUMIF(Sales!B:B,A38,Sales!E:E)</f>
        <v>500</v>
      </c>
      <c r="F38" s="6">
        <f>IF($C38=0," ",COUNTIFS($C:$C,1,E:E,"&gt;"&amp;E38)+1)</f>
        <v>17</v>
      </c>
      <c r="G38" s="4">
        <f>SUMIF(Sales!B:B,A38,Sales!D:D)</f>
        <v>51</v>
      </c>
      <c r="H38" s="4">
        <f>IF($C38=0," ",COUNTIFS($C:$C,1,G:G,"&gt;"&amp;G38)+1)</f>
        <v>17</v>
      </c>
      <c r="I38" s="4">
        <f>SUMIF(Prizes!B:B,A38,Prizes!D:D)</f>
        <v>3</v>
      </c>
      <c r="J38" s="4">
        <f>IF($C38=0," ",COUNTIFS($C:$C,1,I:I,"&gt;"&amp;I38)+1)</f>
        <v>12</v>
      </c>
      <c r="K38" s="5">
        <f>SUMIF(Sales!B:B,A38,Sales!F:F)</f>
        <v>2.3437638112527099</v>
      </c>
      <c r="L38" s="6">
        <f>IF($C38=0," ",COUNTIFS($C:$C,1,K:K,"&gt;"&amp;K38)+1)</f>
        <v>17</v>
      </c>
      <c r="M38" s="5">
        <f>SQRT(SUMIF(Sales!B:B,A38,Sales!G:G))</f>
        <v>1.4611537389700817</v>
      </c>
      <c r="N38" s="5">
        <f>I38-K38</f>
        <v>0.65623618874729006</v>
      </c>
      <c r="O38" s="6">
        <f>IF($C38=0," ",COUNTIFS($C:$C,1,N:N,"&gt;"&amp;N38)+1)</f>
        <v>8</v>
      </c>
      <c r="P38" s="5">
        <f>N38/M38</f>
        <v>0.4491219310090182</v>
      </c>
      <c r="Q38" s="4">
        <f>IF($C38=0," ",COUNTIFS($C:$C,1,P:P,"&gt;"&amp;P38)+1)</f>
        <v>7</v>
      </c>
      <c r="R38" s="17">
        <f>IF(I38&gt;K38,1-_xlfn.NORM.DIST(I38,K38,M38,1),_xlfn.NORM.DIST(I38,K38,M38,1))</f>
        <v>0.32667185034445034</v>
      </c>
      <c r="S38" s="32">
        <f>IF($C38=0," ",COUNTIFS($C:$C,1,R:R,"&gt;"&amp;R38)+1)</f>
        <v>9</v>
      </c>
      <c r="T38" s="6">
        <f>E38/K38</f>
        <v>213.33207620982799</v>
      </c>
      <c r="U38" s="4">
        <f>IF($C38=0," ",COUNTIFS($C:$C,1,T:T,"&lt;"&amp;T38)+1)</f>
        <v>10</v>
      </c>
      <c r="V38" s="4"/>
      <c r="X38" s="4"/>
      <c r="Y38" s="4"/>
    </row>
    <row r="39" spans="1:25" x14ac:dyDescent="0.25">
      <c r="A39" s="4">
        <v>37</v>
      </c>
      <c r="B39" s="4" t="s">
        <v>79</v>
      </c>
      <c r="C39" s="4">
        <v>1</v>
      </c>
      <c r="D39" s="4">
        <f t="array" ref="D39">MAX(IF(Sales!B:B=A39,Sales!C:C))</f>
        <v>24</v>
      </c>
      <c r="E39" s="4">
        <f>SUMIF(Sales!B:B,A39,Sales!E:E)</f>
        <v>1700</v>
      </c>
      <c r="F39" s="6">
        <f>IF($C39=0," ",COUNTIFS($C:$C,1,E:E,"&gt;"&amp;E39)+1)</f>
        <v>3</v>
      </c>
      <c r="G39" s="4">
        <f>SUMIF(Sales!B:B,A39,Sales!D:D)</f>
        <v>171</v>
      </c>
      <c r="H39" s="4">
        <f>IF($C39=0," ",COUNTIFS($C:$C,1,G:G,"&gt;"&amp;G39)+1)</f>
        <v>3</v>
      </c>
      <c r="I39" s="4">
        <f>SUMIF(Prizes!B:B,A39,Prizes!D:D)</f>
        <v>5</v>
      </c>
      <c r="J39" s="4">
        <f>IF($C39=0," ",COUNTIFS($C:$C,1,I:I,"&gt;"&amp;I39)+1)</f>
        <v>5</v>
      </c>
      <c r="K39" s="5">
        <f>SUMIF(Sales!B:B,A39,Sales!F:F)</f>
        <v>7.8193887526161188</v>
      </c>
      <c r="L39" s="6">
        <f>IF($C39=0," ",COUNTIFS($C:$C,1,K:K,"&gt;"&amp;K39)+1)</f>
        <v>3</v>
      </c>
      <c r="M39" s="5">
        <f>SQRT(SUMIF(Sales!B:B,A39,Sales!G:G))</f>
        <v>2.6218927492628237</v>
      </c>
      <c r="N39" s="5">
        <f>I39-K39</f>
        <v>-2.8193887526161188</v>
      </c>
      <c r="O39" s="6">
        <f>IF($C39=0," ",COUNTIFS($C:$C,1,N:N,"&gt;"&amp;N39)+1)</f>
        <v>32</v>
      </c>
      <c r="P39" s="5">
        <f>N39/M39</f>
        <v>-1.0753257368779954</v>
      </c>
      <c r="Q39" s="4">
        <f>IF($C39=0," ",COUNTIFS($C:$C,1,P:P,"&gt;"&amp;P39)+1)</f>
        <v>27</v>
      </c>
      <c r="R39" s="17">
        <f>IF(I39&gt;K39,1-_xlfn.NORM.DIST(I39,K39,M39,1),_xlfn.NORM.DIST(I39,K39,M39,1))</f>
        <v>0.14111445868543901</v>
      </c>
      <c r="S39" s="32">
        <f>IF($C39=0," ",COUNTIFS($C:$C,1,R:R,"&gt;"&amp;R39)+1)</f>
        <v>25</v>
      </c>
      <c r="T39" s="6">
        <f>E39/K39</f>
        <v>217.40829798636551</v>
      </c>
      <c r="U39" s="4">
        <f>IF($C39=0," ",COUNTIFS($C:$C,1,T:T,"&lt;"&amp;T39)+1)</f>
        <v>13</v>
      </c>
      <c r="V39" s="4"/>
      <c r="X39" s="4"/>
      <c r="Y39" s="4"/>
    </row>
    <row r="40" spans="1:25" x14ac:dyDescent="0.25">
      <c r="A40" s="4">
        <v>38</v>
      </c>
      <c r="B40" s="4" t="s">
        <v>57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>IF($C40=0," ",COUNTIFS($C:$C,1,E:E,"&gt;"&amp;E40)+1)</f>
        <v xml:space="preserve"> </v>
      </c>
      <c r="G40" s="8">
        <f>SUMIF(Sales!B:B,A40,Sales!D:D)</f>
        <v>37</v>
      </c>
      <c r="H40" s="8" t="str">
        <f>IF($C40=0," ",COUNTIFS($C:$C,1,G:G,"&gt;"&amp;G40)+1)</f>
        <v xml:space="preserve"> </v>
      </c>
      <c r="I40" s="8">
        <f>SUMIF(Prizes!B:B,A40,Prizes!D:D)</f>
        <v>4</v>
      </c>
      <c r="J40" s="8" t="str">
        <f>IF($C40=0," ",COUNTIFS($C:$C,1,I:I,"&gt;"&amp;I40)+1)</f>
        <v xml:space="preserve"> </v>
      </c>
      <c r="K40" s="9">
        <f>SUMIF(Sales!B:B,A40,Sales!F:F)</f>
        <v>1.7654362892118982</v>
      </c>
      <c r="L40" s="30" t="str">
        <f>IF($C40=0," ",COUNTIFS($C:$C,1,K:K,"&gt;"&amp;K40)+1)</f>
        <v xml:space="preserve"> </v>
      </c>
      <c r="M40" s="9">
        <f>SQRT(SUMIF(Sales!B:B,A40,Sales!G:G))</f>
        <v>1.2439598119364987</v>
      </c>
      <c r="N40" s="9">
        <f>I40-K40</f>
        <v>2.2345637107881018</v>
      </c>
      <c r="O40" s="30" t="str">
        <f>IF($C40=0," ",COUNTIFS($C:$C,1,N:N,"&gt;"&amp;N40)+1)</f>
        <v xml:space="preserve"> </v>
      </c>
      <c r="P40" s="5">
        <f>N40/M40</f>
        <v>1.7963311108174056</v>
      </c>
      <c r="Q40" s="10" t="str">
        <f>IF($C40=0," ",COUNTIFS($C:$C,1,P:P,"&gt;"&amp;P40)+1)</f>
        <v xml:space="preserve"> </v>
      </c>
      <c r="R40" s="17">
        <f>IF(I40&gt;K40,1-_xlfn.NORM.DIST(I40,K40,M40,1),_xlfn.NORM.DIST(I40,K40,M40,1))</f>
        <v>3.6220936405928716E-2</v>
      </c>
      <c r="S40" s="32" t="str">
        <f>IF($C40=0," ",COUNTIFS($C:$C,1,R:R,"&gt;"&amp;R40)+1)</f>
        <v xml:space="preserve"> </v>
      </c>
      <c r="T40" s="6">
        <f>E40/K40</f>
        <v>203.9155999000713</v>
      </c>
      <c r="U40" s="4" t="str">
        <f>IF($C40=0," ",COUNTIFS($C:$C,1,T:T,"&lt;"&amp;T40)+1)</f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76</v>
      </c>
      <c r="C41" s="4">
        <v>0</v>
      </c>
      <c r="D41" s="4">
        <f t="array" ref="D41">MAX(IF(Sales!B:B=A41,Sales!C:C))</f>
        <v>18</v>
      </c>
      <c r="E41" s="8">
        <f>SUMIF(Sales!B:B,A41,Sales!E:E)</f>
        <v>40</v>
      </c>
      <c r="F41" s="30" t="str">
        <f>IF($C41=0," ",COUNTIFS($C:$C,1,E:E,"&gt;"&amp;E41)+1)</f>
        <v xml:space="preserve"> </v>
      </c>
      <c r="G41" s="8">
        <f>SUMIF(Sales!B:B,A41,Sales!D:D)</f>
        <v>5</v>
      </c>
      <c r="H41" s="8" t="str">
        <f>IF($C41=0," ",COUNTIFS($C:$C,1,G:G,"&gt;"&amp;G41)+1)</f>
        <v xml:space="preserve"> </v>
      </c>
      <c r="I41" s="8">
        <f>SUMIF(Prizes!B:B,A41,Prizes!D:D)</f>
        <v>0</v>
      </c>
      <c r="J41" s="8" t="str">
        <f>IF($C41=0," ",COUNTIFS($C:$C,1,I:I,"&gt;"&amp;I41)+1)</f>
        <v xml:space="preserve"> </v>
      </c>
      <c r="K41" s="9">
        <f>SUMIF(Sales!B:B,A41,Sales!F:F)</f>
        <v>0.44943930749557348</v>
      </c>
      <c r="L41" s="30" t="str">
        <f>IF($C41=0," ",COUNTIFS($C:$C,1,K:K,"&gt;"&amp;K41)+1)</f>
        <v xml:space="preserve"> </v>
      </c>
      <c r="M41" s="9">
        <f>SQRT(SUMIF(Sales!B:B,A41,Sales!G:G))</f>
        <v>0.61791657214945761</v>
      </c>
      <c r="N41" s="9">
        <f>I41-K41</f>
        <v>-0.44943930749557348</v>
      </c>
      <c r="O41" s="30" t="str">
        <f>IF($C41=0," ",COUNTIFS($C:$C,1,N:N,"&gt;"&amp;N41)+1)</f>
        <v xml:space="preserve"> </v>
      </c>
      <c r="P41" s="5">
        <f>N41/M41</f>
        <v>-0.72734625959645904</v>
      </c>
      <c r="Q41" s="10" t="str">
        <f>IF($C41=0," ",COUNTIFS($C:$C,1,P:P,"&gt;"&amp;P41)+1)</f>
        <v xml:space="preserve"> </v>
      </c>
      <c r="R41" s="17">
        <f>IF(I41&gt;K41,1-_xlfn.NORM.DIST(I41,K41,M41,1),_xlfn.NORM.DIST(I41,K41,M41,1))</f>
        <v>0.23350693326254907</v>
      </c>
      <c r="S41" s="32" t="str">
        <f>IF($C41=0," ",COUNTIFS($C:$C,1,R:R,"&gt;"&amp;R41)+1)</f>
        <v xml:space="preserve"> </v>
      </c>
      <c r="T41" s="6">
        <f>E41/K41</f>
        <v>88.999781133727296</v>
      </c>
      <c r="U41" s="4" t="str">
        <f>IF($C41=0," ",COUNTIFS($C:$C,1,T:T,"&lt;"&amp;T41)+1)</f>
        <v xml:space="preserve"> </v>
      </c>
      <c r="V41" s="4"/>
      <c r="X41" s="4"/>
      <c r="Y41" s="4"/>
    </row>
    <row r="42" spans="1:25" x14ac:dyDescent="0.25">
      <c r="A42" s="4">
        <v>40</v>
      </c>
      <c r="B42" s="4" t="s">
        <v>77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>IF($C42=0," ",COUNTIFS($C:$C,1,E:E,"&gt;"&amp;E42)+1)</f>
        <v xml:space="preserve"> </v>
      </c>
      <c r="G42" s="8">
        <f>SUMIF(Sales!B:B,A42,Sales!D:D)</f>
        <v>1</v>
      </c>
      <c r="H42" s="8" t="str">
        <f>IF($C42=0," ",COUNTIFS($C:$C,1,G:G,"&gt;"&amp;G42)+1)</f>
        <v xml:space="preserve"> </v>
      </c>
      <c r="I42" s="8">
        <f>SUMIF(Prizes!B:B,A42,Prizes!D:D)</f>
        <v>0</v>
      </c>
      <c r="J42" s="8" t="str">
        <f>IF($C42=0," ",COUNTIFS($C:$C,1,I:I,"&gt;"&amp;I42)+1)</f>
        <v xml:space="preserve"> </v>
      </c>
      <c r="K42" s="9">
        <f>SUMIF(Sales!B:B,A42,Sales!F:F)</f>
        <v>0.23076923076923078</v>
      </c>
      <c r="L42" s="30" t="str">
        <f>IF($C42=0," ",COUNTIFS($C:$C,1,K:K,"&gt;"&amp;K42)+1)</f>
        <v xml:space="preserve"> </v>
      </c>
      <c r="M42" s="9">
        <f>SQRT(SUMIF(Sales!B:B,A42,Sales!G:G))</f>
        <v>0.42132504423474315</v>
      </c>
      <c r="N42" s="9">
        <f>I42-K42</f>
        <v>-0.23076923076923078</v>
      </c>
      <c r="O42" s="30" t="str">
        <f>IF($C42=0," ",COUNTIFS($C:$C,1,N:N,"&gt;"&amp;N42)+1)</f>
        <v xml:space="preserve"> </v>
      </c>
      <c r="P42" s="5">
        <f>N42/M42</f>
        <v>-0.54772255750516619</v>
      </c>
      <c r="Q42" s="10" t="str">
        <f>IF($C42=0," ",COUNTIFS($C:$C,1,P:P,"&gt;"&amp;P42)+1)</f>
        <v xml:space="preserve"> </v>
      </c>
      <c r="R42" s="17">
        <f>IF(I42&gt;K42,1-_xlfn.NORM.DIST(I42,K42,M42,1),_xlfn.NORM.DIST(I42,K42,M42,1))</f>
        <v>0.2919412103851825</v>
      </c>
      <c r="S42" s="32" t="str">
        <f>IF($C42=0," ",COUNTIFS($C:$C,1,R:R,"&gt;"&amp;R42)+1)</f>
        <v xml:space="preserve"> </v>
      </c>
      <c r="T42" s="6">
        <f>E42/K42</f>
        <v>0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78</v>
      </c>
      <c r="C43" s="4">
        <v>1</v>
      </c>
      <c r="D43" s="4">
        <f t="array" ref="D43">MAX(IF(Sales!B:B=A43,Sales!C:C))</f>
        <v>24</v>
      </c>
      <c r="E43" s="8">
        <f>SUMIF(Sales!B:B,A43,Sales!E:E)</f>
        <v>780</v>
      </c>
      <c r="F43" s="30">
        <f>IF($C43=0," ",COUNTIFS($C:$C,1,E:E,"&gt;"&amp;E43)+1)</f>
        <v>13</v>
      </c>
      <c r="G43" s="8">
        <f>SUMIF(Sales!B:B,A43,Sales!D:D)</f>
        <v>78</v>
      </c>
      <c r="H43" s="10">
        <f>IF($C43=0," ",COUNTIFS($C:$C,1,G:G,"&gt;"&amp;G43)+1)</f>
        <v>12</v>
      </c>
      <c r="I43" s="8">
        <f>SUMIF(Prizes!B:B,A43,Prizes!D:D)</f>
        <v>4</v>
      </c>
      <c r="J43" s="10">
        <f>IF($C43=0," ",COUNTIFS($C:$C,1,I:I,"&gt;"&amp;I43)+1)</f>
        <v>7</v>
      </c>
      <c r="K43" s="9">
        <f>SUMIF(Sales!B:B,A43,Sales!F:F)</f>
        <v>3.4406974787251352</v>
      </c>
      <c r="L43" s="30">
        <f>IF($C43=0," ",COUNTIFS($C:$C,1,K:K,"&gt;"&amp;K43)+1)</f>
        <v>12</v>
      </c>
      <c r="M43" s="9">
        <f>SQRT(SUMIF(Sales!B:B,A43,Sales!G:G))</f>
        <v>1.7698461564464014</v>
      </c>
      <c r="N43" s="9">
        <f>I43-K43</f>
        <v>0.55930252127486479</v>
      </c>
      <c r="O43" s="30">
        <f>IF($C43=0," ",COUNTIFS($C:$C,1,N:N,"&gt;"&amp;N43)+1)</f>
        <v>10</v>
      </c>
      <c r="P43" s="5">
        <f>N43/M43</f>
        <v>0.31601759239789773</v>
      </c>
      <c r="Q43" s="10">
        <f>IF($C43=0," ",COUNTIFS($C:$C,1,P:P,"&gt;"&amp;P43)+1)</f>
        <v>10</v>
      </c>
      <c r="R43" s="17">
        <f>IF(I43&gt;K43,1-_xlfn.NORM.DIST(I43,K43,M43,1),_xlfn.NORM.DIST(I43,K43,M43,1))</f>
        <v>0.37599457754227006</v>
      </c>
      <c r="S43" s="32">
        <f>IF($C43=0," ",COUNTIFS($C:$C,1,R:R,"&gt;"&amp;R43)+1)</f>
        <v>6</v>
      </c>
      <c r="T43" s="6">
        <f>E43/K43</f>
        <v>226.6982217480537</v>
      </c>
      <c r="U43" s="10">
        <f>IF($C43=0," ",COUNTIFS($C:$C,1,T:T,"&lt;"&amp;T43)+1)</f>
        <v>22</v>
      </c>
      <c r="V43" s="4"/>
      <c r="X43" s="4"/>
      <c r="Y43" s="4"/>
    </row>
    <row r="44" spans="1:25" x14ac:dyDescent="0.25">
      <c r="A44" s="4">
        <v>42</v>
      </c>
      <c r="B44" s="4" t="s">
        <v>80</v>
      </c>
      <c r="C44" s="4">
        <v>0</v>
      </c>
      <c r="D44" s="4">
        <f t="array" ref="D44">MAX(IF(Sales!B:B=A44,Sales!C:C))</f>
        <v>19</v>
      </c>
      <c r="E44" s="8">
        <f>SUMIF(Sales!B:B,A44,Sales!E:E)</f>
        <v>180</v>
      </c>
      <c r="F44" s="30" t="str">
        <f>IF($C44=0," ",COUNTIFS($C:$C,1,E:E,"&gt;"&amp;E44)+1)</f>
        <v xml:space="preserve"> </v>
      </c>
      <c r="G44" s="8">
        <f>SUMIF(Sales!B:B,A44,Sales!D:D)</f>
        <v>18</v>
      </c>
      <c r="H44" s="8" t="str">
        <f>IF($C44=0," ",COUNTIFS($C:$C,1,G:G,"&gt;"&amp;G44)+1)</f>
        <v xml:space="preserve"> </v>
      </c>
      <c r="I44" s="8">
        <f>SUMIF(Prizes!B:B,A44,Prizes!D:D)</f>
        <v>1</v>
      </c>
      <c r="J44" s="8" t="str">
        <f>IF($C44=0," ",COUNTIFS($C:$C,1,I:I,"&gt;"&amp;I44)+1)</f>
        <v xml:space="preserve"> </v>
      </c>
      <c r="K44" s="9">
        <f>SUMIF(Sales!B:B,A44,Sales!F:F)</f>
        <v>0.77946480083496894</v>
      </c>
      <c r="L44" s="30" t="str">
        <f>IF($C44=0," ",COUNTIFS($C:$C,1,K:K,"&gt;"&amp;K44)+1)</f>
        <v xml:space="preserve"> </v>
      </c>
      <c r="M44" s="9">
        <f>SQRT(SUMIF(Sales!B:B,A44,Sales!G:G))</f>
        <v>0.85313059319831075</v>
      </c>
      <c r="N44" s="9">
        <f>I44-K44</f>
        <v>0.22053519916503106</v>
      </c>
      <c r="O44" s="30" t="str">
        <f>IF($C44=0," ",COUNTIFS($C:$C,1,N:N,"&gt;"&amp;N44)+1)</f>
        <v xml:space="preserve"> </v>
      </c>
      <c r="P44" s="5">
        <f>N44/M44</f>
        <v>0.2585011027892743</v>
      </c>
      <c r="Q44" s="10" t="str">
        <f>IF($C44=0," ",COUNTIFS($C:$C,1,P:P,"&gt;"&amp;P44)+1)</f>
        <v xml:space="preserve"> </v>
      </c>
      <c r="R44" s="17">
        <f>IF(I44&gt;K44,1-_xlfn.NORM.DIST(I44,K44,M44,1),_xlfn.NORM.DIST(I44,K44,M44,1))</f>
        <v>0.39801009896921591</v>
      </c>
      <c r="S44" s="32" t="str">
        <f>IF($C44=0," ",COUNTIFS($C:$C,1,R:R,"&gt;"&amp;R44)+1)</f>
        <v xml:space="preserve"> </v>
      </c>
      <c r="T44" s="6">
        <f>E44/K44</f>
        <v>230.92768243951818</v>
      </c>
      <c r="U44" s="4" t="str">
        <f>IF($C44=0," ",COUNTIFS($C:$C,1,T:T,"&lt;"&amp;T44)+1)</f>
        <v xml:space="preserve"> </v>
      </c>
      <c r="V44" s="4"/>
      <c r="X44" s="4"/>
      <c r="Y44" s="4"/>
    </row>
    <row r="45" spans="1:25" x14ac:dyDescent="0.25">
      <c r="A45" s="4">
        <v>43</v>
      </c>
      <c r="B45" s="4" t="s">
        <v>81</v>
      </c>
      <c r="C45" s="4">
        <v>1</v>
      </c>
      <c r="D45" s="4">
        <f t="array" ref="D45">MAX(IF(Sales!B:B=A45,Sales!C:C))</f>
        <v>24</v>
      </c>
      <c r="E45" s="8">
        <f>SUMIF(Sales!B:B,A45,Sales!E:E)</f>
        <v>400</v>
      </c>
      <c r="F45" s="30">
        <f>IF($C45=0," ",COUNTIFS($C:$C,1,E:E,"&gt;"&amp;E45)+1)</f>
        <v>20</v>
      </c>
      <c r="G45" s="8">
        <f>SUMIF(Sales!B:B,A45,Sales!D:D)</f>
        <v>40</v>
      </c>
      <c r="H45" s="8">
        <f>IF($C45=0," ",COUNTIFS($C:$C,1,G:G,"&gt;"&amp;G45)+1)</f>
        <v>19</v>
      </c>
      <c r="I45" s="8">
        <f>SUMIF(Prizes!B:B,A45,Prizes!D:D)</f>
        <v>2</v>
      </c>
      <c r="J45" s="8">
        <f>IF($C45=0," ",COUNTIFS($C:$C,1,I:I,"&gt;"&amp;I45)+1)</f>
        <v>16</v>
      </c>
      <c r="K45" s="9">
        <f>SUMIF(Sales!B:B,A45,Sales!F:F)</f>
        <v>1.8831597127192798</v>
      </c>
      <c r="L45" s="30">
        <f>IF($C45=0," ",COUNTIFS($C:$C,1,K:K,"&gt;"&amp;K45)+1)</f>
        <v>19</v>
      </c>
      <c r="M45" s="9">
        <f>SQRT(SUMIF(Sales!B:B,A45,Sales!G:G))</f>
        <v>1.3182076076476805</v>
      </c>
      <c r="N45" s="9">
        <f>I45-K45</f>
        <v>0.11684028728072016</v>
      </c>
      <c r="O45" s="30">
        <f>IF($C45=0," ",COUNTIFS($C:$C,1,N:N,"&gt;"&amp;N45)+1)</f>
        <v>12</v>
      </c>
      <c r="P45" s="5">
        <f>N45/M45</f>
        <v>8.863572520964258E-2</v>
      </c>
      <c r="Q45" s="10">
        <f>IF($C45=0," ",COUNTIFS($C:$C,1,P:P,"&gt;"&amp;P45)+1)</f>
        <v>13</v>
      </c>
      <c r="R45" s="17">
        <f>IF(I45&gt;K45,1-_xlfn.NORM.DIST(I45,K45,M45,1),_xlfn.NORM.DIST(I45,K45,M45,1))</f>
        <v>0.4646857075994808</v>
      </c>
      <c r="S45" s="32">
        <f>IF($C45=0," ",COUNTIFS($C:$C,1,R:R,"&gt;"&amp;R45)+1)</f>
        <v>2</v>
      </c>
      <c r="T45" s="6">
        <f>E45/K45</f>
        <v>212.40896207491642</v>
      </c>
      <c r="U45" s="4">
        <f>IF($C45=0," ",COUNTIFS($C:$C,1,T:T,"&lt;"&amp;T45)+1)</f>
        <v>9</v>
      </c>
      <c r="V45" s="4"/>
      <c r="X45" s="4"/>
      <c r="Y45" s="4"/>
    </row>
    <row r="46" spans="1:25" x14ac:dyDescent="0.25">
      <c r="A46" s="4">
        <v>44</v>
      </c>
      <c r="B46" s="4" t="s">
        <v>82</v>
      </c>
      <c r="C46" s="4">
        <v>1</v>
      </c>
      <c r="D46" s="4">
        <f t="array" ref="D46">MAX(IF(Sales!B:B=A46,Sales!C:C))</f>
        <v>24</v>
      </c>
      <c r="E46" s="8">
        <f>SUMIF(Sales!B:B,A46,Sales!E:E)</f>
        <v>600</v>
      </c>
      <c r="F46" s="30">
        <f>IF($C46=0," ",COUNTIFS($C:$C,1,E:E,"&gt;"&amp;E46)+1)</f>
        <v>16</v>
      </c>
      <c r="G46" s="8">
        <f>SUMIF(Sales!B:B,A46,Sales!D:D)</f>
        <v>60</v>
      </c>
      <c r="H46" s="8">
        <f>IF($C46=0," ",COUNTIFS($C:$C,1,G:G,"&gt;"&amp;G46)+1)</f>
        <v>15</v>
      </c>
      <c r="I46" s="8">
        <f>SUMIF(Prizes!B:B,A46,Prizes!D:D)</f>
        <v>4</v>
      </c>
      <c r="J46" s="8">
        <f>IF($C46=0," ",COUNTIFS($C:$C,1,I:I,"&gt;"&amp;I46)+1)</f>
        <v>7</v>
      </c>
      <c r="K46" s="9">
        <f>SUMIF(Sales!B:B,A46,Sales!F:F)</f>
        <v>2.9535085116027662</v>
      </c>
      <c r="L46" s="30">
        <f>IF($C46=0," ",COUNTIFS($C:$C,1,K:K,"&gt;"&amp;K46)+1)</f>
        <v>15</v>
      </c>
      <c r="M46" s="9">
        <f>SQRT(SUMIF(Sales!B:B,A46,Sales!G:G))</f>
        <v>1.6306900705159635</v>
      </c>
      <c r="N46" s="9">
        <f>I46-K46</f>
        <v>1.0464914883972338</v>
      </c>
      <c r="O46" s="30">
        <f>IF($C46=0," ",COUNTIFS($C:$C,1,N:N,"&gt;"&amp;N46)+1)</f>
        <v>5</v>
      </c>
      <c r="P46" s="5">
        <f>N46/M46</f>
        <v>0.64174763023246684</v>
      </c>
      <c r="Q46" s="10">
        <f>IF($C46=0," ",COUNTIFS($C:$C,1,P:P,"&gt;"&amp;P46)+1)</f>
        <v>6</v>
      </c>
      <c r="R46" s="17">
        <f>IF(I46&gt;K46,1-_xlfn.NORM.DIST(I46,K46,M46,1),_xlfn.NORM.DIST(I46,K46,M46,1))</f>
        <v>0.26051852892207705</v>
      </c>
      <c r="S46" s="32">
        <f>IF($C46=0," ",COUNTIFS($C:$C,1,R:R,"&gt;"&amp;R46)+1)</f>
        <v>16</v>
      </c>
      <c r="T46" s="6">
        <f>E46/K46</f>
        <v>203.14822105401717</v>
      </c>
      <c r="U46" s="4">
        <f>IF($C46=0," ",COUNTIFS($C:$C,1,T:T,"&lt;"&amp;T46)+1)</f>
        <v>5</v>
      </c>
      <c r="V46" s="4"/>
      <c r="X46" s="4"/>
      <c r="Y46" s="4"/>
    </row>
    <row r="47" spans="1:25" x14ac:dyDescent="0.25">
      <c r="A47" s="4">
        <v>45</v>
      </c>
      <c r="B47" s="4" t="s">
        <v>96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>IF($C47=0," ",COUNTIFS($C:$C,1,E:E,"&gt;"&amp;E47)+1)</f>
        <v>24</v>
      </c>
      <c r="G47" s="10">
        <f>SUMIF(Sales!B:B,A47,Sales!D:D)</f>
        <v>25</v>
      </c>
      <c r="H47" s="10">
        <f>IF($C47=0," ",COUNTIFS($C:$C,1,G:G,"&gt;"&amp;G47)+1)</f>
        <v>23</v>
      </c>
      <c r="I47" s="10">
        <f>SUMIF(Prizes!B:B,A47,Prizes!D:D)</f>
        <v>0</v>
      </c>
      <c r="J47" s="10">
        <f>IF($C47=0," ",COUNTIFS($C:$C,1,I:I,"&gt;"&amp;I47)+1)</f>
        <v>24</v>
      </c>
      <c r="K47" s="5">
        <f>SUMIF(Sales!B:B,A47,Sales!F:F)</f>
        <v>1.184672257882758</v>
      </c>
      <c r="L47" s="6">
        <f>IF($C47=0," ",COUNTIFS($C:$C,1,K:K,"&gt;"&amp;K47)+1)</f>
        <v>24</v>
      </c>
      <c r="M47" s="5">
        <f>SQRT(SUMIF(Sales!B:B,A47,Sales!G:G))</f>
        <v>1.0386412070417264</v>
      </c>
      <c r="N47" s="5">
        <f>I47-K47</f>
        <v>-1.184672257882758</v>
      </c>
      <c r="O47" s="6">
        <f>IF($C47=0," ",COUNTIFS($C:$C,1,N:N,"&gt;"&amp;N47)+1)</f>
        <v>25</v>
      </c>
      <c r="P47" s="5">
        <f>N47/M47</f>
        <v>-1.1405981679245709</v>
      </c>
      <c r="Q47" s="10">
        <f>IF($C47=0," ",COUNTIFS($C:$C,1,P:P,"&gt;"&amp;P47)+1)</f>
        <v>29</v>
      </c>
      <c r="R47" s="17">
        <f>IF(I47&gt;K47,1-_xlfn.NORM.DIST(I47,K47,M47,1),_xlfn.NORM.DIST(I47,K47,M47,1))</f>
        <v>0.12701859000624371</v>
      </c>
      <c r="S47" s="32">
        <f>IF($C47=0," ",COUNTIFS($C:$C,1,R:R,"&gt;"&amp;R47)+1)</f>
        <v>27</v>
      </c>
      <c r="T47" s="6">
        <f>E47/K47</f>
        <v>211.02882956573922</v>
      </c>
      <c r="U47" s="10">
        <f>IF($C47=0," ",COUNTIFS($C:$C,1,T:T,"&lt;"&amp;T47)+1)</f>
        <v>8</v>
      </c>
      <c r="X47" s="4"/>
      <c r="Y47" s="4"/>
    </row>
    <row r="48" spans="1:25" x14ac:dyDescent="0.25">
      <c r="A48" s="4">
        <v>46</v>
      </c>
      <c r="B48" s="4" t="s">
        <v>97</v>
      </c>
      <c r="C48" s="4">
        <v>1</v>
      </c>
      <c r="D48" s="4">
        <f t="array" ref="D48">MAX(IF(Sales!B:B=A48,Sales!C:C))</f>
        <v>23</v>
      </c>
      <c r="E48" s="10">
        <f>SUMIF(Sales!B:B,A48,Sales!E:E)</f>
        <v>410</v>
      </c>
      <c r="F48" s="6">
        <f>IF($C48=0," ",COUNTIFS($C:$C,1,E:E,"&gt;"&amp;E48)+1)</f>
        <v>18</v>
      </c>
      <c r="G48" s="10">
        <f>SUMIF(Sales!B:B,A48,Sales!D:D)</f>
        <v>41</v>
      </c>
      <c r="H48" s="10">
        <f>IF($C48=0," ",COUNTIFS($C:$C,1,G:G,"&gt;"&amp;G48)+1)</f>
        <v>18</v>
      </c>
      <c r="I48" s="10">
        <f>SUMIF(Prizes!B:B,A48,Prizes!D:D)</f>
        <v>3</v>
      </c>
      <c r="J48" s="10">
        <f>IF($C48=0," ",COUNTIFS($C:$C,1,I:I,"&gt;"&amp;I48)+1)</f>
        <v>12</v>
      </c>
      <c r="K48" s="5">
        <f>SUMIF(Sales!B:B,A48,Sales!F:F)</f>
        <v>1.9022344140591172</v>
      </c>
      <c r="L48" s="6">
        <f>IF($C48=0," ",COUNTIFS($C:$C,1,K:K,"&gt;"&amp;K48)+1)</f>
        <v>18</v>
      </c>
      <c r="M48" s="5">
        <f>SQRT(SUMIF(Sales!B:B,A48,Sales!G:G))</f>
        <v>1.3158657373199891</v>
      </c>
      <c r="N48" s="5">
        <f>I48-K48</f>
        <v>1.0977655859408828</v>
      </c>
      <c r="O48" s="6">
        <f>IF($C48=0," ",COUNTIFS($C:$C,1,N:N,"&gt;"&amp;N48)+1)</f>
        <v>4</v>
      </c>
      <c r="P48" s="5">
        <f>N48/M48</f>
        <v>0.8342534916796992</v>
      </c>
      <c r="Q48" s="10">
        <f>IF($C48=0," ",COUNTIFS($C:$C,1,P:P,"&gt;"&amp;P48)+1)</f>
        <v>4</v>
      </c>
      <c r="R48" s="17">
        <f>IF(I48&gt;K48,1-_xlfn.NORM.DIST(I48,K48,M48,1),_xlfn.NORM.DIST(I48,K48,M48,1))</f>
        <v>0.20206907686486164</v>
      </c>
      <c r="S48" s="32">
        <f>IF($C48=0," ",COUNTIFS($C:$C,1,R:R,"&gt;"&amp;R48)+1)</f>
        <v>21</v>
      </c>
      <c r="T48" s="6">
        <f>E48/K48</f>
        <v>215.53600175128474</v>
      </c>
      <c r="U48" s="10">
        <f>IF($C48=0," ",COUNTIFS($C:$C,1,T:T,"&lt;"&amp;T48)+1)</f>
        <v>12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20</v>
      </c>
      <c r="E49" s="28">
        <f>SUMIF(Sales!B:B,A49,Sales!E:E)</f>
        <v>350</v>
      </c>
      <c r="F49" s="31">
        <f>IF($C49=0," ",COUNTIFS($C:$C,1,E:E,"&gt;"&amp;E49)+1)</f>
        <v>21</v>
      </c>
      <c r="G49" s="28">
        <f>SUMIF(Sales!B:B,A49,Sales!D:D)</f>
        <v>35</v>
      </c>
      <c r="H49" s="28">
        <f>IF($C49=0," ",COUNTIFS($C:$C,1,G:G,"&gt;"&amp;G49)+1)</f>
        <v>21</v>
      </c>
      <c r="I49" s="28">
        <f>SUMIF(Prizes!B:B,A49,Prizes!D:D)</f>
        <v>0</v>
      </c>
      <c r="J49" s="28">
        <f>IF($C49=0," ",COUNTIFS($C:$C,1,I:I,"&gt;"&amp;I49)+1)</f>
        <v>24</v>
      </c>
      <c r="K49" s="29">
        <f>SUMIF(Sales!B:B,A49,Sales!F:F)</f>
        <v>1.5492461951326595</v>
      </c>
      <c r="L49" s="31">
        <f>IF($C49=0," ",COUNTIFS($C:$C,1,K:K,"&gt;"&amp;K49)+1)</f>
        <v>21</v>
      </c>
      <c r="M49" s="29">
        <f>SQRT(SUMIF(Sales!B:B,A49,Sales!G:G))</f>
        <v>1.1812669413653081</v>
      </c>
      <c r="N49" s="29">
        <f>I49-K49</f>
        <v>-1.5492461951326595</v>
      </c>
      <c r="O49" s="31">
        <f>IF($C49=0," ",COUNTIFS($C:$C,1,N:N,"&gt;"&amp;N49)+1)</f>
        <v>27</v>
      </c>
      <c r="P49" s="5">
        <f>N49/M49</f>
        <v>-1.3115123609080612</v>
      </c>
      <c r="Q49" s="10">
        <f>IF($C49=0," ",COUNTIFS($C:$C,1,P:P,"&gt;"&amp;P49)+1)</f>
        <v>30</v>
      </c>
      <c r="R49" s="17">
        <f>IF(I49&gt;K49,1-_xlfn.NORM.DIST(I49,K49,M49,1),_xlfn.NORM.DIST(I49,K49,M49,1))</f>
        <v>9.4842360181836213E-2</v>
      </c>
      <c r="S49" s="32">
        <f>IF($C49=0," ",COUNTIFS($C:$C,1,R:R,"&gt;"&amp;R49)+1)</f>
        <v>30</v>
      </c>
      <c r="T49" s="6">
        <f>E49/K49</f>
        <v>225.91632053034027</v>
      </c>
      <c r="U49" s="10">
        <f>IF($C49=0," ",COUNTIFS($C:$C,1,T:T,"&lt;"&amp;T49)+1)</f>
        <v>19</v>
      </c>
      <c r="X49" s="4"/>
      <c r="Y49" s="4"/>
    </row>
    <row r="50" spans="1:25" x14ac:dyDescent="0.25">
      <c r="A50" s="4">
        <v>48</v>
      </c>
      <c r="B50" s="4" t="s">
        <v>100</v>
      </c>
      <c r="C50" s="4">
        <v>1</v>
      </c>
      <c r="D50" s="4">
        <f t="array" ref="D50">MAX(IF(Sales!B:B=A50,Sales!C:C))</f>
        <v>24</v>
      </c>
      <c r="E50" s="28">
        <f>SUMIF(Sales!B:B,A50,Sales!E:E)</f>
        <v>340</v>
      </c>
      <c r="F50" s="31">
        <f>IF($C50=0," ",COUNTIFS($C:$C,1,E:E,"&gt;"&amp;E50)+1)</f>
        <v>22</v>
      </c>
      <c r="G50" s="28">
        <f>SUMIF(Sales!B:B,A50,Sales!D:D)</f>
        <v>34</v>
      </c>
      <c r="H50" s="28">
        <f>IF($C50=0," ",COUNTIFS($C:$C,1,G:G,"&gt;"&amp;G50)+1)</f>
        <v>22</v>
      </c>
      <c r="I50" s="28">
        <f>SUMIF(Prizes!B:B,A50,Prizes!D:D)</f>
        <v>3</v>
      </c>
      <c r="J50" s="28">
        <f>IF($C50=0," ",COUNTIFS($C:$C,1,I:I,"&gt;"&amp;I50)+1)</f>
        <v>12</v>
      </c>
      <c r="K50" s="29">
        <f>SUMIF(Sales!B:B,A50,Sales!F:F)</f>
        <v>1.5026434978212491</v>
      </c>
      <c r="L50" s="31">
        <f>IF($C50=0," ",COUNTIFS($C:$C,1,K:K,"&gt;"&amp;K50)+1)</f>
        <v>22</v>
      </c>
      <c r="M50" s="29">
        <f>SQRT(SUMIF(Sales!B:B,A50,Sales!G:G))</f>
        <v>1.1652797921871323</v>
      </c>
      <c r="N50" s="29">
        <f>I50-K50</f>
        <v>1.4973565021787509</v>
      </c>
      <c r="O50" s="31">
        <f>IF($C50=0," ",COUNTIFS($C:$C,1,N:N,"&gt;"&amp;N50)+1)</f>
        <v>2</v>
      </c>
      <c r="P50" s="5">
        <f>N50/M50</f>
        <v>1.2849759450203273</v>
      </c>
      <c r="Q50" s="10">
        <f>IF($C50=0," ",COUNTIFS($C:$C,1,P:P,"&gt;"&amp;P50)+1)</f>
        <v>1</v>
      </c>
      <c r="R50" s="17">
        <f>IF(I50&gt;K50,1-_xlfn.NORM.DIST(I50,K50,M50,1),_xlfn.NORM.DIST(I50,K50,M50,1))</f>
        <v>9.9400345048293204E-2</v>
      </c>
      <c r="S50" s="32">
        <f>IF($C50=0," ",COUNTIFS($C:$C,1,R:R,"&gt;"&amp;R50)+1)</f>
        <v>29</v>
      </c>
      <c r="T50" s="6">
        <f>E50/K50</f>
        <v>226.26790751963551</v>
      </c>
      <c r="U50" s="10">
        <f>IF($C50=0," ",COUNTIFS($C:$C,1,T:T,"&lt;"&amp;T50)+1)</f>
        <v>21</v>
      </c>
      <c r="X50" s="4"/>
      <c r="Y50" s="4"/>
    </row>
    <row r="51" spans="1:25" x14ac:dyDescent="0.25">
      <c r="A51" s="4">
        <v>49</v>
      </c>
      <c r="B51" s="4" t="s">
        <v>101</v>
      </c>
      <c r="C51" s="4">
        <v>0</v>
      </c>
      <c r="D51" s="4">
        <f t="array" ref="D51">MAX(IF(Sales!B:B=A51,Sales!C:C))</f>
        <v>17</v>
      </c>
      <c r="E51" s="28">
        <f>SUMIF(Sales!B:B,A51,Sales!E:E)</f>
        <v>10</v>
      </c>
      <c r="F51" s="31" t="str">
        <f>IF($C51=0," ",COUNTIFS($C:$C,1,E:E,"&gt;"&amp;E51)+1)</f>
        <v xml:space="preserve"> </v>
      </c>
      <c r="G51" s="28">
        <f>SUMIF(Sales!B:B,A51,Sales!D:D)</f>
        <v>1</v>
      </c>
      <c r="H51" s="28" t="str">
        <f>IF($C51=0," ",COUNTIFS($C:$C,1,G:G,"&gt;"&amp;G51)+1)</f>
        <v xml:space="preserve"> </v>
      </c>
      <c r="I51" s="28">
        <f>SUMIF(Prizes!B:B,A51,Prizes!D:D)</f>
        <v>0</v>
      </c>
      <c r="J51" s="28" t="str">
        <f>IF($C51=0," ",COUNTIFS($C:$C,1,I:I,"&gt;"&amp;I51)+1)</f>
        <v xml:space="preserve"> </v>
      </c>
      <c r="K51" s="29">
        <f>SUMIF(Sales!B:B,A51,Sales!F:F)</f>
        <v>4.046242774566474E-2</v>
      </c>
      <c r="L51" s="31" t="str">
        <f>IF($C51=0," ",COUNTIFS($C:$C,1,K:K,"&gt;"&amp;K51)+1)</f>
        <v xml:space="preserve"> </v>
      </c>
      <c r="M51" s="29">
        <f>SQRT(SUMIF(Sales!B:B,A51,Sales!G:G))</f>
        <v>0.19704116241687067</v>
      </c>
      <c r="N51" s="29">
        <f>I51-K51</f>
        <v>-4.046242774566474E-2</v>
      </c>
      <c r="O51" s="31" t="str">
        <f>IF($C51=0," ",COUNTIFS($C:$C,1,N:N,"&gt;"&amp;N51)+1)</f>
        <v xml:space="preserve"> </v>
      </c>
      <c r="P51" s="5">
        <f>N51/M51</f>
        <v>-0.20535012709710013</v>
      </c>
      <c r="Q51" s="10" t="str">
        <f>IF($C51=0," ",COUNTIFS($C:$C,1,P:P,"&gt;"&amp;P51)+1)</f>
        <v xml:space="preserve"> </v>
      </c>
      <c r="R51" s="17">
        <f>IF(I51&gt;K51,1-_xlfn.NORM.DIST(I51,K51,M51,1),_xlfn.NORM.DIST(I51,K51,M51,1))</f>
        <v>0.41864929133648948</v>
      </c>
      <c r="S51" s="32" t="str">
        <f>IF($C51=0," ",COUNTIFS($C:$C,1,R:R,"&gt;"&amp;R51)+1)</f>
        <v xml:space="preserve"> </v>
      </c>
      <c r="T51" s="6">
        <f>E51/K51</f>
        <v>247.14285714285714</v>
      </c>
      <c r="U51" s="10" t="str">
        <f>IF($C51=0," ",COUNTIFS($C:$C,1,T:T,"&lt;"&amp;T51)+1)</f>
        <v xml:space="preserve"> </v>
      </c>
      <c r="X51" s="4"/>
      <c r="Y51" s="4"/>
    </row>
    <row r="52" spans="1:25" x14ac:dyDescent="0.25">
      <c r="A52" s="4">
        <v>50</v>
      </c>
      <c r="B52" s="4" t="s">
        <v>122</v>
      </c>
      <c r="C52" s="4">
        <v>1</v>
      </c>
      <c r="D52" s="28">
        <f t="array" ref="D52">MAX(IF(Sales!B:B=A52,Sales!C:C))</f>
        <v>22</v>
      </c>
      <c r="E52" s="28">
        <f>SUMIF(Sales!B:B,A52,Sales!E:E)</f>
        <v>130</v>
      </c>
      <c r="F52" s="31">
        <f>IF($C52=0," ",COUNTIFS($C:$C,1,E:E,"&gt;"&amp;E52)+1)</f>
        <v>28</v>
      </c>
      <c r="G52" s="28">
        <f>SUMIF(Sales!B:B,A52,Sales!D:D)</f>
        <v>13</v>
      </c>
      <c r="H52" s="28">
        <f>IF($C52=0," ",COUNTIFS($C:$C,1,G:G,"&gt;"&amp;G52)+1)</f>
        <v>28</v>
      </c>
      <c r="I52" s="28">
        <f>SUMIF(Prizes!B:B,A52,Prizes!D:D)</f>
        <v>0</v>
      </c>
      <c r="J52" s="28">
        <f>IF($C52=0," ",COUNTIFS($C:$C,1,I:I,"&gt;"&amp;I52)+1)</f>
        <v>24</v>
      </c>
      <c r="K52" s="29">
        <f>SUMIF(Sales!B:B,A52,Sales!F:F)</f>
        <v>0.59117647058823541</v>
      </c>
      <c r="L52" s="31">
        <f>IF($C52=0," ",COUNTIFS($C:$C,1,K:K,"&gt;"&amp;K52)+1)</f>
        <v>28</v>
      </c>
      <c r="M52" s="29">
        <f>SQRT(SUMIF(Sales!B:B,A52,Sales!G:G))</f>
        <v>0.73055024326446005</v>
      </c>
      <c r="N52" s="29">
        <f>I52-K52</f>
        <v>-0.59117647058823541</v>
      </c>
      <c r="O52" s="31">
        <f>IF($C52=0," ",COUNTIFS($C:$C,1,N:N,"&gt;"&amp;N52)+1)</f>
        <v>19</v>
      </c>
      <c r="P52" s="29">
        <f>N52/M52</f>
        <v>-0.80922082504081627</v>
      </c>
      <c r="Q52" s="10">
        <f>IF($C52=0," ",COUNTIFS($C:$C,1,P:P,"&gt;"&amp;P52)+1)</f>
        <v>24</v>
      </c>
      <c r="R52" s="17">
        <f>IF(I52&gt;K52,1-_xlfn.NORM.DIST(I52,K52,M52,1),_xlfn.NORM.DIST(I52,K52,M52,1))</f>
        <v>0.2091940691709436</v>
      </c>
      <c r="S52" s="43">
        <f>IF($C52=0," ",COUNTIFS($C:$C,1,R:R,"&gt;"&amp;R52)+1)</f>
        <v>20</v>
      </c>
      <c r="T52" s="6">
        <f>E52/K52</f>
        <v>219.90049751243777</v>
      </c>
      <c r="U52" s="10">
        <f>IF($C52=0," ",COUNTIFS($C:$C,1,T:T,"&lt;"&amp;T52)+1)</f>
        <v>17</v>
      </c>
    </row>
    <row r="53" spans="1:25" x14ac:dyDescent="0.25">
      <c r="A53" s="4">
        <v>51</v>
      </c>
      <c r="B53" s="4" t="s">
        <v>125</v>
      </c>
      <c r="C53" s="4">
        <v>0</v>
      </c>
      <c r="D53" s="28">
        <f t="array" ref="D53">MAX(IF(Sales!B:B=A53,Sales!C:C))</f>
        <v>22</v>
      </c>
      <c r="E53" s="28">
        <f>SUMIF(Sales!B:B,A53,Sales!E:E)</f>
        <v>170</v>
      </c>
      <c r="F53" s="31" t="str">
        <f>IF($C53=0," ",COUNTIFS($C:$C,1,E:E,"&gt;"&amp;E53)+1)</f>
        <v xml:space="preserve"> </v>
      </c>
      <c r="G53" s="28">
        <f>SUMIF(Sales!B:B,A53,Sales!D:D)</f>
        <v>17</v>
      </c>
      <c r="H53" s="28" t="str">
        <f>IF($C53=0," ",COUNTIFS($C:$C,1,G:G,"&gt;"&amp;G53)+1)</f>
        <v xml:space="preserve"> </v>
      </c>
      <c r="I53" s="28">
        <f>SUMIF(Prizes!B:B,A53,Prizes!D:D)</f>
        <v>0</v>
      </c>
      <c r="J53" s="28" t="str">
        <f>IF($C53=0," ",COUNTIFS($C:$C,1,I:I,"&gt;"&amp;I53)+1)</f>
        <v xml:space="preserve"> </v>
      </c>
      <c r="K53" s="29">
        <f>SUMIF(Sales!B:B,A53,Sales!F:F)</f>
        <v>0.68572660008786301</v>
      </c>
      <c r="L53" s="31" t="str">
        <f>IF($C53=0," ",COUNTIFS($C:$C,1,K:K,"&gt;"&amp;K53)+1)</f>
        <v xml:space="preserve"> </v>
      </c>
      <c r="M53" s="29">
        <f>SQRT(SUMIF(Sales!B:B,A53,Sales!G:G))</f>
        <v>0.80007672906497651</v>
      </c>
      <c r="N53" s="29">
        <f>I53-K53</f>
        <v>-0.68572660008786301</v>
      </c>
      <c r="O53" s="31" t="str">
        <f>IF($C53=0," ",COUNTIFS($C:$C,1,N:N,"&gt;"&amp;N53)+1)</f>
        <v xml:space="preserve"> </v>
      </c>
      <c r="P53" s="29">
        <f>N53/M53</f>
        <v>-0.85707604680522231</v>
      </c>
      <c r="Q53" s="10" t="str">
        <f>IF($C53=0," ",COUNTIFS($C:$C,1,P:P,"&gt;"&amp;P53)+1)</f>
        <v xml:space="preserve"> </v>
      </c>
      <c r="R53" s="17">
        <f>IF(I53&gt;K53,1-_xlfn.NORM.DIST(I53,K53,M53,1),_xlfn.NORM.DIST(I53,K53,M53,1))</f>
        <v>0.19570142905695206</v>
      </c>
      <c r="S53" s="43" t="str">
        <f>IF($C53=0," ",COUNTIFS($C:$C,1,R:R,"&gt;"&amp;R53)+1)</f>
        <v xml:space="preserve"> </v>
      </c>
      <c r="T53" s="6">
        <f>E53/K53</f>
        <v>247.9122145447146</v>
      </c>
      <c r="U53" s="10" t="str">
        <f>IF($C53=0," ",COUNTIFS($C:$C,1,T:T,"&lt;"&amp;T53)+1)</f>
        <v xml:space="preserve"> </v>
      </c>
    </row>
    <row r="54" spans="1:25" x14ac:dyDescent="0.25">
      <c r="A54" s="4">
        <v>52</v>
      </c>
      <c r="B54" s="4" t="s">
        <v>126</v>
      </c>
      <c r="C54" s="4">
        <v>1</v>
      </c>
      <c r="D54" s="28">
        <f t="array" ref="D54">MAX(IF(Sales!B:B=A54,Sales!C:C))</f>
        <v>23</v>
      </c>
      <c r="E54" s="28">
        <f>SUMIF(Sales!B:B,A54,Sales!E:E)</f>
        <v>1050</v>
      </c>
      <c r="F54" s="31">
        <f>IF($C54=0," ",COUNTIFS($C:$C,1,E:E,"&gt;"&amp;E54)+1)</f>
        <v>7</v>
      </c>
      <c r="G54" s="28">
        <f>SUMIF(Sales!B:B,A54,Sales!D:D)</f>
        <v>105</v>
      </c>
      <c r="H54" s="28">
        <f>IF($C54=0," ",COUNTIFS($C:$C,1,G:G,"&gt;"&amp;G54)+1)</f>
        <v>6</v>
      </c>
      <c r="I54" s="28">
        <f>SUMIF(Prizes!B:B,A54,Prizes!D:D)</f>
        <v>4</v>
      </c>
      <c r="J54" s="28">
        <f>IF($C54=0," ",COUNTIFS($C:$C,1,I:I,"&gt;"&amp;I54)+1)</f>
        <v>7</v>
      </c>
      <c r="K54" s="29">
        <f>SUMIF(Sales!B:B,A54,Sales!F:F)</f>
        <v>3.9421991921595758</v>
      </c>
      <c r="L54" s="31">
        <f>IF($C54=0," ",COUNTIFS($C:$C,1,K:K,"&gt;"&amp;K54)+1)</f>
        <v>8</v>
      </c>
      <c r="M54" s="29">
        <f>SQRT(SUMIF(Sales!B:B,A54,Sales!G:G))</f>
        <v>1.730921895714655</v>
      </c>
      <c r="N54" s="29">
        <f>I54-K54</f>
        <v>5.7800807840424184E-2</v>
      </c>
      <c r="O54" s="31">
        <f>IF($C54=0," ",COUNTIFS($C:$C,1,N:N,"&gt;"&amp;N54)+1)</f>
        <v>14</v>
      </c>
      <c r="P54" s="29">
        <f>N54/M54</f>
        <v>3.3393076824277883E-2</v>
      </c>
      <c r="Q54" s="10">
        <f>IF($C54=0," ",COUNTIFS($C:$C,1,P:P,"&gt;"&amp;P54)+1)</f>
        <v>14</v>
      </c>
      <c r="R54" s="17">
        <f>IF(I54&gt;K54,1-_xlfn.NORM.DIST(I54,K54,M54,1),_xlfn.NORM.DIST(I54,K54,M54,1))</f>
        <v>0.48668056523967196</v>
      </c>
      <c r="S54" s="43">
        <f>IF($C54=0," ",COUNTIFS($C:$C,1,R:R,"&gt;"&amp;R54)+1)</f>
        <v>1</v>
      </c>
      <c r="T54" s="6">
        <f>E54/K54</f>
        <v>266.34879386315322</v>
      </c>
      <c r="U54" s="10">
        <f>IF($C54=0," ",COUNTIFS($C:$C,1,T:T,"&lt;"&amp;T54)+1)</f>
        <v>32</v>
      </c>
    </row>
    <row r="55" spans="1:25" x14ac:dyDescent="0.25">
      <c r="A55" s="4">
        <v>53</v>
      </c>
      <c r="B55" s="4" t="s">
        <v>132</v>
      </c>
      <c r="C55" s="4">
        <v>1</v>
      </c>
      <c r="D55" s="28">
        <f t="array" ref="D55">MAX(IF(Sales!B:B=A55,Sales!C:C))</f>
        <v>24</v>
      </c>
      <c r="E55" s="28">
        <f>SUMIF(Sales!B:B,A55,Sales!E:E)</f>
        <v>250</v>
      </c>
      <c r="F55" s="31">
        <f>IF($C55=0," ",COUNTIFS($C:$C,1,E:E,"&gt;"&amp;E55)+1)</f>
        <v>24</v>
      </c>
      <c r="G55" s="28">
        <f>SUMIF(Sales!B:B,A55,Sales!D:D)</f>
        <v>25</v>
      </c>
      <c r="H55" s="28">
        <f>IF($C55=0," ",COUNTIFS($C:$C,1,G:G,"&gt;"&amp;G55)+1)</f>
        <v>23</v>
      </c>
      <c r="I55" s="28">
        <f>SUMIF(Prizes!B:B,A55,Prizes!D:D)</f>
        <v>1</v>
      </c>
      <c r="J55" s="28">
        <f>IF($C55=0," ",COUNTIFS($C:$C,1,I:I,"&gt;"&amp;I55)+1)</f>
        <v>19</v>
      </c>
      <c r="K55" s="29">
        <f>SUMIF(Sales!B:B,A55,Sales!F:F)</f>
        <v>1.2624497370862975</v>
      </c>
      <c r="L55" s="31">
        <f>IF($C55=0," ",COUNTIFS($C:$C,1,K:K,"&gt;"&amp;K55)+1)</f>
        <v>23</v>
      </c>
      <c r="M55" s="29">
        <f>SQRT(SUMIF(Sales!B:B,A55,Sales!G:G))</f>
        <v>1.0567209874674623</v>
      </c>
      <c r="N55" s="29">
        <f>I55-K55</f>
        <v>-0.26244973708629749</v>
      </c>
      <c r="O55" s="31">
        <f>IF($C55=0," ",COUNTIFS($C:$C,1,N:N,"&gt;"&amp;N55)+1)</f>
        <v>17</v>
      </c>
      <c r="P55" s="29">
        <f>N55/M55</f>
        <v>-0.2483623777694475</v>
      </c>
      <c r="Q55" s="10">
        <f>IF($C55=0," ",COUNTIFS($C:$C,1,P:P,"&gt;"&amp;P55)+1)</f>
        <v>15</v>
      </c>
      <c r="R55" s="17">
        <f>IF(I55&gt;K55,1-_xlfn.NORM.DIST(I55,K55,M55,1),_xlfn.NORM.DIST(I55,K55,M55,1))</f>
        <v>0.40192701997671243</v>
      </c>
      <c r="S55" s="43">
        <f>IF($C55=0," ",COUNTIFS($C:$C,1,R:R,"&gt;"&amp;R55)+1)</f>
        <v>5</v>
      </c>
      <c r="T55" s="6">
        <f>E55/K55</f>
        <v>198.02768589979175</v>
      </c>
      <c r="U55" s="10">
        <f>IF($C55=0," ",COUNTIFS($C:$C,1,T:T,"&lt;"&amp;T55)+1)</f>
        <v>3</v>
      </c>
    </row>
    <row r="56" spans="1:25" x14ac:dyDescent="0.25">
      <c r="A56" s="4">
        <v>54</v>
      </c>
      <c r="B56" s="4" t="s">
        <v>134</v>
      </c>
      <c r="C56" s="4">
        <v>1</v>
      </c>
      <c r="D56" s="28">
        <f t="array" ref="D56">MAX(IF(Sales!B:B=A56,Sales!C:C))</f>
        <v>24</v>
      </c>
      <c r="E56" s="28">
        <f>SUMIF(Sales!B:B,A56,Sales!E:E)</f>
        <v>200</v>
      </c>
      <c r="F56" s="31">
        <f>IF($C56=0," ",COUNTIFS($C:$C,1,E:E,"&gt;"&amp;E56)+1)</f>
        <v>26</v>
      </c>
      <c r="G56" s="28">
        <f>SUMIF(Sales!B:B,A56,Sales!D:D)</f>
        <v>20</v>
      </c>
      <c r="H56" s="28">
        <f>IF($C56=0," ",COUNTIFS($C:$C,1,G:G,"&gt;"&amp;G56)+1)</f>
        <v>27</v>
      </c>
      <c r="I56" s="28">
        <f>SUMIF(Prizes!B:B,A56,Prizes!D:D)</f>
        <v>1</v>
      </c>
      <c r="J56" s="28">
        <f>IF($C56=0," ",COUNTIFS($C:$C,1,I:I,"&gt;"&amp;I56)+1)</f>
        <v>19</v>
      </c>
      <c r="K56" s="29">
        <f>SUMIF(Sales!B:B,A56,Sales!F:F)</f>
        <v>0.88488338370424646</v>
      </c>
      <c r="L56" s="31">
        <f>IF($C56=0," ",COUNTIFS($C:$C,1,K:K,"&gt;"&amp;K56)+1)</f>
        <v>27</v>
      </c>
      <c r="M56" s="29">
        <f>SQRT(SUMIF(Sales!B:B,A56,Sales!G:G))</f>
        <v>0.90508895770575359</v>
      </c>
      <c r="N56" s="29">
        <f>I56-K56</f>
        <v>0.11511661629575354</v>
      </c>
      <c r="O56" s="31">
        <f>IF($C56=0," ",COUNTIFS($C:$C,1,N:N,"&gt;"&amp;N56)+1)</f>
        <v>13</v>
      </c>
      <c r="P56" s="29">
        <f>N56/M56</f>
        <v>0.12718817892503578</v>
      </c>
      <c r="Q56" s="10">
        <f>IF($C56=0," ",COUNTIFS($C:$C,1,P:P,"&gt;"&amp;P56)+1)</f>
        <v>11</v>
      </c>
      <c r="R56" s="17">
        <f>IF(I56&gt;K56,1-_xlfn.NORM.DIST(I56,K56,M56,1),_xlfn.NORM.DIST(I56,K56,M56,1))</f>
        <v>0.44939573062342486</v>
      </c>
      <c r="S56" s="43">
        <f>IF($C56=0," ",COUNTIFS($C:$C,1,R:R,"&gt;"&amp;R56)+1)</f>
        <v>4</v>
      </c>
      <c r="T56" s="6">
        <f>E56/K56</f>
        <v>226.01848298108146</v>
      </c>
      <c r="U56" s="10">
        <f>IF($C56=0," ",COUNTIFS($C:$C,1,T:T,"&lt;"&amp;T56)+1)</f>
        <v>20</v>
      </c>
    </row>
    <row r="57" spans="1:25" x14ac:dyDescent="0.25">
      <c r="A57" s="4">
        <v>55</v>
      </c>
      <c r="B57" s="4" t="s">
        <v>135</v>
      </c>
      <c r="C57" s="4">
        <v>0</v>
      </c>
      <c r="D57" s="28">
        <f t="array" ref="D57">MAX(IF(Sales!B:B=A57,Sales!C:C))</f>
        <v>21</v>
      </c>
      <c r="E57" s="28">
        <f>SUMIF(Sales!B:B,A57,Sales!E:E)</f>
        <v>50</v>
      </c>
      <c r="F57" s="31" t="str">
        <f>IF($C57=0," ",COUNTIFS($C:$C,1,E:E,"&gt;"&amp;E57)+1)</f>
        <v xml:space="preserve"> </v>
      </c>
      <c r="G57" s="28">
        <f>SUMIF(Sales!B:B,A57,Sales!D:D)</f>
        <v>5</v>
      </c>
      <c r="H57" s="28" t="str">
        <f>IF($C57=0," ",COUNTIFS($C:$C,1,G:G,"&gt;"&amp;G57)+1)</f>
        <v xml:space="preserve"> </v>
      </c>
      <c r="I57" s="28">
        <f>SUMIF(Prizes!B:B,A57,Prizes!D:D)</f>
        <v>0</v>
      </c>
      <c r="J57" s="28" t="str">
        <f>IF($C57=0," ",COUNTIFS($C:$C,1,I:I,"&gt;"&amp;I57)+1)</f>
        <v xml:space="preserve"> </v>
      </c>
      <c r="K57" s="29">
        <f>SUMIF(Sales!B:B,A57,Sales!F:F)</f>
        <v>0.13966480446927373</v>
      </c>
      <c r="L57" s="31" t="str">
        <f>IF($C57=0," ",COUNTIFS($C:$C,1,K:K,"&gt;"&amp;K57)+1)</f>
        <v xml:space="preserve"> </v>
      </c>
      <c r="M57" s="29">
        <f>SQRT(SUMIF(Sales!B:B,A57,Sales!G:G))</f>
        <v>0.36429752481921757</v>
      </c>
      <c r="N57" s="29">
        <f>I57-K57</f>
        <v>-0.13966480446927373</v>
      </c>
      <c r="O57" s="31" t="str">
        <f>IF($C57=0," ",COUNTIFS($C:$C,1,N:N,"&gt;"&amp;N57)+1)</f>
        <v xml:space="preserve"> </v>
      </c>
      <c r="P57" s="29">
        <f>N57/M57</f>
        <v>-0.3833811512679981</v>
      </c>
      <c r="Q57" s="10" t="str">
        <f>IF($C57=0," ",COUNTIFS($C:$C,1,P:P,"&gt;"&amp;P57)+1)</f>
        <v xml:space="preserve"> </v>
      </c>
      <c r="R57" s="17">
        <f>IF(I57&gt;K57,1-_xlfn.NORM.DIST(I57,K57,M57,1),_xlfn.NORM.DIST(I57,K57,M57,1))</f>
        <v>0.35071858839852854</v>
      </c>
      <c r="S57" s="43" t="str">
        <f>IF($C57=0," ",COUNTIFS($C:$C,1,R:R,"&gt;"&amp;R57)+1)</f>
        <v xml:space="preserve"> </v>
      </c>
      <c r="T57" s="6">
        <f>E57/K57</f>
        <v>358</v>
      </c>
      <c r="U57" s="10" t="str">
        <f>IF($C57=0," ",COUNTIFS($C:$C,1,T:T,"&lt;"&amp;T57)+1)</f>
        <v xml:space="preserve"> </v>
      </c>
    </row>
    <row r="58" spans="1:25" x14ac:dyDescent="0.25">
      <c r="A58" s="4">
        <v>56</v>
      </c>
      <c r="B58" s="4" t="s">
        <v>137</v>
      </c>
      <c r="C58" s="4">
        <v>0</v>
      </c>
      <c r="D58" s="47">
        <f t="array" ref="D58">MAX(IF(Sales!B:B=A58,Sales!C:C))</f>
        <v>23</v>
      </c>
      <c r="E58" s="47">
        <f>SUMIF(Sales!B:B,A58,Sales!E:E)</f>
        <v>60</v>
      </c>
      <c r="F58" s="48" t="str">
        <f>IF($C58=0," ",COUNTIFS($C:$C,1,E:E,"&gt;"&amp;E58)+1)</f>
        <v xml:space="preserve"> </v>
      </c>
      <c r="G58" s="47">
        <f>SUMIF(Sales!B:B,A58,Sales!D:D)</f>
        <v>6</v>
      </c>
      <c r="H58" s="47" t="str">
        <f>IF($C58=0," ",COUNTIFS($C:$C,1,G:G,"&gt;"&amp;G58)+1)</f>
        <v xml:space="preserve"> </v>
      </c>
      <c r="I58" s="47">
        <f>SUMIF(Prizes!B:B,A58,Prizes!D:D)</f>
        <v>2</v>
      </c>
      <c r="J58" s="47" t="str">
        <f>IF($C58=0," ",COUNTIFS($C:$C,1,I:I,"&gt;"&amp;I58)+1)</f>
        <v xml:space="preserve"> </v>
      </c>
      <c r="K58" s="49">
        <f>SUMIF(Sales!B:B,A58,Sales!F:F)</f>
        <v>0.27500000000000002</v>
      </c>
      <c r="L58" s="48" t="str">
        <f>IF($C58=0," ",COUNTIFS($C:$C,1,K:K,"&gt;"&amp;K58)+1)</f>
        <v xml:space="preserve"> </v>
      </c>
      <c r="M58" s="49">
        <f>SQRT(SUMIF(Sales!B:B,A58,Sales!G:G))</f>
        <v>0.50856891930369497</v>
      </c>
      <c r="N58" s="49">
        <f>I58-K58</f>
        <v>1.7250000000000001</v>
      </c>
      <c r="O58" s="48" t="str">
        <f>IF($C58=0," ",COUNTIFS($C:$C,1,N:N,"&gt;"&amp;N58)+1)</f>
        <v xml:space="preserve"> </v>
      </c>
      <c r="P58" s="49">
        <f>N58/M58</f>
        <v>3.3918706679161139</v>
      </c>
      <c r="Q58" s="10" t="str">
        <f>IF($C58=0," ",COUNTIFS($C:$C,1,P:P,"&gt;"&amp;P58)+1)</f>
        <v xml:space="preserve"> </v>
      </c>
      <c r="R58" s="17">
        <f>IF(I58&gt;K58,1-_xlfn.NORM.DIST(I58,K58,M58,1),_xlfn.NORM.DIST(I58,K58,M58,1))</f>
        <v>3.470859913787816E-4</v>
      </c>
      <c r="S58" s="50" t="str">
        <f>IF($C58=0," ",COUNTIFS($C:$C,1,R:R,"&gt;"&amp;R58)+1)</f>
        <v xml:space="preserve"> </v>
      </c>
      <c r="T58" s="6">
        <f>E58/K58</f>
        <v>218.18181818181816</v>
      </c>
      <c r="U58" s="10" t="str">
        <f>IF($C58=0," ",COUNTIFS($C:$C,1,T:T,"&lt;"&amp;T58)+1)</f>
        <v xml:space="preserve"> </v>
      </c>
    </row>
    <row r="59" spans="1:25" x14ac:dyDescent="0.25">
      <c r="A59" s="4">
        <v>57</v>
      </c>
      <c r="B59" s="4" t="s">
        <v>138</v>
      </c>
      <c r="C59" s="4">
        <v>0</v>
      </c>
      <c r="D59" s="47">
        <f t="array" ref="D59">MAX(IF(Sales!B:B=A59,Sales!C:C))</f>
        <v>23</v>
      </c>
      <c r="E59" s="47">
        <f>SUMIF(Sales!B:B,A59,Sales!E:E)</f>
        <v>80</v>
      </c>
      <c r="F59" s="48" t="str">
        <f>IF($C59=0," ",COUNTIFS($C:$C,1,E:E,"&gt;"&amp;E59)+1)</f>
        <v xml:space="preserve"> </v>
      </c>
      <c r="G59" s="47">
        <f>SUMIF(Sales!B:B,A59,Sales!D:D)</f>
        <v>8</v>
      </c>
      <c r="H59" s="47" t="str">
        <f>IF($C59=0," ",COUNTIFS($C:$C,1,G:G,"&gt;"&amp;G59)+1)</f>
        <v xml:space="preserve"> </v>
      </c>
      <c r="I59" s="47">
        <f>SUMIF(Prizes!B:B,A59,Prizes!D:D)</f>
        <v>0</v>
      </c>
      <c r="J59" s="47" t="str">
        <f>IF($C59=0," ",COUNTIFS($C:$C,1,I:I,"&gt;"&amp;I59)+1)</f>
        <v xml:space="preserve"> </v>
      </c>
      <c r="K59" s="49">
        <f>SUMIF(Sales!B:B,A59,Sales!F:F)</f>
        <v>0.35</v>
      </c>
      <c r="L59" s="48" t="str">
        <f>IF($C59=0," ",COUNTIFS($C:$C,1,K:K,"&gt;"&amp;K59)+1)</f>
        <v xml:space="preserve"> </v>
      </c>
      <c r="M59" s="49">
        <f>SQRT(SUMIF(Sales!B:B,A59,Sales!G:G))</f>
        <v>0.57228768901390514</v>
      </c>
      <c r="N59" s="49">
        <f>I59-K59</f>
        <v>-0.35</v>
      </c>
      <c r="O59" s="48" t="str">
        <f>IF($C59=0," ",COUNTIFS($C:$C,1,N:N,"&gt;"&amp;N59)+1)</f>
        <v xml:space="preserve"> </v>
      </c>
      <c r="P59" s="49">
        <f>N59/M59</f>
        <v>-0.61158051574213723</v>
      </c>
      <c r="Q59" s="10" t="str">
        <f>IF($C59=0," ",COUNTIFS($C:$C,1,P:P,"&gt;"&amp;P59)+1)</f>
        <v xml:space="preserve"> </v>
      </c>
      <c r="R59" s="17">
        <f>IF(I59&gt;K59,1-_xlfn.NORM.DIST(I59,K59,M59,1),_xlfn.NORM.DIST(I59,K59,M59,1))</f>
        <v>0.27040766625583312</v>
      </c>
      <c r="S59" s="50" t="str">
        <f>IF($C59=0," ",COUNTIFS($C:$C,1,R:R,"&gt;"&amp;R59)+1)</f>
        <v xml:space="preserve"> </v>
      </c>
      <c r="T59" s="6">
        <f>E59/K59</f>
        <v>228.57142857142858</v>
      </c>
      <c r="U59" s="10" t="str">
        <f>IF($C59=0," ",COUNTIFS($C:$C,1,T:T,"&lt;"&amp;T59)+1)</f>
        <v xml:space="preserve"> </v>
      </c>
    </row>
    <row r="60" spans="1:25" x14ac:dyDescent="0.25">
      <c r="A60" s="4">
        <v>58</v>
      </c>
      <c r="B60" s="4" t="s">
        <v>141</v>
      </c>
      <c r="C60" s="4">
        <v>0</v>
      </c>
      <c r="D60" s="47">
        <f t="array" ref="D60">MAX(IF(Sales!B:B=A60,Sales!C:C))</f>
        <v>23</v>
      </c>
      <c r="E60" s="47">
        <f>SUMIF(Sales!B:B,A60,Sales!E:E)</f>
        <v>40</v>
      </c>
      <c r="F60" s="48" t="str">
        <f>IF($C60=0," ",COUNTIFS($C:$C,1,E:E,"&gt;"&amp;E60)+1)</f>
        <v xml:space="preserve"> </v>
      </c>
      <c r="G60" s="47">
        <f>SUMIF(Sales!B:B,A60,Sales!D:D)</f>
        <v>4</v>
      </c>
      <c r="H60" s="47" t="str">
        <f>IF($C60=0," ",COUNTIFS($C:$C,1,G:G,"&gt;"&amp;G60)+1)</f>
        <v xml:space="preserve"> </v>
      </c>
      <c r="I60" s="47">
        <f>SUMIF(Prizes!B:B,A60,Prizes!D:D)</f>
        <v>0</v>
      </c>
      <c r="J60" s="47" t="str">
        <f>IF($C60=0," ",COUNTIFS($C:$C,1,I:I,"&gt;"&amp;I60)+1)</f>
        <v xml:space="preserve"> </v>
      </c>
      <c r="K60" s="49">
        <f>SUMIF(Sales!B:B,A60,Sales!F:F)</f>
        <v>0.16666666666666666</v>
      </c>
      <c r="L60" s="48" t="str">
        <f>IF($C60=0," ",COUNTIFS($C:$C,1,K:K,"&gt;"&amp;K60)+1)</f>
        <v xml:space="preserve"> </v>
      </c>
      <c r="M60" s="49">
        <f>SQRT(SUMIF(Sales!B:B,A60,Sales!G:G))</f>
        <v>0.39650157152113763</v>
      </c>
      <c r="N60" s="49">
        <f>I60-K60</f>
        <v>-0.16666666666666666</v>
      </c>
      <c r="O60" s="48" t="str">
        <f>IF($C60=0," ",COUNTIFS($C:$C,1,N:N,"&gt;"&amp;N60)+1)</f>
        <v xml:space="preserve"> </v>
      </c>
      <c r="P60" s="49">
        <f>N60/M60</f>
        <v>-0.42034301661722823</v>
      </c>
      <c r="Q60" s="10" t="str">
        <f>IF($C60=0," ",COUNTIFS($C:$C,1,P:P,"&gt;"&amp;P60)+1)</f>
        <v xml:space="preserve"> </v>
      </c>
      <c r="R60" s="17">
        <f>IF(I60&gt;K60,1-_xlfn.NORM.DIST(I60,K60,M60,1),_xlfn.NORM.DIST(I60,K60,M60,1))</f>
        <v>0.33711744470907012</v>
      </c>
      <c r="S60" s="50" t="str">
        <f>IF($C60=0," ",COUNTIFS($C:$C,1,R:R,"&gt;"&amp;R60)+1)</f>
        <v xml:space="preserve"> </v>
      </c>
      <c r="T60" s="6">
        <f>E60/K60</f>
        <v>240</v>
      </c>
      <c r="U60" s="10" t="str">
        <f>IF($C60=0," ",COUNTIFS($C:$C,1,T:T,"&lt;"&amp;T60)+1)</f>
        <v xml:space="preserve"> </v>
      </c>
    </row>
    <row r="61" spans="1:25" x14ac:dyDescent="0.25">
      <c r="A61" s="4">
        <v>59</v>
      </c>
      <c r="B61" s="4" t="s">
        <v>142</v>
      </c>
      <c r="C61" s="4">
        <v>1</v>
      </c>
      <c r="D61" s="47">
        <f t="array" ref="D61">MAX(IF(Sales!B:B=A61,Sales!C:C))</f>
        <v>23</v>
      </c>
      <c r="E61" s="47">
        <f>SUMIF(Sales!B:B,A61,Sales!E:E)</f>
        <v>50</v>
      </c>
      <c r="F61" s="48">
        <f>IF($C61=0," ",COUNTIFS($C:$C,1,E:E,"&gt;"&amp;E61)+1)</f>
        <v>30</v>
      </c>
      <c r="G61" s="47">
        <f>SUMIF(Sales!B:B,A61,Sales!D:D)</f>
        <v>5</v>
      </c>
      <c r="H61" s="47">
        <f>IF($C61=0," ",COUNTIFS($C:$C,1,G:G,"&gt;"&amp;G61)+1)</f>
        <v>30</v>
      </c>
      <c r="I61" s="47">
        <f>SUMIF(Prizes!B:B,A61,Prizes!D:D)</f>
        <v>0</v>
      </c>
      <c r="J61" s="47">
        <f>IF($C61=0," ",COUNTIFS($C:$C,1,I:I,"&gt;"&amp;I61)+1)</f>
        <v>24</v>
      </c>
      <c r="K61" s="49">
        <f>SUMIF(Sales!B:B,A61,Sales!F:F)</f>
        <v>0.20833333333333331</v>
      </c>
      <c r="L61" s="48">
        <f>IF($C61=0," ",COUNTIFS($C:$C,1,K:K,"&gt;"&amp;K61)+1)</f>
        <v>32</v>
      </c>
      <c r="M61" s="49">
        <f>SQRT(SUMIF(Sales!B:B,A61,Sales!G:G))</f>
        <v>0.44212166625484495</v>
      </c>
      <c r="N61" s="49">
        <f>I61-K61</f>
        <v>-0.20833333333333331</v>
      </c>
      <c r="O61" s="48">
        <f>IF($C61=0," ",COUNTIFS($C:$C,1,N:N,"&gt;"&amp;N61)+1)</f>
        <v>15</v>
      </c>
      <c r="P61" s="49">
        <f>N61/M61</f>
        <v>-0.47121267568291292</v>
      </c>
      <c r="Q61" s="10">
        <f>IF($C61=0," ",COUNTIFS($C:$C,1,P:P,"&gt;"&amp;P61)+1)</f>
        <v>17</v>
      </c>
      <c r="R61" s="17">
        <f>IF(I61&gt;K61,1-_xlfn.NORM.DIST(I61,K61,M61,1),_xlfn.NORM.DIST(I61,K61,M61,1))</f>
        <v>0.31874443385238571</v>
      </c>
      <c r="S61" s="50">
        <f>IF($C61=0," ",COUNTIFS($C:$C,1,R:R,"&gt;"&amp;R61)+1)</f>
        <v>11</v>
      </c>
      <c r="T61" s="6">
        <f>E61/K61</f>
        <v>240.00000000000003</v>
      </c>
      <c r="U61" s="10">
        <f>IF($C61=0," ",COUNTIFS($C:$C,1,T:T,"&lt;"&amp;T61)+1)</f>
        <v>25</v>
      </c>
    </row>
    <row r="62" spans="1:25" x14ac:dyDescent="0.25">
      <c r="A62" s="4">
        <v>60</v>
      </c>
      <c r="B62" s="4" t="s">
        <v>143</v>
      </c>
      <c r="C62" s="4">
        <v>1</v>
      </c>
      <c r="D62" s="47">
        <f t="array" ref="D62">MAX(IF(Sales!B:B=A62,Sales!C:C))</f>
        <v>23</v>
      </c>
      <c r="E62" s="47">
        <f>SUMIF(Sales!B:B,A62,Sales!E:E)</f>
        <v>100</v>
      </c>
      <c r="F62" s="48">
        <f>IF($C62=0," ",COUNTIFS($C:$C,1,E:E,"&gt;"&amp;E62)+1)</f>
        <v>29</v>
      </c>
      <c r="G62" s="47">
        <f>SUMIF(Sales!B:B,A62,Sales!D:D)</f>
        <v>10</v>
      </c>
      <c r="H62" s="47">
        <f>IF($C62=0," ",COUNTIFS($C:$C,1,G:G,"&gt;"&amp;G62)+1)</f>
        <v>29</v>
      </c>
      <c r="I62" s="47">
        <f>SUMIF(Prizes!B:B,A62,Prizes!D:D)</f>
        <v>1</v>
      </c>
      <c r="J62" s="47">
        <f>IF($C62=0," ",COUNTIFS($C:$C,1,I:I,"&gt;"&amp;I62)+1)</f>
        <v>19</v>
      </c>
      <c r="K62" s="49">
        <f>SUMIF(Sales!B:B,A62,Sales!F:F)</f>
        <v>0.41666666666666663</v>
      </c>
      <c r="L62" s="48">
        <f>IF($C62=0," ",COUNTIFS($C:$C,1,K:K,"&gt;"&amp;K62)+1)</f>
        <v>29</v>
      </c>
      <c r="M62" s="49">
        <f>SQRT(SUMIF(Sales!B:B,A62,Sales!G:G))</f>
        <v>0.61683880433171323</v>
      </c>
      <c r="N62" s="49">
        <f>I62-K62</f>
        <v>0.58333333333333337</v>
      </c>
      <c r="O62" s="48">
        <f>IF($C62=0," ",COUNTIFS($C:$C,1,N:N,"&gt;"&amp;N62)+1)</f>
        <v>9</v>
      </c>
      <c r="P62" s="49">
        <f>N62/M62</f>
        <v>0.94568196623965661</v>
      </c>
      <c r="Q62" s="10">
        <f>IF($C62=0," ",COUNTIFS($C:$C,1,P:P,"&gt;"&amp;P62)+1)</f>
        <v>3</v>
      </c>
      <c r="R62" s="17">
        <f>IF(I62&gt;K62,1-_xlfn.NORM.DIST(I62,K62,M62,1),_xlfn.NORM.DIST(I62,K62,M62,1))</f>
        <v>0.1721554116441345</v>
      </c>
      <c r="S62" s="50">
        <f>IF($C62=0," ",COUNTIFS($C:$C,1,R:R,"&gt;"&amp;R62)+1)</f>
        <v>22</v>
      </c>
      <c r="T62" s="6">
        <f>E62/K62</f>
        <v>240.00000000000003</v>
      </c>
      <c r="U62" s="10">
        <f>IF($C62=0," ",COUNTIFS($C:$C,1,T:T,"&lt;"&amp;T62)+1)</f>
        <v>25</v>
      </c>
    </row>
    <row r="63" spans="1:25" x14ac:dyDescent="0.25">
      <c r="A63" s="4">
        <v>61</v>
      </c>
      <c r="B63" s="4" t="s">
        <v>159</v>
      </c>
      <c r="C63" s="4">
        <v>1</v>
      </c>
      <c r="D63" s="47">
        <f t="array" ref="D63">MAX(IF(Sales!B:B=A63,Sales!C:C))</f>
        <v>24</v>
      </c>
      <c r="E63" s="47">
        <f>SUMIF(Sales!B:B,A63,Sales!E:E)</f>
        <v>50</v>
      </c>
      <c r="F63" s="48">
        <f>IF($C63=0," ",COUNTIFS($C:$C,1,E:E,"&gt;"&amp;E63)+1)</f>
        <v>30</v>
      </c>
      <c r="G63" s="47">
        <f>SUMIF(Sales!B:B,A63,Sales!D:D)</f>
        <v>5</v>
      </c>
      <c r="H63" s="47">
        <f>IF($C63=0," ",COUNTIFS($C:$C,1,G:G,"&gt;"&amp;G63)+1)</f>
        <v>30</v>
      </c>
      <c r="I63" s="47">
        <f>SUMIF(Prizes!B:B,A63,Prizes!D:D)</f>
        <v>0</v>
      </c>
      <c r="J63" s="47">
        <f>IF($C63=0," ",COUNTIFS($C:$C,1,I:I,"&gt;"&amp;I63)+1)</f>
        <v>24</v>
      </c>
      <c r="K63" s="49">
        <f>SUMIF(Sales!B:B,A63,Sales!F:F)</f>
        <v>0.28688524590163933</v>
      </c>
      <c r="L63" s="48">
        <f>IF($C63=0," ",COUNTIFS($C:$C,1,K:K,"&gt;"&amp;K63)+1)</f>
        <v>30</v>
      </c>
      <c r="M63" s="49">
        <f>SQRT(SUMIF(Sales!B:B,A63,Sales!G:G))</f>
        <v>0.51135600150661131</v>
      </c>
      <c r="N63" s="49">
        <f>I63-K63</f>
        <v>-0.28688524590163933</v>
      </c>
      <c r="O63" s="48">
        <f>IF($C63=0," ",COUNTIFS($C:$C,1,N:N,"&gt;"&amp;N63)+1)</f>
        <v>18</v>
      </c>
      <c r="P63" s="49">
        <f>N63/M63</f>
        <v>-0.5610284128012335</v>
      </c>
      <c r="Q63" s="10">
        <f>IF($C63=0," ",COUNTIFS($C:$C,1,P:P,"&gt;"&amp;P63)+1)</f>
        <v>20</v>
      </c>
      <c r="R63" s="17">
        <f>IF(I63&gt;K63,1-_xlfn.NORM.DIST(I63,K63,M63,1),_xlfn.NORM.DIST(I63,K63,M63,1))</f>
        <v>0.2873890840329536</v>
      </c>
      <c r="S63" s="50">
        <f>IF($C63=0," ",COUNTIFS($C:$C,1,R:R,"&gt;"&amp;R63)+1)</f>
        <v>14</v>
      </c>
      <c r="T63" s="6">
        <f>E63/K63</f>
        <v>174.28571428571431</v>
      </c>
      <c r="U63" s="10">
        <f>IF($C63=0," ",COUNTIFS($C:$C,1,T:T,"&lt;"&amp;T63)+1)</f>
        <v>1</v>
      </c>
    </row>
    <row r="64" spans="1:25" x14ac:dyDescent="0.25">
      <c r="A64" s="4">
        <v>62</v>
      </c>
      <c r="B64" s="4" t="s">
        <v>160</v>
      </c>
      <c r="C64" s="4">
        <v>0</v>
      </c>
      <c r="D64" s="47">
        <f t="array" ref="D64">MAX(IF(Sales!B:B=A64,Sales!C:C))</f>
        <v>24</v>
      </c>
      <c r="E64" s="47">
        <f>SUMIF(Sales!B:B,A64,Sales!E:E)</f>
        <v>70</v>
      </c>
      <c r="F64" s="48" t="str">
        <f>IF($C64=0," ",COUNTIFS($C:$C,1,E:E,"&gt;"&amp;E64)+1)</f>
        <v xml:space="preserve"> </v>
      </c>
      <c r="G64" s="47">
        <f>SUMIF(Sales!B:B,A64,Sales!D:D)</f>
        <v>7</v>
      </c>
      <c r="H64" s="47" t="str">
        <f>IF($C64=0," ",COUNTIFS($C:$C,1,G:G,"&gt;"&amp;G64)+1)</f>
        <v xml:space="preserve"> </v>
      </c>
      <c r="I64" s="47">
        <f>SUMIF(Prizes!B:B,A64,Prizes!D:D)</f>
        <v>1</v>
      </c>
      <c r="J64" s="47" t="str">
        <f>IF($C64=0," ",COUNTIFS($C:$C,1,I:I,"&gt;"&amp;I64)+1)</f>
        <v xml:space="preserve"> </v>
      </c>
      <c r="K64" s="49">
        <f>SUMIF(Sales!B:B,A64,Sales!F:F)</f>
        <v>0.40163934426229508</v>
      </c>
      <c r="L64" s="48" t="str">
        <f>IF($C64=0," ",COUNTIFS($C:$C,1,K:K,"&gt;"&amp;K64)+1)</f>
        <v xml:space="preserve"> </v>
      </c>
      <c r="M64" s="49">
        <f>SQRT(SUMIF(Sales!B:B,A64,Sales!G:G))</f>
        <v>0.59985096870342769</v>
      </c>
      <c r="N64" s="49">
        <f>I64-K64</f>
        <v>0.59836065573770492</v>
      </c>
      <c r="O64" s="48" t="str">
        <f>IF($C64=0," ",COUNTIFS($C:$C,1,N:N,"&gt;"&amp;N64)+1)</f>
        <v xml:space="preserve"> </v>
      </c>
      <c r="P64" s="49">
        <f>N64/M64</f>
        <v>0.99751552795031062</v>
      </c>
      <c r="Q64" s="10" t="str">
        <f>IF($C64=0," ",COUNTIFS($C:$C,1,P:P,"&gt;"&amp;P64)+1)</f>
        <v xml:space="preserve"> </v>
      </c>
      <c r="R64" s="17">
        <f>IF(I64&gt;K64,1-_xlfn.NORM.DIST(I64,K64,M64,1),_xlfn.NORM.DIST(I64,K64,M64,1))</f>
        <v>0.15925717022701158</v>
      </c>
      <c r="S64" s="50" t="str">
        <f>IF($C64=0," ",COUNTIFS($C:$C,1,R:R,"&gt;"&amp;R64)+1)</f>
        <v xml:space="preserve"> </v>
      </c>
      <c r="T64" s="6">
        <f>E64/K64</f>
        <v>174.28571428571428</v>
      </c>
      <c r="U64" s="10" t="str">
        <f>IF($C64=0," ",COUNTIFS($C:$C,1,T:T,"&lt;"&amp;T64)+1)</f>
        <v xml:space="preserve"> </v>
      </c>
    </row>
    <row r="65" spans="1:21" x14ac:dyDescent="0.25">
      <c r="A65" s="4">
        <v>63</v>
      </c>
      <c r="B65" s="4" t="s">
        <v>161</v>
      </c>
      <c r="C65" s="4">
        <v>1</v>
      </c>
      <c r="D65" s="47">
        <f t="array" ref="D65">MAX(IF(Sales!B:B=A65,Sales!C:C))</f>
        <v>24</v>
      </c>
      <c r="E65" s="47">
        <f>SUMIF(Sales!B:B,A65,Sales!E:E)</f>
        <v>40</v>
      </c>
      <c r="F65" s="48">
        <f>IF($C65=0," ",COUNTIFS($C:$C,1,E:E,"&gt;"&amp;E65)+1)</f>
        <v>32</v>
      </c>
      <c r="G65" s="47">
        <f>SUMIF(Sales!B:B,A65,Sales!D:D)</f>
        <v>4</v>
      </c>
      <c r="H65" s="47">
        <f>IF($C65=0," ",COUNTIFS($C:$C,1,G:G,"&gt;"&amp;G65)+1)</f>
        <v>32</v>
      </c>
      <c r="I65" s="47">
        <f>SUMIF(Prizes!B:B,A65,Prizes!D:D)</f>
        <v>0</v>
      </c>
      <c r="J65" s="47">
        <f>IF($C65=0," ",COUNTIFS($C:$C,1,I:I,"&gt;"&amp;I65)+1)</f>
        <v>24</v>
      </c>
      <c r="K65" s="49">
        <f>SUMIF(Sales!B:B,A65,Sales!F:F)</f>
        <v>0.22950819672131148</v>
      </c>
      <c r="L65" s="48">
        <f>IF($C65=0," ",COUNTIFS($C:$C,1,K:K,"&gt;"&amp;K65)+1)</f>
        <v>31</v>
      </c>
      <c r="M65" s="49">
        <f>SQRT(SUMIF(Sales!B:B,A65,Sales!G:G))</f>
        <v>0.45932112903042449</v>
      </c>
      <c r="N65" s="49">
        <f>I65-K65</f>
        <v>-0.22950819672131148</v>
      </c>
      <c r="O65" s="48">
        <f>IF($C65=0," ",COUNTIFS($C:$C,1,N:N,"&gt;"&amp;N65)+1)</f>
        <v>16</v>
      </c>
      <c r="P65" s="49">
        <f>N65/M65</f>
        <v>-0.49966827610516767</v>
      </c>
      <c r="Q65" s="10">
        <f>IF($C65=0," ",COUNTIFS($C:$C,1,P:P,"&gt;"&amp;P65)+1)</f>
        <v>18</v>
      </c>
      <c r="R65" s="17">
        <f>IF(I65&gt;K65,1-_xlfn.NORM.DIST(I65,K65,M65,1),_xlfn.NORM.DIST(I65,K65,M65,1))</f>
        <v>0.30865433689119232</v>
      </c>
      <c r="S65" s="50">
        <f>IF($C65=0," ",COUNTIFS($C:$C,1,R:R,"&gt;"&amp;R65)+1)</f>
        <v>12</v>
      </c>
      <c r="T65" s="6">
        <f>E65/K65</f>
        <v>174.28571428571428</v>
      </c>
      <c r="U65" s="10">
        <f>IF($C65=0," ",COUNTIFS($C:$C,1,T:T,"&lt;"&amp;T65)+1)</f>
        <v>1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K35" sqref="K35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18" t="s">
        <v>48</v>
      </c>
      <c r="E1" s="45" t="s">
        <v>130</v>
      </c>
      <c r="F1" s="18" t="s">
        <v>21</v>
      </c>
      <c r="G1" s="18" t="s">
        <v>84</v>
      </c>
      <c r="H1" s="18" t="s">
        <v>98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>C23*D23</f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  <row r="24" spans="1:8" x14ac:dyDescent="0.25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>C24*D24</f>
        <v>1920</v>
      </c>
      <c r="F24" s="7">
        <f>SUMIFS(Prizes!D:D,Prizes!C:C,A24)</f>
        <v>8</v>
      </c>
      <c r="G24" s="3">
        <f>F24/D24</f>
        <v>4.1666666666666664E-2</v>
      </c>
      <c r="H24" s="27">
        <f>C24*D24/F24</f>
        <v>240</v>
      </c>
    </row>
    <row r="25" spans="1:8" x14ac:dyDescent="0.25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>C25*D25</f>
        <v>1220</v>
      </c>
      <c r="F25" s="7">
        <f>SUMIFS(Prizes!D:D,Prizes!C:C,A25)</f>
        <v>7</v>
      </c>
      <c r="G25" s="3">
        <f>F25/D25</f>
        <v>5.737704918032787E-2</v>
      </c>
      <c r="H25" s="27">
        <f>C25*D25/F25</f>
        <v>174.28571428571428</v>
      </c>
    </row>
  </sheetData>
  <conditionalFormatting sqref="H2:H25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"/>
  <sheetViews>
    <sheetView showGridLines="0" topLeftCell="A405" workbookViewId="0">
      <selection activeCell="F444" sqref="F444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49</v>
      </c>
      <c r="F1" s="18" t="s">
        <v>83</v>
      </c>
      <c r="G1" s="22" t="s">
        <v>32</v>
      </c>
      <c r="J1" t="s">
        <v>88</v>
      </c>
      <c r="K1" s="13">
        <f>SUM(E:E)</f>
        <v>34120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25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25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25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25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25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25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25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25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25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25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25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25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25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25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25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25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25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12" x14ac:dyDescent="0.25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12" x14ac:dyDescent="0.25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12" x14ac:dyDescent="0.25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12" x14ac:dyDescent="0.25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12" x14ac:dyDescent="0.25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12" x14ac:dyDescent="0.25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>
        <f>INDEX(Persons!A:A,MATCH(Sales!I438,Persons!B:B,0))</f>
        <v>53</v>
      </c>
      <c r="I438" s="2" t="str">
        <f t="shared" ref="I438:I454" si="0">MID(L438,FIND("""name"": """,L438)+9,FIND("""",L438,FIND("""name"": """,L438)+9)-FIND("""name"": """,L438)-9)</f>
        <v>Sondre</v>
      </c>
      <c r="J438">
        <f t="shared" ref="J438:J454" si="1">VALUE(MID(L438,FIND("""tickets"": ",L438)+11,MIN(IFERROR(FIND(",",L438,FIND("""tickets"": ",L438)),100),FIND("}",L438,FIND("""tickets"": ",L438)))-FIND("""tickets"": ",L438)-11))</f>
        <v>10</v>
      </c>
      <c r="L438" t="s">
        <v>145</v>
      </c>
    </row>
    <row r="439" spans="1:12" x14ac:dyDescent="0.25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>
        <f>INDEX(Persons!A:A,MATCH(Sales!I439,Persons!B:B,0))</f>
        <v>37</v>
      </c>
      <c r="I439" s="2" t="str">
        <f t="shared" si="0"/>
        <v>Ruben O</v>
      </c>
      <c r="J439">
        <f t="shared" si="1"/>
        <v>10</v>
      </c>
      <c r="L439" t="s">
        <v>146</v>
      </c>
    </row>
    <row r="440" spans="1:12" x14ac:dyDescent="0.25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>
        <f>INDEX(Persons!A:A,MATCH(Sales!I440,Persons!B:B,0))</f>
        <v>35</v>
      </c>
      <c r="I440" s="2" t="str">
        <f t="shared" si="0"/>
        <v>Mathias</v>
      </c>
      <c r="J440">
        <f t="shared" si="1"/>
        <v>5</v>
      </c>
      <c r="L440" t="s">
        <v>133</v>
      </c>
    </row>
    <row r="441" spans="1:12" x14ac:dyDescent="0.25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>
        <f>INDEX(Persons!A:A,MATCH(Sales!I441,Persons!B:B,0))</f>
        <v>15</v>
      </c>
      <c r="I441" s="2" t="str">
        <f t="shared" si="0"/>
        <v>Yngvar</v>
      </c>
      <c r="J441">
        <f t="shared" si="1"/>
        <v>6</v>
      </c>
      <c r="L441" t="s">
        <v>147</v>
      </c>
    </row>
    <row r="442" spans="1:12" x14ac:dyDescent="0.25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>
        <f>INDEX(Persons!A:A,MATCH(Sales!I442,Persons!B:B,0))</f>
        <v>54</v>
      </c>
      <c r="I442" s="2" t="str">
        <f t="shared" si="0"/>
        <v>Morten S</v>
      </c>
      <c r="J442">
        <f t="shared" si="1"/>
        <v>5</v>
      </c>
      <c r="L442" t="s">
        <v>158</v>
      </c>
    </row>
    <row r="443" spans="1:12" x14ac:dyDescent="0.25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>
        <f>INDEX(Persons!A:A,MATCH(Sales!I443,Persons!B:B,0))</f>
        <v>33</v>
      </c>
      <c r="I443" s="2" t="str">
        <f t="shared" si="0"/>
        <v>Anders A</v>
      </c>
      <c r="J443">
        <f t="shared" si="1"/>
        <v>10</v>
      </c>
      <c r="L443" t="s">
        <v>148</v>
      </c>
    </row>
    <row r="444" spans="1:12" x14ac:dyDescent="0.25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>
        <f>INDEX(Persons!A:A,MATCH(Sales!I444,Persons!B:B,0))</f>
        <v>10</v>
      </c>
      <c r="I444" s="2" t="str">
        <f t="shared" si="0"/>
        <v>Odd</v>
      </c>
      <c r="J444">
        <f t="shared" si="1"/>
        <v>10</v>
      </c>
      <c r="L444" t="s">
        <v>139</v>
      </c>
    </row>
    <row r="445" spans="1:12" x14ac:dyDescent="0.25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>
        <f>INDEX(Persons!A:A,MATCH(Sales!I445,Persons!B:B,0))</f>
        <v>34</v>
      </c>
      <c r="I445" s="2" t="str">
        <f t="shared" si="0"/>
        <v>Asgeir</v>
      </c>
      <c r="J445">
        <f t="shared" si="1"/>
        <v>5</v>
      </c>
      <c r="L445" t="s">
        <v>149</v>
      </c>
    </row>
    <row r="446" spans="1:12" x14ac:dyDescent="0.25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>
        <f>INDEX(Persons!A:A,MATCH(Sales!I446,Persons!B:B,0))</f>
        <v>44</v>
      </c>
      <c r="I446" s="2" t="str">
        <f t="shared" si="0"/>
        <v>Jan</v>
      </c>
      <c r="J446">
        <f t="shared" si="1"/>
        <v>10</v>
      </c>
      <c r="L446" t="s">
        <v>150</v>
      </c>
    </row>
    <row r="447" spans="1:12" x14ac:dyDescent="0.25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>
        <f>INDEX(Persons!A:A,MATCH(Sales!I447,Persons!B:B,0))</f>
        <v>11</v>
      </c>
      <c r="I447" s="2" t="str">
        <f t="shared" si="0"/>
        <v>Stein</v>
      </c>
      <c r="J447">
        <f t="shared" si="1"/>
        <v>5</v>
      </c>
      <c r="L447" t="s">
        <v>151</v>
      </c>
    </row>
    <row r="448" spans="1:12" x14ac:dyDescent="0.25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>
        <f>INDEX(Persons!A:A,MATCH(Sales!I448,Persons!B:B,0))</f>
        <v>61</v>
      </c>
      <c r="I448" s="2" t="str">
        <f t="shared" si="0"/>
        <v>Tone</v>
      </c>
      <c r="J448">
        <f t="shared" si="1"/>
        <v>5</v>
      </c>
      <c r="L448" t="s">
        <v>152</v>
      </c>
    </row>
    <row r="449" spans="1:12" x14ac:dyDescent="0.25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>
        <f>INDEX(Persons!A:A,MATCH(Sales!I449,Persons!B:B,0))</f>
        <v>48</v>
      </c>
      <c r="I449" s="2" t="str">
        <f t="shared" si="0"/>
        <v>Ivan</v>
      </c>
      <c r="J449">
        <f t="shared" si="1"/>
        <v>10</v>
      </c>
      <c r="L449" t="s">
        <v>153</v>
      </c>
    </row>
    <row r="450" spans="1:12" x14ac:dyDescent="0.25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>
        <f>INDEX(Persons!A:A,MATCH(Sales!I450,Persons!B:B,0))</f>
        <v>62</v>
      </c>
      <c r="I450" s="2" t="str">
        <f t="shared" si="0"/>
        <v>Payam</v>
      </c>
      <c r="J450">
        <f t="shared" si="1"/>
        <v>7</v>
      </c>
      <c r="L450" t="s">
        <v>154</v>
      </c>
    </row>
    <row r="451" spans="1:12" x14ac:dyDescent="0.25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>
        <f>INDEX(Persons!A:A,MATCH(Sales!I451,Persons!B:B,0))</f>
        <v>43</v>
      </c>
      <c r="I451" s="2" t="str">
        <f t="shared" si="0"/>
        <v>Andreas</v>
      </c>
      <c r="J451">
        <f t="shared" si="1"/>
        <v>5</v>
      </c>
      <c r="L451" t="s">
        <v>155</v>
      </c>
    </row>
    <row r="452" spans="1:12" x14ac:dyDescent="0.25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>
        <f>INDEX(Persons!A:A,MATCH(Sales!I452,Persons!B:B,0))</f>
        <v>63</v>
      </c>
      <c r="I452" s="2" t="str">
        <f t="shared" si="0"/>
        <v>Håkon</v>
      </c>
      <c r="J452">
        <f t="shared" si="1"/>
        <v>4</v>
      </c>
      <c r="L452" t="s">
        <v>156</v>
      </c>
    </row>
    <row r="453" spans="1:12" x14ac:dyDescent="0.25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>
        <f>INDEX(Persons!A:A,MATCH(Sales!I453,Persons!B:B,0))</f>
        <v>41</v>
      </c>
      <c r="I453" s="2" t="str">
        <f t="shared" si="0"/>
        <v>Ruben B</v>
      </c>
      <c r="J453">
        <f t="shared" si="1"/>
        <v>5</v>
      </c>
      <c r="L453" t="s">
        <v>140</v>
      </c>
    </row>
    <row r="454" spans="1:12" x14ac:dyDescent="0.25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>
        <f>INDEX(Persons!A:A,MATCH(Sales!I454,Persons!B:B,0))</f>
        <v>29</v>
      </c>
      <c r="I454" s="2" t="str">
        <f t="shared" si="0"/>
        <v>Magnus B</v>
      </c>
      <c r="J454">
        <f t="shared" si="1"/>
        <v>10</v>
      </c>
      <c r="L454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topLeftCell="A96" workbookViewId="0">
      <selection activeCell="B129" sqref="B129:B134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43</v>
      </c>
      <c r="H1">
        <f>SUM(D:D)</f>
        <v>149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4" x14ac:dyDescent="0.25">
      <c r="A113">
        <v>112</v>
      </c>
      <c r="B113">
        <v>48</v>
      </c>
      <c r="C113">
        <v>20</v>
      </c>
      <c r="D113">
        <v>1</v>
      </c>
    </row>
    <row r="114" spans="1:4" x14ac:dyDescent="0.25">
      <c r="A114">
        <v>113</v>
      </c>
      <c r="B114">
        <v>17</v>
      </c>
      <c r="C114">
        <v>21</v>
      </c>
      <c r="D114">
        <v>1</v>
      </c>
    </row>
    <row r="115" spans="1:4" x14ac:dyDescent="0.25">
      <c r="A115">
        <v>114</v>
      </c>
      <c r="B115">
        <v>34</v>
      </c>
      <c r="C115">
        <v>21</v>
      </c>
      <c r="D115">
        <v>1</v>
      </c>
    </row>
    <row r="116" spans="1:4" x14ac:dyDescent="0.25">
      <c r="A116">
        <v>115</v>
      </c>
      <c r="B116">
        <v>48</v>
      </c>
      <c r="C116">
        <v>21</v>
      </c>
      <c r="D116">
        <v>1</v>
      </c>
    </row>
    <row r="117" spans="1:4" x14ac:dyDescent="0.25">
      <c r="A117">
        <v>116</v>
      </c>
      <c r="B117">
        <v>13</v>
      </c>
      <c r="C117">
        <v>21</v>
      </c>
      <c r="D117">
        <v>1</v>
      </c>
    </row>
    <row r="118" spans="1:4" x14ac:dyDescent="0.25">
      <c r="A118">
        <v>117</v>
      </c>
      <c r="B118">
        <v>10</v>
      </c>
      <c r="C118">
        <v>21</v>
      </c>
      <c r="D118">
        <v>1</v>
      </c>
    </row>
    <row r="119" spans="1:4" x14ac:dyDescent="0.25">
      <c r="A119">
        <v>118</v>
      </c>
      <c r="B119">
        <v>13</v>
      </c>
      <c r="C119">
        <v>22</v>
      </c>
      <c r="D119">
        <v>2</v>
      </c>
    </row>
    <row r="120" spans="1:4" x14ac:dyDescent="0.25">
      <c r="A120">
        <v>119</v>
      </c>
      <c r="B120">
        <v>56</v>
      </c>
      <c r="C120">
        <v>22</v>
      </c>
      <c r="D120">
        <v>2</v>
      </c>
    </row>
    <row r="121" spans="1:4" x14ac:dyDescent="0.25">
      <c r="A121">
        <v>120</v>
      </c>
      <c r="B121">
        <v>14</v>
      </c>
      <c r="C121">
        <v>22</v>
      </c>
      <c r="D121">
        <v>1</v>
      </c>
    </row>
    <row r="122" spans="1:4" x14ac:dyDescent="0.25">
      <c r="A122">
        <v>121</v>
      </c>
      <c r="B122">
        <v>10</v>
      </c>
      <c r="C122">
        <v>22</v>
      </c>
      <c r="D122">
        <v>1</v>
      </c>
    </row>
    <row r="123" spans="1:4" x14ac:dyDescent="0.25">
      <c r="A123">
        <v>122</v>
      </c>
      <c r="B123">
        <v>33</v>
      </c>
      <c r="C123">
        <v>23</v>
      </c>
      <c r="D123">
        <v>1</v>
      </c>
    </row>
    <row r="124" spans="1:4" x14ac:dyDescent="0.25">
      <c r="A124">
        <v>123</v>
      </c>
      <c r="B124">
        <v>46</v>
      </c>
      <c r="C124">
        <v>23</v>
      </c>
      <c r="D124">
        <v>1</v>
      </c>
    </row>
    <row r="125" spans="1:4" x14ac:dyDescent="0.25">
      <c r="A125">
        <v>124</v>
      </c>
      <c r="B125">
        <v>36</v>
      </c>
      <c r="C125">
        <v>23</v>
      </c>
      <c r="D125">
        <v>1</v>
      </c>
    </row>
    <row r="126" spans="1:4" x14ac:dyDescent="0.25">
      <c r="A126">
        <v>125</v>
      </c>
      <c r="B126">
        <v>52</v>
      </c>
      <c r="C126">
        <v>23</v>
      </c>
      <c r="D126">
        <v>3</v>
      </c>
    </row>
    <row r="127" spans="1:4" x14ac:dyDescent="0.25">
      <c r="A127">
        <v>126</v>
      </c>
      <c r="B127">
        <v>60</v>
      </c>
      <c r="C127">
        <v>23</v>
      </c>
      <c r="D127">
        <v>1</v>
      </c>
    </row>
    <row r="128" spans="1:4" x14ac:dyDescent="0.25">
      <c r="A128">
        <v>127</v>
      </c>
      <c r="B128">
        <v>54</v>
      </c>
      <c r="C128">
        <v>23</v>
      </c>
      <c r="D128">
        <v>1</v>
      </c>
    </row>
    <row r="129" spans="1:9" x14ac:dyDescent="0.25">
      <c r="A129">
        <v>128</v>
      </c>
      <c r="B129">
        <v>53</v>
      </c>
      <c r="C129">
        <v>24</v>
      </c>
      <c r="D129">
        <v>1</v>
      </c>
      <c r="E129">
        <f>INDEX(Persons!A:A,MATCH(Prizes!F129,Persons!B:B,0))</f>
        <v>53</v>
      </c>
      <c r="F129" s="2" t="str">
        <f t="shared" ref="F129:F134" si="0">MID(I129,FIND("""name"": """,I129)+9,FIND("""",I129,FIND("""name"": """,I129)+9)-FIND("""name"": """,I129)-9)</f>
        <v>Sondre</v>
      </c>
      <c r="G129">
        <f t="shared" ref="G129:G134" si="1">VALUE(MID(I129,FIND("""prizes"": ",I129)+10,FIND("}",I129,FIND("""prizes"": ",I129))-FIND("""prizes"": ",I129)-10))</f>
        <v>1</v>
      </c>
      <c r="I129" t="s">
        <v>145</v>
      </c>
    </row>
    <row r="130" spans="1:9" x14ac:dyDescent="0.25">
      <c r="A130">
        <v>129</v>
      </c>
      <c r="B130">
        <v>37</v>
      </c>
      <c r="C130">
        <v>24</v>
      </c>
      <c r="D130">
        <v>1</v>
      </c>
      <c r="E130">
        <f>INDEX(Persons!A:A,MATCH(Prizes!F130,Persons!B:B,0))</f>
        <v>37</v>
      </c>
      <c r="F130" s="2" t="str">
        <f t="shared" si="0"/>
        <v>Ruben O</v>
      </c>
      <c r="G130">
        <f t="shared" si="1"/>
        <v>1</v>
      </c>
      <c r="I130" t="s">
        <v>146</v>
      </c>
    </row>
    <row r="131" spans="1:9" x14ac:dyDescent="0.25">
      <c r="A131">
        <v>130</v>
      </c>
      <c r="B131">
        <v>34</v>
      </c>
      <c r="C131">
        <v>24</v>
      </c>
      <c r="D131">
        <v>1</v>
      </c>
      <c r="E131">
        <f>INDEX(Persons!A:A,MATCH(Prizes!F131,Persons!B:B,0))</f>
        <v>34</v>
      </c>
      <c r="F131" s="2" t="str">
        <f t="shared" si="0"/>
        <v>Asgeir</v>
      </c>
      <c r="G131">
        <f t="shared" si="1"/>
        <v>1</v>
      </c>
      <c r="I131" t="s">
        <v>149</v>
      </c>
    </row>
    <row r="132" spans="1:9" x14ac:dyDescent="0.25">
      <c r="A132">
        <v>131</v>
      </c>
      <c r="B132">
        <v>44</v>
      </c>
      <c r="C132">
        <v>24</v>
      </c>
      <c r="D132">
        <v>2</v>
      </c>
      <c r="E132">
        <f>INDEX(Persons!A:A,MATCH(Prizes!F132,Persons!B:B,0))</f>
        <v>44</v>
      </c>
      <c r="F132" s="2" t="str">
        <f t="shared" si="0"/>
        <v>Jan</v>
      </c>
      <c r="G132">
        <f t="shared" si="1"/>
        <v>2</v>
      </c>
      <c r="I132" t="s">
        <v>150</v>
      </c>
    </row>
    <row r="133" spans="1:9" x14ac:dyDescent="0.25">
      <c r="A133">
        <v>132</v>
      </c>
      <c r="B133">
        <v>62</v>
      </c>
      <c r="C133">
        <v>24</v>
      </c>
      <c r="D133">
        <v>1</v>
      </c>
      <c r="E133">
        <f>INDEX(Persons!A:A,MATCH(Prizes!F133,Persons!B:B,0))</f>
        <v>62</v>
      </c>
      <c r="F133" s="2" t="str">
        <f t="shared" si="0"/>
        <v>Payam</v>
      </c>
      <c r="G133">
        <f t="shared" si="1"/>
        <v>1</v>
      </c>
      <c r="I133" t="s">
        <v>154</v>
      </c>
    </row>
    <row r="134" spans="1:9" x14ac:dyDescent="0.25">
      <c r="A134">
        <v>133</v>
      </c>
      <c r="B134">
        <v>43</v>
      </c>
      <c r="C134">
        <v>24</v>
      </c>
      <c r="D134">
        <v>1</v>
      </c>
      <c r="E134">
        <f>INDEX(Persons!A:A,MATCH(Prizes!F134,Persons!B:B,0))</f>
        <v>43</v>
      </c>
      <c r="F134" s="2" t="str">
        <f t="shared" si="0"/>
        <v>Andreas</v>
      </c>
      <c r="G134">
        <f t="shared" si="1"/>
        <v>1</v>
      </c>
      <c r="I134" t="s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F31" sqref="F31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20" t="s">
        <v>21</v>
      </c>
      <c r="E1" s="20" t="s">
        <v>128</v>
      </c>
      <c r="F1" t="s">
        <v>86</v>
      </c>
      <c r="G1" s="13">
        <f>SUM(C:C)</f>
        <v>34276.15</v>
      </c>
      <c r="H1" s="12">
        <f>SUM(D:D)</f>
        <v>155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85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25">
      <c r="A14">
        <v>13</v>
      </c>
      <c r="B14" s="1" t="s">
        <v>85</v>
      </c>
      <c r="C14" s="14" t="s">
        <v>85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85</v>
      </c>
      <c r="C16" s="14" t="s">
        <v>85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25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25">
      <c r="A20">
        <v>19</v>
      </c>
      <c r="B20" s="1" t="s">
        <v>85</v>
      </c>
      <c r="C20" s="14" t="s">
        <v>85</v>
      </c>
      <c r="D20">
        <v>2</v>
      </c>
    </row>
    <row r="21" spans="1:5" x14ac:dyDescent="0.25">
      <c r="A21">
        <v>20</v>
      </c>
      <c r="B21" s="1" t="s">
        <v>85</v>
      </c>
      <c r="C21" s="14" t="s">
        <v>85</v>
      </c>
      <c r="D21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activeCell="I37" sqref="I37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87</v>
      </c>
      <c r="C2" s="13">
        <v>3929</v>
      </c>
      <c r="I2" t="s">
        <v>92</v>
      </c>
      <c r="J2" s="13">
        <v>11</v>
      </c>
    </row>
    <row r="3" spans="2:10" x14ac:dyDescent="0.25">
      <c r="B3" t="s">
        <v>88</v>
      </c>
      <c r="C3" s="13">
        <f>Sales!K1</f>
        <v>34120</v>
      </c>
      <c r="I3" t="s">
        <v>93</v>
      </c>
      <c r="J3" s="13">
        <v>9</v>
      </c>
    </row>
    <row r="4" spans="2:10" x14ac:dyDescent="0.25">
      <c r="B4" t="s">
        <v>91</v>
      </c>
      <c r="C4" s="13">
        <f>J7</f>
        <v>31</v>
      </c>
      <c r="I4" t="s">
        <v>94</v>
      </c>
      <c r="J4" s="13">
        <v>6</v>
      </c>
    </row>
    <row r="5" spans="2:10" x14ac:dyDescent="0.25">
      <c r="B5" t="s">
        <v>58</v>
      </c>
      <c r="C5" s="13">
        <f>-Persons!X1</f>
        <v>-100</v>
      </c>
      <c r="F5" t="s">
        <v>86</v>
      </c>
      <c r="G5" s="12">
        <f>Purchases!H1</f>
        <v>155</v>
      </c>
      <c r="I5" t="s">
        <v>127</v>
      </c>
      <c r="J5" s="13">
        <v>5</v>
      </c>
    </row>
    <row r="6" spans="2:10" x14ac:dyDescent="0.25">
      <c r="B6" s="15" t="s">
        <v>86</v>
      </c>
      <c r="C6" s="16">
        <f>-Purchases!G1</f>
        <v>-34276.15</v>
      </c>
      <c r="F6" s="15" t="s">
        <v>43</v>
      </c>
      <c r="G6" s="25">
        <f>-Prizes!H1</f>
        <v>-149</v>
      </c>
      <c r="I6" s="15"/>
      <c r="J6" s="16"/>
    </row>
    <row r="7" spans="2:10" x14ac:dyDescent="0.25">
      <c r="B7" s="23" t="s">
        <v>89</v>
      </c>
      <c r="C7" s="24">
        <f>SUM(C2:C6)</f>
        <v>3703.8499999999985</v>
      </c>
      <c r="F7" s="23" t="s">
        <v>89</v>
      </c>
      <c r="G7" s="26">
        <f>SUM(G2:G6)</f>
        <v>6</v>
      </c>
      <c r="I7" s="23" t="s">
        <v>95</v>
      </c>
      <c r="J7" s="24">
        <f>SUM(J2:J6)</f>
        <v>31</v>
      </c>
    </row>
    <row r="10" spans="2:10" x14ac:dyDescent="0.25">
      <c r="C10" s="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52</v>
      </c>
      <c r="B1" t="s">
        <v>53</v>
      </c>
      <c r="M1" t="s">
        <v>67</v>
      </c>
    </row>
    <row r="2" spans="1:15" x14ac:dyDescent="0.25">
      <c r="A2" t="s">
        <v>51</v>
      </c>
      <c r="M2" t="s">
        <v>0</v>
      </c>
      <c r="N2" t="s">
        <v>1</v>
      </c>
      <c r="O2" t="s">
        <v>2</v>
      </c>
    </row>
    <row r="3" spans="1:15" x14ac:dyDescent="0.25">
      <c r="A3" t="s">
        <v>48</v>
      </c>
      <c r="N3" t="s">
        <v>59</v>
      </c>
    </row>
    <row r="4" spans="1:15" x14ac:dyDescent="0.25">
      <c r="A4" t="s">
        <v>54</v>
      </c>
      <c r="N4" t="s">
        <v>60</v>
      </c>
    </row>
    <row r="5" spans="1:15" x14ac:dyDescent="0.25">
      <c r="A5" t="s">
        <v>55</v>
      </c>
      <c r="N5" t="s">
        <v>61</v>
      </c>
    </row>
    <row r="6" spans="1:15" x14ac:dyDescent="0.25">
      <c r="N6" t="s">
        <v>62</v>
      </c>
    </row>
    <row r="8" spans="1:15" x14ac:dyDescent="0.25">
      <c r="M8" t="s">
        <v>70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63</v>
      </c>
    </row>
    <row r="11" spans="1:15" x14ac:dyDescent="0.25">
      <c r="N11" t="s">
        <v>64</v>
      </c>
    </row>
    <row r="12" spans="1:15" x14ac:dyDescent="0.25">
      <c r="N12" t="s">
        <v>65</v>
      </c>
    </row>
    <row r="14" spans="1:15" x14ac:dyDescent="0.25">
      <c r="M14" t="s">
        <v>66</v>
      </c>
    </row>
    <row r="15" spans="1:15" x14ac:dyDescent="0.25">
      <c r="M15" t="s">
        <v>0</v>
      </c>
      <c r="N15" t="s">
        <v>74</v>
      </c>
    </row>
    <row r="22" spans="13:17" x14ac:dyDescent="0.25">
      <c r="M22" t="s">
        <v>68</v>
      </c>
    </row>
    <row r="23" spans="13:17" x14ac:dyDescent="0.25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2020-09-25T11:11:19Z</dcterms:modified>
</cp:coreProperties>
</file>