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6778496A-BA2D-4E4F-A61C-8277439490C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9" i="1" l="1"/>
  <c r="E148" i="4"/>
  <c r="E147" i="4"/>
  <c r="E146" i="4"/>
  <c r="E19" i="1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D19" i="1" a="1"/>
  <c r="D19" i="1" s="1"/>
  <c r="D18" i="1" a="1"/>
  <c r="D18" i="1" s="1"/>
  <c r="E18" i="1"/>
  <c r="H516" i="3"/>
  <c r="D17" i="1" a="1"/>
  <c r="D17" i="1" s="1"/>
  <c r="F17" i="1"/>
  <c r="H17" i="1"/>
  <c r="I17" i="1"/>
  <c r="J17" i="1"/>
  <c r="L17" i="1"/>
  <c r="O17" i="1"/>
  <c r="Q17" i="1"/>
  <c r="S17" i="1"/>
  <c r="U17" i="1"/>
  <c r="D16" i="1" a="1"/>
  <c r="D16" i="1" s="1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D28" i="2"/>
  <c r="E28" i="2" s="1"/>
  <c r="F28" i="2"/>
  <c r="J8" i="12"/>
  <c r="F142" i="4"/>
  <c r="E142" i="4" s="1"/>
  <c r="G142" i="4"/>
  <c r="F143" i="4"/>
  <c r="E143" i="4" s="1"/>
  <c r="G143" i="4"/>
  <c r="F144" i="4"/>
  <c r="E144" i="4" s="1"/>
  <c r="G144" i="4"/>
  <c r="F145" i="4"/>
  <c r="E145" i="4" s="1"/>
  <c r="G145" i="4"/>
  <c r="F140" i="4"/>
  <c r="E140" i="4" s="1"/>
  <c r="G140" i="4"/>
  <c r="F141" i="4"/>
  <c r="E141" i="4" s="1"/>
  <c r="G141" i="4"/>
  <c r="D15" i="1" a="1"/>
  <c r="D15" i="1" s="1"/>
  <c r="G15" i="1"/>
  <c r="D30" i="1" a="1"/>
  <c r="D30" i="1" s="1"/>
  <c r="I480" i="3"/>
  <c r="H480" i="3" s="1"/>
  <c r="J480" i="3"/>
  <c r="I481" i="3"/>
  <c r="H481" i="3" s="1"/>
  <c r="J481" i="3"/>
  <c r="I482" i="3"/>
  <c r="H482" i="3" s="1"/>
  <c r="J482" i="3"/>
  <c r="I483" i="3"/>
  <c r="H483" i="3" s="1"/>
  <c r="J483" i="3"/>
  <c r="I484" i="3"/>
  <c r="H484" i="3" s="1"/>
  <c r="J484" i="3"/>
  <c r="I485" i="3"/>
  <c r="H485" i="3" s="1"/>
  <c r="J485" i="3"/>
  <c r="I486" i="3"/>
  <c r="H486" i="3" s="1"/>
  <c r="J486" i="3"/>
  <c r="I487" i="3"/>
  <c r="H487" i="3" s="1"/>
  <c r="J487" i="3"/>
  <c r="I488" i="3"/>
  <c r="H488" i="3" s="1"/>
  <c r="J488" i="3"/>
  <c r="I489" i="3"/>
  <c r="H489" i="3" s="1"/>
  <c r="J489" i="3"/>
  <c r="I490" i="3"/>
  <c r="H490" i="3" s="1"/>
  <c r="J490" i="3"/>
  <c r="I491" i="3"/>
  <c r="H491" i="3" s="1"/>
  <c r="J491" i="3"/>
  <c r="I492" i="3"/>
  <c r="H492" i="3" s="1"/>
  <c r="J492" i="3"/>
  <c r="I493" i="3"/>
  <c r="H493" i="3" s="1"/>
  <c r="J493" i="3"/>
  <c r="I494" i="3"/>
  <c r="H494" i="3" s="1"/>
  <c r="J494" i="3"/>
  <c r="I495" i="3"/>
  <c r="H495" i="3" s="1"/>
  <c r="J495" i="3"/>
  <c r="I496" i="3"/>
  <c r="H496" i="3" s="1"/>
  <c r="J496" i="3"/>
  <c r="I497" i="3"/>
  <c r="H497" i="3" s="1"/>
  <c r="J497" i="3"/>
  <c r="I498" i="3"/>
  <c r="H498" i="3" s="1"/>
  <c r="J498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D27" i="2"/>
  <c r="E27" i="2" s="1"/>
  <c r="F27" i="2"/>
  <c r="D29" i="1" a="1"/>
  <c r="D29" i="1" s="1"/>
  <c r="I29" i="1" l="1"/>
  <c r="I30" i="1"/>
  <c r="I16" i="1"/>
  <c r="I18" i="1"/>
  <c r="I15" i="1"/>
  <c r="G513" i="3"/>
  <c r="G501" i="3"/>
  <c r="G510" i="3"/>
  <c r="G511" i="3"/>
  <c r="G509" i="3"/>
  <c r="G508" i="3"/>
  <c r="G507" i="3"/>
  <c r="G506" i="3"/>
  <c r="G505" i="3"/>
  <c r="G514" i="3"/>
  <c r="G502" i="3"/>
  <c r="G512" i="3"/>
  <c r="G516" i="3"/>
  <c r="G504" i="3"/>
  <c r="G515" i="3"/>
  <c r="G503" i="3"/>
  <c r="G500" i="3"/>
  <c r="M16" i="1" s="1"/>
  <c r="G499" i="3"/>
  <c r="E16" i="1"/>
  <c r="G17" i="1"/>
  <c r="M19" i="1"/>
  <c r="G18" i="1"/>
  <c r="G29" i="1"/>
  <c r="G16" i="1"/>
  <c r="E30" i="1"/>
  <c r="E17" i="1"/>
  <c r="M18" i="1"/>
  <c r="G19" i="1"/>
  <c r="G30" i="1"/>
  <c r="E29" i="1"/>
  <c r="E15" i="1"/>
  <c r="M17" i="1"/>
  <c r="G28" i="2"/>
  <c r="H28" i="2"/>
  <c r="G489" i="3"/>
  <c r="G488" i="3"/>
  <c r="G496" i="3"/>
  <c r="G484" i="3"/>
  <c r="G495" i="3"/>
  <c r="G483" i="3"/>
  <c r="G486" i="3"/>
  <c r="G485" i="3"/>
  <c r="G494" i="3"/>
  <c r="G482" i="3"/>
  <c r="G490" i="3"/>
  <c r="G487" i="3"/>
  <c r="M15" i="1" s="1"/>
  <c r="G498" i="3"/>
  <c r="M29" i="1" s="1"/>
  <c r="G497" i="3"/>
  <c r="G493" i="3"/>
  <c r="M30" i="1" s="1"/>
  <c r="G492" i="3"/>
  <c r="G491" i="3"/>
  <c r="G481" i="3"/>
  <c r="G480" i="3"/>
  <c r="G27" i="2"/>
  <c r="F480" i="3" s="1"/>
  <c r="H27" i="2"/>
  <c r="F135" i="4"/>
  <c r="E135" i="4" s="1"/>
  <c r="G135" i="4"/>
  <c r="F136" i="4"/>
  <c r="E136" i="4" s="1"/>
  <c r="G136" i="4"/>
  <c r="F137" i="4"/>
  <c r="E137" i="4" s="1"/>
  <c r="G137" i="4"/>
  <c r="F138" i="4"/>
  <c r="E138" i="4" s="1"/>
  <c r="G138" i="4"/>
  <c r="F139" i="4"/>
  <c r="E139" i="4" s="1"/>
  <c r="G139" i="4"/>
  <c r="I455" i="3"/>
  <c r="H455" i="3" s="1"/>
  <c r="J455" i="3"/>
  <c r="I456" i="3"/>
  <c r="H456" i="3" s="1"/>
  <c r="J456" i="3"/>
  <c r="I457" i="3"/>
  <c r="H457" i="3" s="1"/>
  <c r="J457" i="3"/>
  <c r="I458" i="3"/>
  <c r="H458" i="3" s="1"/>
  <c r="J458" i="3"/>
  <c r="I459" i="3"/>
  <c r="H459" i="3" s="1"/>
  <c r="J459" i="3"/>
  <c r="I460" i="3"/>
  <c r="H460" i="3" s="1"/>
  <c r="J460" i="3"/>
  <c r="I461" i="3"/>
  <c r="H461" i="3" s="1"/>
  <c r="J461" i="3"/>
  <c r="I462" i="3"/>
  <c r="H462" i="3" s="1"/>
  <c r="J462" i="3"/>
  <c r="I463" i="3"/>
  <c r="H463" i="3" s="1"/>
  <c r="J463" i="3"/>
  <c r="I464" i="3"/>
  <c r="H464" i="3" s="1"/>
  <c r="J464" i="3"/>
  <c r="I465" i="3"/>
  <c r="H465" i="3" s="1"/>
  <c r="J465" i="3"/>
  <c r="I466" i="3"/>
  <c r="H466" i="3" s="1"/>
  <c r="J466" i="3"/>
  <c r="I467" i="3"/>
  <c r="H467" i="3" s="1"/>
  <c r="J467" i="3"/>
  <c r="I468" i="3"/>
  <c r="H468" i="3" s="1"/>
  <c r="J468" i="3"/>
  <c r="I469" i="3"/>
  <c r="H469" i="3" s="1"/>
  <c r="J469" i="3"/>
  <c r="I470" i="3"/>
  <c r="H470" i="3" s="1"/>
  <c r="J470" i="3"/>
  <c r="I471" i="3"/>
  <c r="H471" i="3" s="1"/>
  <c r="J471" i="3"/>
  <c r="I472" i="3"/>
  <c r="H472" i="3" s="1"/>
  <c r="J472" i="3"/>
  <c r="I473" i="3"/>
  <c r="H473" i="3" s="1"/>
  <c r="J473" i="3"/>
  <c r="I474" i="3"/>
  <c r="H474" i="3" s="1"/>
  <c r="J474" i="3"/>
  <c r="I475" i="3"/>
  <c r="H475" i="3" s="1"/>
  <c r="J475" i="3"/>
  <c r="I476" i="3"/>
  <c r="H476" i="3" s="1"/>
  <c r="J476" i="3"/>
  <c r="I477" i="3"/>
  <c r="H477" i="3" s="1"/>
  <c r="J477" i="3"/>
  <c r="I478" i="3"/>
  <c r="H478" i="3" s="1"/>
  <c r="J478" i="3"/>
  <c r="I479" i="3"/>
  <c r="H479" i="3" s="1"/>
  <c r="J479" i="3"/>
  <c r="F26" i="2"/>
  <c r="F507" i="3" l="1"/>
  <c r="F508" i="3"/>
  <c r="F504" i="3"/>
  <c r="K18" i="1" s="1"/>
  <c r="N18" i="1" s="1"/>
  <c r="P18" i="1" s="1"/>
  <c r="F506" i="3"/>
  <c r="F509" i="3"/>
  <c r="F510" i="3"/>
  <c r="F516" i="3"/>
  <c r="F511" i="3"/>
  <c r="F512" i="3"/>
  <c r="F501" i="3"/>
  <c r="F513" i="3"/>
  <c r="F503" i="3"/>
  <c r="F515" i="3"/>
  <c r="F502" i="3"/>
  <c r="K17" i="1" s="1"/>
  <c r="N17" i="1" s="1"/>
  <c r="P17" i="1" s="1"/>
  <c r="F514" i="3"/>
  <c r="F505" i="3"/>
  <c r="K19" i="1" s="1"/>
  <c r="R19" i="1" s="1"/>
  <c r="F499" i="3"/>
  <c r="F500" i="3"/>
  <c r="K16" i="1" s="1"/>
  <c r="T16" i="1" s="1"/>
  <c r="F484" i="3"/>
  <c r="F496" i="3"/>
  <c r="F485" i="3"/>
  <c r="F497" i="3"/>
  <c r="F486" i="3"/>
  <c r="F498" i="3"/>
  <c r="K29" i="1" s="1"/>
  <c r="N29" i="1" s="1"/>
  <c r="P29" i="1" s="1"/>
  <c r="F490" i="3"/>
  <c r="F491" i="3"/>
  <c r="F483" i="3"/>
  <c r="F495" i="3"/>
  <c r="F487" i="3"/>
  <c r="K15" i="1" s="1"/>
  <c r="R15" i="1" s="1"/>
  <c r="F492" i="3"/>
  <c r="F488" i="3"/>
  <c r="F489" i="3"/>
  <c r="F493" i="3"/>
  <c r="K30" i="1" s="1"/>
  <c r="F482" i="3"/>
  <c r="F494" i="3"/>
  <c r="F481" i="3"/>
  <c r="AS20" i="7"/>
  <c r="AN21" i="7"/>
  <c r="AN22" i="7"/>
  <c r="AP22" i="7" s="1"/>
  <c r="AN23" i="7"/>
  <c r="AP23" i="7" s="1"/>
  <c r="AN24" i="7"/>
  <c r="AN25" i="7"/>
  <c r="AN26" i="7"/>
  <c r="AP26" i="7" s="1"/>
  <c r="AN27" i="7"/>
  <c r="AN28" i="7"/>
  <c r="AP28" i="7" s="1"/>
  <c r="AN20" i="7"/>
  <c r="AP20" i="7" s="1"/>
  <c r="AK21" i="7"/>
  <c r="AK22" i="7" s="1"/>
  <c r="AK23" i="7" s="1"/>
  <c r="AK24" i="7" s="1"/>
  <c r="AK25" i="7" s="1"/>
  <c r="AK26" i="7" s="1"/>
  <c r="AK27" i="7" s="1"/>
  <c r="AK28" i="7" s="1"/>
  <c r="AR28" i="7" s="1"/>
  <c r="D14" i="1" a="1"/>
  <c r="D14" i="1" s="1"/>
  <c r="I14" i="1"/>
  <c r="D40" i="1" a="1"/>
  <c r="D40" i="1" s="1"/>
  <c r="F40" i="1"/>
  <c r="H40" i="1"/>
  <c r="I40" i="1"/>
  <c r="J40" i="1"/>
  <c r="L40" i="1"/>
  <c r="O40" i="1"/>
  <c r="Q40" i="1"/>
  <c r="S40" i="1"/>
  <c r="U40" i="1"/>
  <c r="D13" i="1" a="1"/>
  <c r="D13" i="1" s="1"/>
  <c r="I13" i="1"/>
  <c r="F25" i="2"/>
  <c r="T17" i="1" l="1"/>
  <c r="N19" i="1"/>
  <c r="P19" i="1" s="1"/>
  <c r="T18" i="1"/>
  <c r="R17" i="1"/>
  <c r="R18" i="1"/>
  <c r="T19" i="1"/>
  <c r="R16" i="1"/>
  <c r="N16" i="1"/>
  <c r="P16" i="1" s="1"/>
  <c r="AO24" i="7"/>
  <c r="AS24" i="7" s="1"/>
  <c r="AO25" i="7"/>
  <c r="AR25" i="7" s="1"/>
  <c r="T29" i="1"/>
  <c r="R29" i="1"/>
  <c r="N30" i="1"/>
  <c r="P30" i="1" s="1"/>
  <c r="T30" i="1"/>
  <c r="N15" i="1"/>
  <c r="P15" i="1" s="1"/>
  <c r="T15" i="1"/>
  <c r="R30" i="1"/>
  <c r="AP25" i="7"/>
  <c r="AQ20" i="7"/>
  <c r="AT20" i="7" s="1"/>
  <c r="AO22" i="7"/>
  <c r="AU28" i="7"/>
  <c r="AO21" i="7"/>
  <c r="AR21" i="7" s="1"/>
  <c r="AO28" i="7"/>
  <c r="AS28" i="7" s="1"/>
  <c r="AV28" i="7" s="1"/>
  <c r="AO27" i="7"/>
  <c r="AQ27" i="7" s="1"/>
  <c r="AV20" i="7"/>
  <c r="AO26" i="7"/>
  <c r="AQ26" i="7" s="1"/>
  <c r="AT26" i="7" s="1"/>
  <c r="AR27" i="7"/>
  <c r="AQ28" i="7"/>
  <c r="AT28" i="7" s="1"/>
  <c r="AQ25" i="7"/>
  <c r="AQ22" i="7"/>
  <c r="AT22" i="7" s="1"/>
  <c r="AS27" i="7"/>
  <c r="AO20" i="7"/>
  <c r="AR20" i="7" s="1"/>
  <c r="AU20" i="7" s="1"/>
  <c r="AS25" i="7"/>
  <c r="AR24" i="7"/>
  <c r="AS22" i="7"/>
  <c r="AV22" i="7" s="1"/>
  <c r="AR23" i="7"/>
  <c r="AU23" i="7" s="1"/>
  <c r="AS21" i="7"/>
  <c r="AQ23" i="7"/>
  <c r="AT23" i="7" s="1"/>
  <c r="AS26" i="7"/>
  <c r="AV26" i="7" s="1"/>
  <c r="AO23" i="7"/>
  <c r="AS23" i="7" s="1"/>
  <c r="AV23" i="7" s="1"/>
  <c r="AR26" i="7"/>
  <c r="AU26" i="7" s="1"/>
  <c r="AR22" i="7"/>
  <c r="AU22" i="7" s="1"/>
  <c r="AQ24" i="7"/>
  <c r="AQ21" i="7"/>
  <c r="AP27" i="7"/>
  <c r="AP24" i="7"/>
  <c r="AP21" i="7"/>
  <c r="E437" i="3"/>
  <c r="D39" i="1" a="1"/>
  <c r="D39" i="1" s="1"/>
  <c r="I39" i="1"/>
  <c r="D28" i="1" a="1"/>
  <c r="D28" i="1" s="1"/>
  <c r="I28" i="1"/>
  <c r="D38" i="1" a="1"/>
  <c r="D38" i="1" s="1"/>
  <c r="I38" i="1"/>
  <c r="D24" i="2"/>
  <c r="E24" i="2" s="1"/>
  <c r="F24" i="2"/>
  <c r="AV25" i="7" l="1"/>
  <c r="AT25" i="7"/>
  <c r="AU25" i="7"/>
  <c r="AT21" i="7"/>
  <c r="AV21" i="7"/>
  <c r="AU21" i="7"/>
  <c r="AU24" i="7"/>
  <c r="AT24" i="7"/>
  <c r="AV24" i="7"/>
  <c r="AT27" i="7"/>
  <c r="AV27" i="7"/>
  <c r="AU27" i="7"/>
  <c r="G437" i="3"/>
  <c r="G24" i="2"/>
  <c r="F437" i="3" s="1"/>
  <c r="H24" i="2"/>
  <c r="E415" i="3"/>
  <c r="D43" i="1" l="1" a="1"/>
  <c r="D43" i="1" s="1"/>
  <c r="D27" i="1" a="1"/>
  <c r="D27" i="1" s="1"/>
  <c r="I43" i="1"/>
  <c r="I27" i="1"/>
  <c r="F23" i="2" l="1"/>
  <c r="D48" i="1" l="1" a="1"/>
  <c r="D48" i="1" s="1"/>
  <c r="I48" i="1"/>
  <c r="D12" i="1" a="1"/>
  <c r="D12" i="1" s="1"/>
  <c r="I12" i="1"/>
  <c r="F22" i="2"/>
  <c r="I26" i="1" l="1"/>
  <c r="D26" i="1" a="1"/>
  <c r="D26" i="1" s="1"/>
  <c r="F21" i="2"/>
  <c r="F20" i="2" l="1"/>
  <c r="E335" i="3"/>
  <c r="E341" i="3"/>
  <c r="E342" i="3"/>
  <c r="E347" i="3"/>
  <c r="E353" i="3"/>
  <c r="E354" i="3"/>
  <c r="D20" i="2" l="1"/>
  <c r="E20" i="2" s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E315" i="3"/>
  <c r="E316" i="3"/>
  <c r="E318" i="3"/>
  <c r="E319" i="3"/>
  <c r="E320" i="3"/>
  <c r="E321" i="3"/>
  <c r="E322" i="3"/>
  <c r="E323" i="3"/>
  <c r="E324" i="3"/>
  <c r="E325" i="3"/>
  <c r="E326" i="3"/>
  <c r="E327" i="3"/>
  <c r="E328" i="3"/>
  <c r="E330" i="3"/>
  <c r="E331" i="3"/>
  <c r="E332" i="3"/>
  <c r="E333" i="3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E329" i="3"/>
  <c r="E317" i="3"/>
  <c r="O62" i="1"/>
  <c r="O58" i="1"/>
  <c r="O54" i="1"/>
  <c r="O69" i="1"/>
  <c r="O56" i="1"/>
  <c r="O59" i="1"/>
  <c r="O63" i="1"/>
  <c r="O60" i="1"/>
  <c r="O70" i="1"/>
  <c r="O64" i="1"/>
  <c r="O61" i="1"/>
  <c r="O71" i="1"/>
  <c r="O72" i="1"/>
  <c r="O66" i="1"/>
  <c r="O68" i="1"/>
  <c r="O67" i="1"/>
  <c r="O57" i="1"/>
  <c r="O65" i="1"/>
  <c r="AK11" i="7"/>
  <c r="AK12" i="7"/>
  <c r="AK13" i="7"/>
  <c r="AK14" i="7"/>
  <c r="AK15" i="7"/>
  <c r="AK16" i="7"/>
  <c r="AK17" i="7"/>
  <c r="AK9" i="7"/>
  <c r="AK10" i="7"/>
  <c r="AK8" i="7"/>
  <c r="AL7" i="7" l="1"/>
  <c r="H19" i="2"/>
  <c r="E19" i="2"/>
  <c r="F347" i="3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65" i="1"/>
  <c r="U62" i="1"/>
  <c r="U58" i="1"/>
  <c r="U54" i="1"/>
  <c r="U69" i="1"/>
  <c r="U56" i="1"/>
  <c r="U59" i="1"/>
  <c r="U60" i="1"/>
  <c r="U70" i="1"/>
  <c r="U61" i="1"/>
  <c r="U72" i="1"/>
  <c r="U66" i="1"/>
  <c r="U68" i="1"/>
  <c r="U67" i="1"/>
  <c r="U57" i="1"/>
  <c r="F62" i="1"/>
  <c r="F58" i="1"/>
  <c r="F54" i="1"/>
  <c r="F69" i="1"/>
  <c r="F56" i="1"/>
  <c r="F59" i="1"/>
  <c r="F60" i="1"/>
  <c r="F70" i="1"/>
  <c r="F61" i="1"/>
  <c r="F72" i="1"/>
  <c r="F66" i="1"/>
  <c r="F68" i="1"/>
  <c r="F67" i="1"/>
  <c r="F57" i="1"/>
  <c r="S62" i="1"/>
  <c r="S58" i="1"/>
  <c r="S54" i="1"/>
  <c r="S69" i="1"/>
  <c r="S56" i="1"/>
  <c r="S59" i="1"/>
  <c r="S60" i="1"/>
  <c r="S70" i="1"/>
  <c r="S61" i="1"/>
  <c r="S72" i="1"/>
  <c r="S66" i="1"/>
  <c r="S68" i="1"/>
  <c r="S67" i="1"/>
  <c r="S57" i="1"/>
  <c r="L62" i="1"/>
  <c r="L58" i="1"/>
  <c r="L54" i="1"/>
  <c r="L69" i="1"/>
  <c r="L56" i="1"/>
  <c r="L59" i="1"/>
  <c r="L60" i="1"/>
  <c r="L70" i="1"/>
  <c r="L61" i="1"/>
  <c r="L72" i="1"/>
  <c r="L66" i="1"/>
  <c r="L68" i="1"/>
  <c r="L67" i="1"/>
  <c r="L57" i="1"/>
  <c r="E292" i="3"/>
  <c r="E293" i="3"/>
  <c r="E297" i="3"/>
  <c r="E303" i="3"/>
  <c r="E304" i="3"/>
  <c r="E305" i="3"/>
  <c r="E307" i="3"/>
  <c r="E309" i="3"/>
  <c r="E310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E291" i="3"/>
  <c r="E288" i="3"/>
  <c r="E289" i="3"/>
  <c r="E290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 s="1"/>
  <c r="F17" i="2"/>
  <c r="G295" i="3" l="1"/>
  <c r="E18" i="2"/>
  <c r="G314" i="3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5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H1" i="4"/>
  <c r="G7" i="12" s="1"/>
  <c r="H1" i="11"/>
  <c r="G6" i="12" s="1"/>
  <c r="G8" i="12" l="1"/>
  <c r="G1" i="11"/>
  <c r="C7" i="12" s="1"/>
  <c r="J59" i="1" l="1"/>
  <c r="J61" i="1"/>
  <c r="J70" i="1"/>
  <c r="J58" i="1"/>
  <c r="J67" i="1"/>
  <c r="J69" i="1"/>
  <c r="J68" i="1"/>
  <c r="J72" i="1"/>
  <c r="J60" i="1"/>
  <c r="J66" i="1"/>
  <c r="J62" i="1"/>
  <c r="H59" i="1"/>
  <c r="H61" i="1"/>
  <c r="H70" i="1"/>
  <c r="H58" i="1"/>
  <c r="H67" i="1"/>
  <c r="H69" i="1"/>
  <c r="H68" i="1"/>
  <c r="H72" i="1"/>
  <c r="H60" i="1"/>
  <c r="H66" i="1"/>
  <c r="H62" i="1"/>
  <c r="Q59" i="1"/>
  <c r="Q61" i="1"/>
  <c r="Q70" i="1"/>
  <c r="Q58" i="1"/>
  <c r="Q67" i="1"/>
  <c r="Q69" i="1"/>
  <c r="Q68" i="1"/>
  <c r="Q72" i="1"/>
  <c r="Q60" i="1"/>
  <c r="Q66" i="1"/>
  <c r="Q6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E2" i="2" s="1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45" i="1" l="1"/>
  <c r="I37" i="1"/>
  <c r="D37" i="1" a="1"/>
  <c r="D37" i="1" s="1"/>
  <c r="D45" i="1" a="1"/>
  <c r="D45" i="1" s="1"/>
  <c r="D44" i="1" a="1"/>
  <c r="D44" i="1" s="1"/>
  <c r="I53" i="1"/>
  <c r="I44" i="1"/>
  <c r="D35" i="1" a="1"/>
  <c r="D35" i="1" s="1"/>
  <c r="D63" i="1" a="1"/>
  <c r="D63" i="1" s="1"/>
  <c r="D11" i="1" a="1"/>
  <c r="D11" i="1" s="1"/>
  <c r="D58" i="1" a="1"/>
  <c r="D58" i="1" s="1"/>
  <c r="D36" i="1" a="1"/>
  <c r="D36" i="1" s="1"/>
  <c r="D2" i="1" a="1"/>
  <c r="D2" i="1" s="1"/>
  <c r="D42" i="1" a="1"/>
  <c r="D42" i="1" s="1"/>
  <c r="D54" i="1" a="1"/>
  <c r="D54" i="1" s="1"/>
  <c r="D53" i="1" a="1"/>
  <c r="D53" i="1" s="1"/>
  <c r="D4" i="1" a="1"/>
  <c r="D4" i="1" s="1"/>
  <c r="D34" i="1" a="1"/>
  <c r="D34" i="1" s="1"/>
  <c r="D69" i="1" a="1"/>
  <c r="D69" i="1" s="1"/>
  <c r="D7" i="1" a="1"/>
  <c r="D7" i="1" s="1"/>
  <c r="D22" i="1" a="1"/>
  <c r="D22" i="1" s="1"/>
  <c r="D8" i="1" a="1"/>
  <c r="D8" i="1" s="1"/>
  <c r="D56" i="1" a="1"/>
  <c r="D56" i="1" s="1"/>
  <c r="D55" i="1" a="1"/>
  <c r="D55" i="1" s="1"/>
  <c r="D47" i="1" a="1"/>
  <c r="D47" i="1" s="1"/>
  <c r="D49" i="1" a="1"/>
  <c r="D49" i="1" s="1"/>
  <c r="D59" i="1" a="1"/>
  <c r="D59" i="1" s="1"/>
  <c r="D71" i="1" a="1"/>
  <c r="D71" i="1" s="1"/>
  <c r="D51" i="1" a="1"/>
  <c r="D51" i="1" s="1"/>
  <c r="D20" i="1" a="1"/>
  <c r="D20" i="1" s="1"/>
  <c r="D3" i="1" a="1"/>
  <c r="D3" i="1" s="1"/>
  <c r="D52" i="1" a="1"/>
  <c r="D52" i="1" s="1"/>
  <c r="D64" i="1" a="1"/>
  <c r="D64" i="1" s="1"/>
  <c r="D33" i="1" a="1"/>
  <c r="D33" i="1" s="1"/>
  <c r="D60" i="1" a="1"/>
  <c r="D60" i="1" s="1"/>
  <c r="D57" i="1" a="1"/>
  <c r="D57" i="1" s="1"/>
  <c r="D50" i="1" a="1"/>
  <c r="D50" i="1" s="1"/>
  <c r="D10" i="1" a="1"/>
  <c r="D10" i="1" s="1"/>
  <c r="D31" i="1" a="1"/>
  <c r="D31" i="1" s="1"/>
  <c r="D70" i="1" a="1"/>
  <c r="D70" i="1" s="1"/>
  <c r="D24" i="1" a="1"/>
  <c r="D24" i="1" s="1"/>
  <c r="D5" i="1" a="1"/>
  <c r="D5" i="1" s="1"/>
  <c r="D23" i="1" a="1"/>
  <c r="D23" i="1" s="1"/>
  <c r="D61" i="1" a="1"/>
  <c r="D61" i="1" s="1"/>
  <c r="D46" i="1" a="1"/>
  <c r="D46" i="1" s="1"/>
  <c r="D32" i="1" a="1"/>
  <c r="D32" i="1" s="1"/>
  <c r="D25" i="1" a="1"/>
  <c r="D25" i="1" s="1"/>
  <c r="D72" i="1" a="1"/>
  <c r="D72" i="1" s="1"/>
  <c r="D67" i="1" a="1"/>
  <c r="D67" i="1" s="1"/>
  <c r="D9" i="1" a="1"/>
  <c r="D9" i="1" s="1"/>
  <c r="D6" i="1" a="1"/>
  <c r="D6" i="1" s="1"/>
  <c r="D65" i="1" a="1"/>
  <c r="D65" i="1" s="1"/>
  <c r="D66" i="1" a="1"/>
  <c r="D66" i="1" s="1"/>
  <c r="D21" i="1" a="1"/>
  <c r="D21" i="1" s="1"/>
  <c r="D41" i="1" a="1"/>
  <c r="D41" i="1" s="1"/>
  <c r="D62" i="1" a="1"/>
  <c r="D62" i="1" s="1"/>
  <c r="D68" i="1" a="1"/>
  <c r="D68" i="1" s="1"/>
  <c r="G53" i="1"/>
  <c r="K53" i="1"/>
  <c r="M53" i="1"/>
  <c r="E53" i="1"/>
  <c r="H2" i="2"/>
  <c r="I11" i="1"/>
  <c r="I25" i="1"/>
  <c r="I10" i="1"/>
  <c r="I24" i="1"/>
  <c r="I54" i="1"/>
  <c r="I55" i="1"/>
  <c r="I72" i="1"/>
  <c r="I33" i="1"/>
  <c r="I61" i="1"/>
  <c r="I22" i="1"/>
  <c r="I8" i="1"/>
  <c r="I31" i="1"/>
  <c r="I2" i="1"/>
  <c r="I3" i="1"/>
  <c r="I7" i="1"/>
  <c r="I60" i="1"/>
  <c r="I50" i="1"/>
  <c r="I69" i="1"/>
  <c r="I56" i="1"/>
  <c r="I35" i="1"/>
  <c r="I51" i="1"/>
  <c r="I5" i="1"/>
  <c r="I70" i="1"/>
  <c r="I21" i="1"/>
  <c r="I34" i="1"/>
  <c r="I9" i="1"/>
  <c r="I59" i="1"/>
  <c r="I58" i="1"/>
  <c r="I46" i="1"/>
  <c r="I41" i="1"/>
  <c r="I23" i="1"/>
  <c r="I67" i="1"/>
  <c r="I71" i="1"/>
  <c r="I57" i="1"/>
  <c r="I63" i="1"/>
  <c r="I49" i="1"/>
  <c r="I32" i="1"/>
  <c r="I36" i="1"/>
  <c r="I47" i="1"/>
  <c r="I6" i="1"/>
  <c r="I66" i="1"/>
  <c r="I20" i="1"/>
  <c r="I52" i="1"/>
  <c r="I68" i="1"/>
  <c r="I64" i="1"/>
  <c r="I4" i="1"/>
  <c r="I42" i="1"/>
  <c r="I62" i="1"/>
  <c r="I65" i="1"/>
  <c r="G64" i="1"/>
  <c r="G62" i="1"/>
  <c r="G50" i="1"/>
  <c r="G54" i="1"/>
  <c r="G55" i="1"/>
  <c r="G72" i="1"/>
  <c r="G61" i="1"/>
  <c r="G3" i="1"/>
  <c r="G60" i="1"/>
  <c r="G56" i="1"/>
  <c r="G51" i="1"/>
  <c r="G70" i="1"/>
  <c r="G58" i="1"/>
  <c r="G67" i="1"/>
  <c r="G71" i="1"/>
  <c r="G57" i="1"/>
  <c r="G63" i="1"/>
  <c r="G49" i="1"/>
  <c r="G69" i="1"/>
  <c r="G66" i="1"/>
  <c r="G59" i="1"/>
  <c r="G52" i="1"/>
  <c r="G68" i="1"/>
  <c r="G65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J19" i="1" l="1"/>
  <c r="J16" i="1"/>
  <c r="J18" i="1"/>
  <c r="J38" i="1"/>
  <c r="J3" i="1"/>
  <c r="J15" i="1"/>
  <c r="J30" i="1"/>
  <c r="J29" i="1"/>
  <c r="J13" i="1"/>
  <c r="J14" i="1"/>
  <c r="J39" i="1"/>
  <c r="J28" i="1"/>
  <c r="J27" i="1"/>
  <c r="J43" i="1"/>
  <c r="J12" i="1"/>
  <c r="J48" i="1"/>
  <c r="J26" i="1"/>
  <c r="J37" i="1"/>
  <c r="J45" i="1"/>
  <c r="N53" i="1"/>
  <c r="P53" i="1" s="1"/>
  <c r="J44" i="1"/>
  <c r="J53" i="1"/>
  <c r="T53" i="1"/>
  <c r="R53" i="1"/>
  <c r="J25" i="1"/>
  <c r="J11" i="1"/>
  <c r="J24" i="1"/>
  <c r="J10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9" i="1"/>
  <c r="D16" i="2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D14" i="2"/>
  <c r="D13" i="2"/>
  <c r="D12" i="2"/>
  <c r="H16" i="2" l="1"/>
  <c r="E16" i="2"/>
  <c r="H13" i="2"/>
  <c r="E13" i="2"/>
  <c r="H15" i="2"/>
  <c r="E15" i="2"/>
  <c r="H14" i="2"/>
  <c r="E14" i="2"/>
  <c r="H12" i="2"/>
  <c r="E12" i="2"/>
  <c r="G16" i="2"/>
  <c r="F271" i="3" s="1"/>
  <c r="G266" i="3"/>
  <c r="G267" i="3"/>
  <c r="G268" i="3"/>
  <c r="G269" i="3"/>
  <c r="G270" i="3"/>
  <c r="G271" i="3"/>
  <c r="G272" i="3"/>
  <c r="G265" i="3"/>
  <c r="G261" i="3"/>
  <c r="G273" i="3"/>
  <c r="G262" i="3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65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9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273" i="3" l="1"/>
  <c r="H11" i="2"/>
  <c r="E11" i="2"/>
  <c r="F274" i="3"/>
  <c r="F194" i="3"/>
  <c r="F262" i="3"/>
  <c r="F272" i="3"/>
  <c r="F265" i="3"/>
  <c r="F263" i="3"/>
  <c r="F266" i="3"/>
  <c r="F261" i="3"/>
  <c r="F269" i="3"/>
  <c r="F270" i="3"/>
  <c r="F268" i="3"/>
  <c r="F267" i="3"/>
  <c r="F264" i="3"/>
  <c r="F205" i="3"/>
  <c r="F193" i="3"/>
  <c r="F203" i="3"/>
  <c r="F204" i="3"/>
  <c r="F192" i="3"/>
  <c r="F191" i="3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F260" i="3"/>
  <c r="F259" i="3"/>
  <c r="F247" i="3"/>
  <c r="F242" i="3"/>
  <c r="F202" i="3"/>
  <c r="F196" i="3"/>
  <c r="K65" i="1" s="1"/>
  <c r="F189" i="3"/>
  <c r="F206" i="3"/>
  <c r="F238" i="3"/>
  <c r="F236" i="3"/>
  <c r="F237" i="3"/>
  <c r="F235" i="3"/>
  <c r="F201" i="3"/>
  <c r="F232" i="3"/>
  <c r="M5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F245" i="3"/>
  <c r="F252" i="3"/>
  <c r="F243" i="3"/>
  <c r="F240" i="3"/>
  <c r="F256" i="3"/>
  <c r="F239" i="3"/>
  <c r="K49" i="1" s="1"/>
  <c r="F244" i="3"/>
  <c r="F248" i="3"/>
  <c r="F251" i="3"/>
  <c r="F255" i="3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65" i="1"/>
  <c r="E5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K51" i="1" l="1"/>
  <c r="R51" i="1" s="1"/>
  <c r="H10" i="2"/>
  <c r="E10" i="2"/>
  <c r="N65" i="1"/>
  <c r="P65" i="1" s="1"/>
  <c r="N49" i="1"/>
  <c r="R49" i="1"/>
  <c r="R65" i="1"/>
  <c r="F165" i="3"/>
  <c r="F179" i="3"/>
  <c r="F167" i="3"/>
  <c r="F164" i="3"/>
  <c r="F175" i="3"/>
  <c r="F163" i="3"/>
  <c r="T49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65" i="1"/>
  <c r="E140" i="3"/>
  <c r="E124" i="3"/>
  <c r="E123" i="3"/>
  <c r="D9" i="2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T51" i="1" l="1"/>
  <c r="N51" i="1"/>
  <c r="P51" i="1" s="1"/>
  <c r="H9" i="2"/>
  <c r="E9" i="2"/>
  <c r="P49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57" i="1" s="1"/>
  <c r="G140" i="3"/>
  <c r="M6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F133" i="3" l="1"/>
  <c r="F128" i="3"/>
  <c r="K57" i="1" s="1"/>
  <c r="F138" i="3"/>
  <c r="F140" i="3"/>
  <c r="K6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D4" i="2"/>
  <c r="D5" i="2"/>
  <c r="D6" i="2"/>
  <c r="D7" i="2"/>
  <c r="D8" i="2"/>
  <c r="H6" i="2" l="1"/>
  <c r="E6" i="2"/>
  <c r="H7" i="2"/>
  <c r="E7" i="2"/>
  <c r="H8" i="2"/>
  <c r="E8" i="2"/>
  <c r="H3" i="2"/>
  <c r="E3" i="2"/>
  <c r="H5" i="2"/>
  <c r="E5" i="2"/>
  <c r="H4" i="2"/>
  <c r="E4" i="2"/>
  <c r="R62" i="1"/>
  <c r="N62" i="1"/>
  <c r="P62" i="1" s="1"/>
  <c r="R57" i="1"/>
  <c r="N57" i="1"/>
  <c r="P57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G110" i="3"/>
  <c r="G122" i="3"/>
  <c r="G121" i="3"/>
  <c r="G111" i="3"/>
  <c r="G112" i="3"/>
  <c r="G113" i="3"/>
  <c r="G114" i="3"/>
  <c r="G115" i="3"/>
  <c r="G116" i="3"/>
  <c r="G109" i="3"/>
  <c r="G105" i="3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72" i="1" s="1"/>
  <c r="G53" i="3"/>
  <c r="G42" i="3"/>
  <c r="G54" i="3"/>
  <c r="G43" i="3"/>
  <c r="G55" i="3"/>
  <c r="G37" i="3"/>
  <c r="M71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64" i="1" s="1"/>
  <c r="G19" i="3"/>
  <c r="G31" i="3"/>
  <c r="G20" i="3"/>
  <c r="G32" i="3"/>
  <c r="G21" i="3"/>
  <c r="G33" i="3"/>
  <c r="G22" i="3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68" i="1" s="1"/>
  <c r="G82" i="3"/>
  <c r="G85" i="3"/>
  <c r="G83" i="3"/>
  <c r="G72" i="3"/>
  <c r="G84" i="3"/>
  <c r="G73" i="3"/>
  <c r="E57" i="1"/>
  <c r="T57" i="1" s="1"/>
  <c r="F90" i="3" l="1"/>
  <c r="F96" i="3"/>
  <c r="F89" i="3"/>
  <c r="F92" i="3"/>
  <c r="M55" i="1"/>
  <c r="F94" i="3"/>
  <c r="F91" i="3"/>
  <c r="M63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71" i="1" s="1"/>
  <c r="F48" i="3"/>
  <c r="F47" i="3"/>
  <c r="F84" i="3"/>
  <c r="F72" i="3"/>
  <c r="F39" i="3"/>
  <c r="F88" i="3"/>
  <c r="F40" i="3"/>
  <c r="F51" i="3"/>
  <c r="F52" i="3"/>
  <c r="F67" i="3"/>
  <c r="F66" i="3"/>
  <c r="F64" i="3"/>
  <c r="F60" i="3"/>
  <c r="F58" i="3"/>
  <c r="F55" i="3"/>
  <c r="F43" i="3"/>
  <c r="F69" i="3"/>
  <c r="F54" i="3"/>
  <c r="F57" i="3"/>
  <c r="F116" i="3"/>
  <c r="M67" i="1"/>
  <c r="F21" i="3"/>
  <c r="F41" i="3"/>
  <c r="K72" i="1" s="1"/>
  <c r="F70" i="3"/>
  <c r="F75" i="3"/>
  <c r="F115" i="3"/>
  <c r="F113" i="3"/>
  <c r="F114" i="3"/>
  <c r="F56" i="3"/>
  <c r="M60" i="1"/>
  <c r="F121" i="3"/>
  <c r="F112" i="3"/>
  <c r="M61" i="1"/>
  <c r="F109" i="3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M54" i="1"/>
  <c r="M50" i="1"/>
  <c r="M70" i="1"/>
  <c r="M52" i="1"/>
  <c r="M56" i="1"/>
  <c r="M3" i="1"/>
  <c r="M58" i="1"/>
  <c r="M66" i="1"/>
  <c r="F23" i="3"/>
  <c r="F117" i="3"/>
  <c r="M59" i="1"/>
  <c r="M69" i="1"/>
  <c r="F34" i="3"/>
  <c r="F36" i="3"/>
  <c r="F45" i="3"/>
  <c r="F50" i="3"/>
  <c r="F76" i="3"/>
  <c r="F30" i="3"/>
  <c r="K6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68" i="1" s="1"/>
  <c r="F80" i="3"/>
  <c r="F79" i="3"/>
  <c r="F78" i="3"/>
  <c r="F33" i="3"/>
  <c r="F77" i="3"/>
  <c r="F35" i="3"/>
  <c r="F29" i="3"/>
  <c r="F22" i="3"/>
  <c r="F28" i="3"/>
  <c r="E62" i="1"/>
  <c r="X1" i="1" s="1"/>
  <c r="E66" i="1"/>
  <c r="E64" i="1"/>
  <c r="E70" i="1"/>
  <c r="E68" i="1"/>
  <c r="E60" i="1"/>
  <c r="E72" i="1"/>
  <c r="E3" i="1"/>
  <c r="E52" i="1"/>
  <c r="E54" i="1"/>
  <c r="E55" i="1"/>
  <c r="E63" i="1"/>
  <c r="E67" i="1"/>
  <c r="E59" i="1"/>
  <c r="E56" i="1"/>
  <c r="E71" i="1"/>
  <c r="E61" i="1"/>
  <c r="E69" i="1"/>
  <c r="E58" i="1"/>
  <c r="E50" i="1"/>
  <c r="N64" i="1" l="1"/>
  <c r="P64" i="1" s="1"/>
  <c r="N71" i="1"/>
  <c r="P71" i="1" s="1"/>
  <c r="K55" i="1"/>
  <c r="R55" i="1" s="1"/>
  <c r="R72" i="1"/>
  <c r="N72" i="1"/>
  <c r="P72" i="1" s="1"/>
  <c r="R68" i="1"/>
  <c r="N68" i="1"/>
  <c r="P68" i="1" s="1"/>
  <c r="F63" i="1"/>
  <c r="F52" i="1"/>
  <c r="F65" i="1"/>
  <c r="F50" i="1"/>
  <c r="F71" i="1"/>
  <c r="F64" i="1"/>
  <c r="R64" i="1"/>
  <c r="K67" i="1"/>
  <c r="K58" i="1"/>
  <c r="K56" i="1"/>
  <c r="R71" i="1"/>
  <c r="K70" i="1"/>
  <c r="K66" i="1"/>
  <c r="K63" i="1"/>
  <c r="K69" i="1"/>
  <c r="K59" i="1"/>
  <c r="K61" i="1"/>
  <c r="K54" i="1"/>
  <c r="K50" i="1"/>
  <c r="K60" i="1"/>
  <c r="T62" i="1"/>
  <c r="C6" i="12"/>
  <c r="K3" i="1"/>
  <c r="K52" i="1"/>
  <c r="N56" i="1" l="1"/>
  <c r="P56" i="1" s="1"/>
  <c r="N63" i="1"/>
  <c r="P63" i="1" s="1"/>
  <c r="N50" i="1"/>
  <c r="N59" i="1"/>
  <c r="P59" i="1" s="1"/>
  <c r="N52" i="1"/>
  <c r="N61" i="1"/>
  <c r="P61" i="1" s="1"/>
  <c r="N58" i="1"/>
  <c r="P58" i="1" s="1"/>
  <c r="N69" i="1"/>
  <c r="P69" i="1" s="1"/>
  <c r="N55" i="1"/>
  <c r="R60" i="1"/>
  <c r="N60" i="1"/>
  <c r="P60" i="1" s="1"/>
  <c r="R66" i="1"/>
  <c r="N66" i="1"/>
  <c r="P66" i="1" s="1"/>
  <c r="R3" i="1"/>
  <c r="N3" i="1"/>
  <c r="R67" i="1"/>
  <c r="N67" i="1"/>
  <c r="P67" i="1" s="1"/>
  <c r="R54" i="1"/>
  <c r="N54" i="1"/>
  <c r="P54" i="1" s="1"/>
  <c r="R70" i="1"/>
  <c r="N70" i="1"/>
  <c r="P70" i="1" s="1"/>
  <c r="R50" i="1"/>
  <c r="L50" i="1"/>
  <c r="L65" i="1"/>
  <c r="L71" i="1"/>
  <c r="R63" i="1"/>
  <c r="L63" i="1"/>
  <c r="R52" i="1"/>
  <c r="L52" i="1"/>
  <c r="L64" i="1"/>
  <c r="R58" i="1"/>
  <c r="R56" i="1"/>
  <c r="R69" i="1"/>
  <c r="R59" i="1"/>
  <c r="R61" i="1"/>
  <c r="T68" i="1"/>
  <c r="T67" i="1"/>
  <c r="P3" i="1" l="1"/>
  <c r="P52" i="1"/>
  <c r="O52" i="1"/>
  <c r="P55" i="1"/>
  <c r="P50" i="1"/>
  <c r="O50" i="1"/>
  <c r="S63" i="1"/>
  <c r="S50" i="1"/>
  <c r="S65" i="1"/>
  <c r="S71" i="1"/>
  <c r="S52" i="1"/>
  <c r="S64" i="1"/>
  <c r="T71" i="1" l="1"/>
  <c r="T63" i="1"/>
  <c r="T72" i="1"/>
  <c r="T66" i="1"/>
  <c r="T58" i="1"/>
  <c r="T61" i="1"/>
  <c r="T3" i="1"/>
  <c r="T54" i="1"/>
  <c r="T50" i="1"/>
  <c r="T56" i="1"/>
  <c r="T55" i="1"/>
  <c r="T60" i="1"/>
  <c r="T69" i="1"/>
  <c r="T52" i="1"/>
  <c r="T59" i="1"/>
  <c r="T70" i="1"/>
  <c r="T64" i="1" l="1"/>
  <c r="U50" i="1" l="1"/>
  <c r="U71" i="1"/>
  <c r="U64" i="1"/>
  <c r="U63" i="1"/>
  <c r="U52" i="1"/>
  <c r="J42" i="1"/>
  <c r="H65" i="1"/>
  <c r="J9" i="1"/>
  <c r="Q71" i="1"/>
  <c r="Q63" i="1"/>
  <c r="Q65" i="1"/>
  <c r="H54" i="1"/>
  <c r="H52" i="1"/>
  <c r="J64" i="1"/>
  <c r="J57" i="1"/>
  <c r="J47" i="1"/>
  <c r="H63" i="1"/>
  <c r="J36" i="1"/>
  <c r="J71" i="1"/>
  <c r="J63" i="1"/>
  <c r="J21" i="1"/>
  <c r="Q64" i="1"/>
  <c r="J54" i="1"/>
  <c r="Q54" i="1"/>
  <c r="J8" i="1"/>
  <c r="Q50" i="1"/>
  <c r="J55" i="1"/>
  <c r="J20" i="1"/>
  <c r="H71" i="1"/>
  <c r="J31" i="1"/>
  <c r="H56" i="1"/>
  <c r="J34" i="1"/>
  <c r="J56" i="1"/>
  <c r="H57" i="1"/>
  <c r="Q56" i="1"/>
  <c r="Q57" i="1"/>
  <c r="J5" i="1"/>
  <c r="J65" i="1"/>
  <c r="J23" i="1"/>
  <c r="J6" i="1"/>
  <c r="J35" i="1"/>
  <c r="J7" i="1"/>
  <c r="J51" i="1"/>
  <c r="J4" i="1"/>
  <c r="H50" i="1"/>
  <c r="J32" i="1"/>
  <c r="H64" i="1"/>
  <c r="J49" i="1"/>
  <c r="J50" i="1"/>
  <c r="J22" i="1"/>
  <c r="J33" i="1"/>
  <c r="J46" i="1"/>
  <c r="J41" i="1"/>
  <c r="J52" i="1"/>
  <c r="Q52" i="1"/>
  <c r="J2" i="1"/>
  <c r="L14" i="7" l="1"/>
  <c r="L15" i="7"/>
  <c r="L16" i="7"/>
  <c r="L12" i="7"/>
  <c r="N12" i="7" s="1" a="1"/>
  <c r="N12" i="7" s="1"/>
  <c r="L13" i="7"/>
  <c r="N13" i="7" s="1" a="1"/>
  <c r="N13" i="7" s="1"/>
  <c r="N14" i="7" l="1" a="1"/>
  <c r="N14" i="7" s="1"/>
  <c r="O14" i="7" s="1"/>
  <c r="M14" i="7" s="1"/>
  <c r="N15" i="7" a="1"/>
  <c r="N15" i="7" s="1"/>
  <c r="O15" i="7" s="1"/>
  <c r="M15" i="7" s="1"/>
  <c r="N16" i="7" a="1"/>
  <c r="N16" i="7" s="1"/>
  <c r="O16" i="7" s="1"/>
  <c r="M16" i="7" s="1"/>
  <c r="O13" i="7"/>
  <c r="M13" i="7" s="1"/>
  <c r="P13" i="7"/>
  <c r="P12" i="7"/>
  <c r="O12" i="7"/>
  <c r="M12" i="7" s="1"/>
  <c r="P14" i="7" l="1"/>
  <c r="P15" i="7"/>
  <c r="P16" i="7"/>
  <c r="E363" i="3"/>
  <c r="E364" i="3"/>
  <c r="E362" i="3"/>
  <c r="E365" i="3"/>
  <c r="E357" i="3"/>
  <c r="E358" i="3"/>
  <c r="E369" i="3"/>
  <c r="E370" i="3"/>
  <c r="E368" i="3"/>
  <c r="E366" i="3"/>
  <c r="E373" i="3"/>
  <c r="D21" i="2"/>
  <c r="G362" i="3" s="1"/>
  <c r="E372" i="3"/>
  <c r="E374" i="3"/>
  <c r="E367" i="3"/>
  <c r="E360" i="3"/>
  <c r="E371" i="3"/>
  <c r="E359" i="3"/>
  <c r="E361" i="3"/>
  <c r="E356" i="3"/>
  <c r="G370" i="3" l="1"/>
  <c r="G364" i="3"/>
  <c r="G358" i="3"/>
  <c r="G371" i="3"/>
  <c r="G367" i="3"/>
  <c r="E21" i="2"/>
  <c r="G361" i="3"/>
  <c r="G21" i="2"/>
  <c r="G360" i="3"/>
  <c r="G373" i="3"/>
  <c r="H21" i="2"/>
  <c r="G369" i="3"/>
  <c r="G366" i="3"/>
  <c r="G374" i="3"/>
  <c r="G365" i="3"/>
  <c r="G363" i="3"/>
  <c r="G357" i="3"/>
  <c r="G359" i="3"/>
  <c r="G356" i="3"/>
  <c r="G372" i="3"/>
  <c r="G368" i="3"/>
  <c r="F371" i="3" l="1"/>
  <c r="F361" i="3"/>
  <c r="F357" i="3"/>
  <c r="F362" i="3"/>
  <c r="F356" i="3"/>
  <c r="F359" i="3"/>
  <c r="F368" i="3"/>
  <c r="F364" i="3"/>
  <c r="F366" i="3"/>
  <c r="F372" i="3"/>
  <c r="F373" i="3"/>
  <c r="F363" i="3"/>
  <c r="F369" i="3"/>
  <c r="F358" i="3"/>
  <c r="F370" i="3"/>
  <c r="F367" i="3"/>
  <c r="F374" i="3"/>
  <c r="F360" i="3"/>
  <c r="F365" i="3"/>
  <c r="D22" i="2" l="1"/>
  <c r="G391" i="3" s="1"/>
  <c r="E391" i="3"/>
  <c r="E390" i="3"/>
  <c r="G48" i="1"/>
  <c r="E387" i="3"/>
  <c r="E396" i="3"/>
  <c r="E378" i="3"/>
  <c r="E393" i="3"/>
  <c r="E47" i="1" s="1"/>
  <c r="E389" i="3"/>
  <c r="G47" i="1"/>
  <c r="E379" i="3"/>
  <c r="E384" i="3"/>
  <c r="E394" i="3"/>
  <c r="E395" i="3"/>
  <c r="E392" i="3"/>
  <c r="E375" i="3"/>
  <c r="E377" i="3"/>
  <c r="G46" i="1"/>
  <c r="E383" i="3"/>
  <c r="E380" i="3"/>
  <c r="E376" i="3"/>
  <c r="E382" i="3"/>
  <c r="E386" i="3"/>
  <c r="E388" i="3"/>
  <c r="E385" i="3"/>
  <c r="E46" i="1" s="1"/>
  <c r="E381" i="3"/>
  <c r="E48" i="1" s="1"/>
  <c r="G394" i="3" l="1"/>
  <c r="G383" i="3"/>
  <c r="G384" i="3"/>
  <c r="G378" i="3"/>
  <c r="G387" i="3"/>
  <c r="G375" i="3"/>
  <c r="G379" i="3"/>
  <c r="G390" i="3"/>
  <c r="H48" i="1"/>
  <c r="G389" i="3"/>
  <c r="G388" i="3"/>
  <c r="G396" i="3"/>
  <c r="H22" i="2"/>
  <c r="G376" i="3"/>
  <c r="G381" i="3"/>
  <c r="M48" i="1" s="1"/>
  <c r="G386" i="3"/>
  <c r="G395" i="3"/>
  <c r="G392" i="3"/>
  <c r="G393" i="3"/>
  <c r="M47" i="1" s="1"/>
  <c r="G377" i="3"/>
  <c r="F51" i="1"/>
  <c r="F53" i="1"/>
  <c r="F47" i="1"/>
  <c r="F48" i="1"/>
  <c r="H47" i="1"/>
  <c r="G382" i="3"/>
  <c r="G22" i="2"/>
  <c r="E22" i="2"/>
  <c r="H51" i="1"/>
  <c r="G380" i="3"/>
  <c r="H53" i="1"/>
  <c r="G385" i="3"/>
  <c r="M46" i="1" s="1"/>
  <c r="F391" i="3" l="1"/>
  <c r="F375" i="3"/>
  <c r="F389" i="3"/>
  <c r="F384" i="3"/>
  <c r="F381" i="3"/>
  <c r="K48" i="1" s="1"/>
  <c r="F378" i="3"/>
  <c r="F396" i="3"/>
  <c r="F394" i="3"/>
  <c r="F385" i="3"/>
  <c r="K46" i="1" s="1"/>
  <c r="F383" i="3"/>
  <c r="F393" i="3"/>
  <c r="K47" i="1" s="1"/>
  <c r="F390" i="3"/>
  <c r="F379" i="3"/>
  <c r="F395" i="3"/>
  <c r="F392" i="3"/>
  <c r="F377" i="3"/>
  <c r="F380" i="3"/>
  <c r="F382" i="3"/>
  <c r="F376" i="3"/>
  <c r="F386" i="3"/>
  <c r="F387" i="3"/>
  <c r="F388" i="3"/>
  <c r="L47" i="1" l="1"/>
  <c r="T47" i="1"/>
  <c r="R47" i="1"/>
  <c r="N47" i="1"/>
  <c r="L53" i="1"/>
  <c r="R46" i="1"/>
  <c r="L51" i="1"/>
  <c r="N46" i="1"/>
  <c r="T46" i="1"/>
  <c r="N48" i="1"/>
  <c r="R48" i="1"/>
  <c r="L48" i="1"/>
  <c r="T48" i="1"/>
  <c r="P48" i="1" l="1"/>
  <c r="O48" i="1"/>
  <c r="P47" i="1"/>
  <c r="O47" i="1"/>
  <c r="S48" i="1"/>
  <c r="P46" i="1"/>
  <c r="O53" i="1"/>
  <c r="O51" i="1"/>
  <c r="S47" i="1"/>
  <c r="U47" i="1"/>
  <c r="U53" i="1"/>
  <c r="U51" i="1"/>
  <c r="S51" i="1"/>
  <c r="S53" i="1"/>
  <c r="U48" i="1"/>
  <c r="Q51" i="1" l="1"/>
  <c r="Q53" i="1"/>
  <c r="Q47" i="1"/>
  <c r="Q48" i="1"/>
  <c r="E412" i="3"/>
  <c r="D23" i="2"/>
  <c r="G413" i="3" s="1"/>
  <c r="E398" i="3"/>
  <c r="E404" i="3"/>
  <c r="E44" i="1" s="1"/>
  <c r="E409" i="3"/>
  <c r="E405" i="3"/>
  <c r="E401" i="3"/>
  <c r="E397" i="3"/>
  <c r="G45" i="1"/>
  <c r="E406" i="3"/>
  <c r="E410" i="3"/>
  <c r="E399" i="3"/>
  <c r="E402" i="3"/>
  <c r="E407" i="3"/>
  <c r="E408" i="3"/>
  <c r="E414" i="3"/>
  <c r="E400" i="3"/>
  <c r="E411" i="3"/>
  <c r="G44" i="1"/>
  <c r="E403" i="3"/>
  <c r="E413" i="3"/>
  <c r="G408" i="3" l="1"/>
  <c r="G410" i="3"/>
  <c r="G409" i="3"/>
  <c r="H23" i="2"/>
  <c r="G415" i="3"/>
  <c r="G414" i="3"/>
  <c r="G407" i="3"/>
  <c r="G398" i="3"/>
  <c r="G406" i="3"/>
  <c r="E23" i="2"/>
  <c r="G403" i="3"/>
  <c r="G23" i="2"/>
  <c r="G400" i="3"/>
  <c r="G399" i="3"/>
  <c r="G405" i="3"/>
  <c r="G412" i="3"/>
  <c r="G401" i="3"/>
  <c r="G404" i="3"/>
  <c r="M44" i="1" s="1"/>
  <c r="E45" i="1"/>
  <c r="G402" i="3"/>
  <c r="G397" i="3"/>
  <c r="M45" i="1" s="1"/>
  <c r="G411" i="3"/>
  <c r="F410" i="3" l="1"/>
  <c r="F415" i="3"/>
  <c r="F399" i="3"/>
  <c r="F406" i="3"/>
  <c r="F401" i="3"/>
  <c r="F414" i="3"/>
  <c r="F404" i="3"/>
  <c r="K44" i="1" s="1"/>
  <c r="F397" i="3"/>
  <c r="K45" i="1" s="1"/>
  <c r="T45" i="1" s="1"/>
  <c r="F398" i="3"/>
  <c r="F407" i="3"/>
  <c r="F402" i="3"/>
  <c r="F400" i="3"/>
  <c r="F403" i="3"/>
  <c r="F413" i="3"/>
  <c r="F405" i="3"/>
  <c r="F409" i="3"/>
  <c r="F408" i="3"/>
  <c r="F412" i="3"/>
  <c r="F411" i="3"/>
  <c r="R45" i="1" l="1"/>
  <c r="N45" i="1"/>
  <c r="N44" i="1"/>
  <c r="R44" i="1"/>
  <c r="T44" i="1"/>
  <c r="P44" i="1" l="1"/>
  <c r="P45" i="1"/>
  <c r="G429" i="3" l="1"/>
  <c r="G436" i="3"/>
  <c r="E436" i="3"/>
  <c r="G434" i="3"/>
  <c r="G435" i="3"/>
  <c r="M5" i="1" s="1"/>
  <c r="G418" i="3"/>
  <c r="M41" i="1" s="1"/>
  <c r="G5" i="1"/>
  <c r="G42" i="1"/>
  <c r="G430" i="3"/>
  <c r="M28" i="1" s="1"/>
  <c r="G424" i="3"/>
  <c r="E426" i="3"/>
  <c r="E27" i="1" s="1"/>
  <c r="G416" i="3"/>
  <c r="G428" i="3"/>
  <c r="G432" i="3"/>
  <c r="G427" i="3"/>
  <c r="M43" i="1" s="1"/>
  <c r="G27" i="1"/>
  <c r="G43" i="1"/>
  <c r="G431" i="3"/>
  <c r="G425" i="3"/>
  <c r="G433" i="3"/>
  <c r="G422" i="3"/>
  <c r="G421" i="3"/>
  <c r="E431" i="3"/>
  <c r="G420" i="3"/>
  <c r="F436" i="3"/>
  <c r="E427" i="3"/>
  <c r="E43" i="1" s="1"/>
  <c r="F431" i="3"/>
  <c r="G419" i="3"/>
  <c r="M42" i="1" s="1"/>
  <c r="G28" i="1"/>
  <c r="E423" i="3"/>
  <c r="E424" i="3"/>
  <c r="E422" i="3"/>
  <c r="E432" i="3"/>
  <c r="G426" i="3"/>
  <c r="M27" i="1" s="1"/>
  <c r="E433" i="3"/>
  <c r="E416" i="3"/>
  <c r="F433" i="3"/>
  <c r="F427" i="3"/>
  <c r="K43" i="1" s="1"/>
  <c r="F429" i="3"/>
  <c r="E429" i="3"/>
  <c r="E430" i="3"/>
  <c r="E28" i="1" s="1"/>
  <c r="E418" i="3"/>
  <c r="E41" i="1" s="1"/>
  <c r="F421" i="3"/>
  <c r="E421" i="3"/>
  <c r="F430" i="3"/>
  <c r="K28" i="1" s="1"/>
  <c r="F422" i="3"/>
  <c r="F420" i="3"/>
  <c r="E420" i="3"/>
  <c r="F428" i="3"/>
  <c r="E428" i="3"/>
  <c r="F432" i="3"/>
  <c r="F424" i="3"/>
  <c r="E417" i="3"/>
  <c r="F435" i="3"/>
  <c r="K5" i="1" s="1"/>
  <c r="E435" i="3"/>
  <c r="E5" i="1" s="1"/>
  <c r="F426" i="3"/>
  <c r="K27" i="1" s="1"/>
  <c r="N27" i="1" s="1"/>
  <c r="F425" i="3"/>
  <c r="E425" i="3"/>
  <c r="E419" i="3"/>
  <c r="E42" i="1" s="1"/>
  <c r="F419" i="3"/>
  <c r="K42" i="1" s="1"/>
  <c r="F423" i="3"/>
  <c r="G423" i="3"/>
  <c r="F416" i="3"/>
  <c r="F417" i="3"/>
  <c r="G417" i="3"/>
  <c r="E434" i="3"/>
  <c r="F418" i="3"/>
  <c r="K41" i="1" s="1"/>
  <c r="N41" i="1" s="1"/>
  <c r="G41" i="1"/>
  <c r="F434" i="3"/>
  <c r="R28" i="1" l="1"/>
  <c r="R42" i="1"/>
  <c r="T42" i="1"/>
  <c r="R27" i="1"/>
  <c r="R5" i="1"/>
  <c r="N5" i="1"/>
  <c r="P5" i="1" s="1"/>
  <c r="T5" i="1"/>
  <c r="N43" i="1"/>
  <c r="P43" i="1" s="1"/>
  <c r="R43" i="1"/>
  <c r="T41" i="1"/>
  <c r="P27" i="1"/>
  <c r="T43" i="1"/>
  <c r="F45" i="1"/>
  <c r="P41" i="1"/>
  <c r="L49" i="1"/>
  <c r="T28" i="1"/>
  <c r="N42" i="1"/>
  <c r="R41" i="1"/>
  <c r="F55" i="1"/>
  <c r="H45" i="1"/>
  <c r="T27" i="1"/>
  <c r="N28" i="1"/>
  <c r="L45" i="1"/>
  <c r="F49" i="1"/>
  <c r="H55" i="1"/>
  <c r="H49" i="1"/>
  <c r="L55" i="1"/>
  <c r="S49" i="1" l="1"/>
  <c r="S45" i="1"/>
  <c r="O49" i="1"/>
  <c r="O45" i="1"/>
  <c r="O55" i="1"/>
  <c r="U45" i="1"/>
  <c r="S55" i="1"/>
  <c r="U49" i="1"/>
  <c r="U55" i="1"/>
  <c r="P28" i="1"/>
  <c r="P42" i="1"/>
  <c r="Q55" i="1" l="1"/>
  <c r="Q49" i="1"/>
  <c r="Q45" i="1"/>
  <c r="E453" i="3"/>
  <c r="E23" i="1" s="1"/>
  <c r="E446" i="3"/>
  <c r="E442" i="3"/>
  <c r="E12" i="1" s="1"/>
  <c r="E449" i="3"/>
  <c r="G12" i="1"/>
  <c r="G23" i="1"/>
  <c r="G40" i="1"/>
  <c r="E450" i="3"/>
  <c r="E40" i="1"/>
  <c r="G14" i="1"/>
  <c r="D25" i="2"/>
  <c r="G442" i="3" s="1"/>
  <c r="M12" i="1" s="1"/>
  <c r="E447" i="3"/>
  <c r="E451" i="3"/>
  <c r="E9" i="1"/>
  <c r="E452" i="3"/>
  <c r="E14" i="1" s="1"/>
  <c r="E440" i="3"/>
  <c r="E448" i="3"/>
  <c r="E438" i="3"/>
  <c r="E444" i="3"/>
  <c r="E454" i="3"/>
  <c r="E445" i="3"/>
  <c r="E443" i="3"/>
  <c r="E441" i="3"/>
  <c r="E439" i="3"/>
  <c r="G9" i="1"/>
  <c r="G440" i="3" l="1"/>
  <c r="G444" i="3"/>
  <c r="G438" i="3"/>
  <c r="G25" i="2"/>
  <c r="F453" i="3" s="1"/>
  <c r="K23" i="1" s="1"/>
  <c r="T23" i="1" s="1"/>
  <c r="G449" i="3"/>
  <c r="H25" i="2"/>
  <c r="F27" i="1"/>
  <c r="F43" i="1"/>
  <c r="H43" i="1"/>
  <c r="H27" i="1"/>
  <c r="G447" i="3"/>
  <c r="G445" i="3"/>
  <c r="G450" i="3"/>
  <c r="M40" i="1" s="1"/>
  <c r="E25" i="2"/>
  <c r="G453" i="3"/>
  <c r="M23" i="1" s="1"/>
  <c r="G448" i="3"/>
  <c r="G452" i="3"/>
  <c r="M14" i="1" s="1"/>
  <c r="G439" i="3"/>
  <c r="G451" i="3"/>
  <c r="M9" i="1" s="1"/>
  <c r="G441" i="3"/>
  <c r="G454" i="3"/>
  <c r="G446" i="3"/>
  <c r="G443" i="3"/>
  <c r="F442" i="3" l="1"/>
  <c r="K12" i="1" s="1"/>
  <c r="R12" i="1" s="1"/>
  <c r="F454" i="3"/>
  <c r="F441" i="3"/>
  <c r="F443" i="3"/>
  <c r="F449" i="3"/>
  <c r="F448" i="3"/>
  <c r="F446" i="3"/>
  <c r="F447" i="3"/>
  <c r="F445" i="3"/>
  <c r="F451" i="3"/>
  <c r="K9" i="1" s="1"/>
  <c r="F444" i="3"/>
  <c r="F452" i="3"/>
  <c r="K14" i="1" s="1"/>
  <c r="F450" i="3"/>
  <c r="K40" i="1" s="1"/>
  <c r="F438" i="3"/>
  <c r="F440" i="3"/>
  <c r="F439" i="3"/>
  <c r="N23" i="1"/>
  <c r="R23" i="1"/>
  <c r="T12" i="1" l="1"/>
  <c r="N12" i="1"/>
  <c r="P12" i="1" s="1"/>
  <c r="L43" i="1"/>
  <c r="L27" i="1"/>
  <c r="T40" i="1"/>
  <c r="R40" i="1"/>
  <c r="N40" i="1"/>
  <c r="P40" i="1" s="1"/>
  <c r="N14" i="1"/>
  <c r="P14" i="1" s="1"/>
  <c r="R14" i="1"/>
  <c r="T14" i="1"/>
  <c r="T9" i="1"/>
  <c r="N9" i="1"/>
  <c r="P9" i="1" s="1"/>
  <c r="R9" i="1"/>
  <c r="P23" i="1"/>
  <c r="U27" i="1" l="1"/>
  <c r="S27" i="1"/>
  <c r="O27" i="1"/>
  <c r="O43" i="1"/>
  <c r="U43" i="1"/>
  <c r="S43" i="1"/>
  <c r="Q27" i="1"/>
  <c r="Q43" i="1"/>
  <c r="E469" i="3"/>
  <c r="G38" i="1"/>
  <c r="G34" i="1"/>
  <c r="D26" i="2"/>
  <c r="G469" i="3" s="1"/>
  <c r="G11" i="1"/>
  <c r="E457" i="3"/>
  <c r="G31" i="1"/>
  <c r="G36" i="1"/>
  <c r="G37" i="1"/>
  <c r="E456" i="3"/>
  <c r="E25" i="1" s="1"/>
  <c r="E461" i="3"/>
  <c r="E8" i="1"/>
  <c r="G6" i="1"/>
  <c r="E476" i="3"/>
  <c r="E39" i="1" s="1"/>
  <c r="G35" i="1"/>
  <c r="E477" i="3"/>
  <c r="E4" i="1" s="1"/>
  <c r="G25" i="1"/>
  <c r="E472" i="3"/>
  <c r="E10" i="1" s="1"/>
  <c r="G24" i="1"/>
  <c r="G32" i="1"/>
  <c r="E463" i="3"/>
  <c r="E37" i="1" s="1"/>
  <c r="G22" i="1"/>
  <c r="G13" i="1"/>
  <c r="G8" i="1"/>
  <c r="G39" i="1"/>
  <c r="E473" i="3"/>
  <c r="E33" i="1" s="1"/>
  <c r="E479" i="3"/>
  <c r="E13" i="1" s="1"/>
  <c r="E470" i="3"/>
  <c r="E34" i="1" s="1"/>
  <c r="E465" i="3"/>
  <c r="E24" i="1" s="1"/>
  <c r="E455" i="3"/>
  <c r="G33" i="1"/>
  <c r="G20" i="1"/>
  <c r="G7" i="1"/>
  <c r="E471" i="3"/>
  <c r="E35" i="1" s="1"/>
  <c r="E459" i="3"/>
  <c r="E20" i="1" s="1"/>
  <c r="E460" i="3"/>
  <c r="E6" i="1" s="1"/>
  <c r="E478" i="3"/>
  <c r="E32" i="1" s="1"/>
  <c r="G10" i="1"/>
  <c r="E467" i="3"/>
  <c r="E11" i="1"/>
  <c r="G21" i="1"/>
  <c r="G26" i="1"/>
  <c r="G2" i="1"/>
  <c r="E475" i="3"/>
  <c r="E36" i="1" s="1"/>
  <c r="E468" i="3"/>
  <c r="E2" i="1" s="1"/>
  <c r="E466" i="3"/>
  <c r="E22" i="1"/>
  <c r="G4" i="1"/>
  <c r="E464" i="3"/>
  <c r="E38" i="1" s="1"/>
  <c r="E474" i="3"/>
  <c r="E31" i="1" s="1"/>
  <c r="E458" i="3"/>
  <c r="E26" i="1" s="1"/>
  <c r="E462" i="3"/>
  <c r="E21" i="1" s="1"/>
  <c r="H38" i="1" l="1"/>
  <c r="H19" i="1"/>
  <c r="H16" i="1"/>
  <c r="H3" i="1"/>
  <c r="H18" i="1"/>
  <c r="G468" i="3"/>
  <c r="M2" i="1" s="1"/>
  <c r="G479" i="3"/>
  <c r="M13" i="1" s="1"/>
  <c r="G462" i="3"/>
  <c r="M21" i="1" s="1"/>
  <c r="G476" i="3"/>
  <c r="M39" i="1" s="1"/>
  <c r="G464" i="3"/>
  <c r="M38" i="1" s="1"/>
  <c r="G474" i="3"/>
  <c r="M31" i="1" s="1"/>
  <c r="G458" i="3"/>
  <c r="M26" i="1" s="1"/>
  <c r="G467" i="3"/>
  <c r="M11" i="1" s="1"/>
  <c r="G463" i="3"/>
  <c r="G461" i="3"/>
  <c r="M8" i="1" s="1"/>
  <c r="G466" i="3"/>
  <c r="M22" i="1" s="1"/>
  <c r="G465" i="3"/>
  <c r="M24" i="1" s="1"/>
  <c r="G478" i="3"/>
  <c r="M32" i="1" s="1"/>
  <c r="H15" i="1"/>
  <c r="H30" i="1"/>
  <c r="G457" i="3"/>
  <c r="G472" i="3"/>
  <c r="M10" i="1" s="1"/>
  <c r="H29" i="1"/>
  <c r="G473" i="3"/>
  <c r="M33" i="1" s="1"/>
  <c r="G477" i="3"/>
  <c r="M4" i="1" s="1"/>
  <c r="H10" i="1"/>
  <c r="H33" i="1"/>
  <c r="H7" i="1"/>
  <c r="K1" i="3"/>
  <c r="C4" i="12" s="1"/>
  <c r="C8" i="12" s="1"/>
  <c r="G456" i="3"/>
  <c r="M25" i="1" s="1"/>
  <c r="G459" i="3"/>
  <c r="M20" i="1" s="1"/>
  <c r="H35" i="1"/>
  <c r="E26" i="2"/>
  <c r="H26" i="2"/>
  <c r="H32" i="1"/>
  <c r="G475" i="3"/>
  <c r="M36" i="1" s="1"/>
  <c r="H42" i="1"/>
  <c r="H24" i="1"/>
  <c r="H26" i="1"/>
  <c r="H39" i="1"/>
  <c r="G470" i="3"/>
  <c r="M34" i="1" s="1"/>
  <c r="H4" i="1"/>
  <c r="H21" i="1"/>
  <c r="H25" i="1"/>
  <c r="G460" i="3"/>
  <c r="M6" i="1" s="1"/>
  <c r="H11" i="1"/>
  <c r="H8" i="1"/>
  <c r="H37" i="1"/>
  <c r="H31" i="1"/>
  <c r="G455" i="3"/>
  <c r="M7" i="1" s="1"/>
  <c r="H34" i="1"/>
  <c r="H20" i="1"/>
  <c r="H9" i="1"/>
  <c r="H36" i="1"/>
  <c r="H46" i="1"/>
  <c r="H6" i="1"/>
  <c r="H23" i="1"/>
  <c r="G26" i="2"/>
  <c r="H14" i="1"/>
  <c r="E7" i="1"/>
  <c r="F23" i="1" s="1"/>
  <c r="H13" i="1"/>
  <c r="H2" i="1"/>
  <c r="G471" i="3"/>
  <c r="M35" i="1" s="1"/>
  <c r="H28" i="1"/>
  <c r="H44" i="1"/>
  <c r="H12" i="1"/>
  <c r="H5" i="1"/>
  <c r="H41" i="1"/>
  <c r="H22" i="1"/>
  <c r="M37" i="1" l="1"/>
  <c r="F38" i="1"/>
  <c r="F19" i="1"/>
  <c r="F16" i="1"/>
  <c r="F18" i="1"/>
  <c r="F3" i="1"/>
  <c r="F30" i="1"/>
  <c r="F15" i="1"/>
  <c r="F29" i="1"/>
  <c r="F41" i="1"/>
  <c r="F12" i="1"/>
  <c r="F2" i="1"/>
  <c r="F7" i="1"/>
  <c r="F11" i="1"/>
  <c r="F33" i="1"/>
  <c r="F24" i="1"/>
  <c r="F479" i="3"/>
  <c r="K13" i="1" s="1"/>
  <c r="F457" i="3"/>
  <c r="F478" i="3"/>
  <c r="K32" i="1" s="1"/>
  <c r="F472" i="3"/>
  <c r="K10" i="1" s="1"/>
  <c r="F469" i="3"/>
  <c r="F456" i="3"/>
  <c r="K25" i="1" s="1"/>
  <c r="F467" i="3"/>
  <c r="K11" i="1" s="1"/>
  <c r="F455" i="3"/>
  <c r="K7" i="1" s="1"/>
  <c r="T7" i="1" s="1"/>
  <c r="F463" i="3"/>
  <c r="F471" i="3"/>
  <c r="K35" i="1" s="1"/>
  <c r="F475" i="3"/>
  <c r="K36" i="1" s="1"/>
  <c r="F466" i="3"/>
  <c r="K22" i="1" s="1"/>
  <c r="F474" i="3"/>
  <c r="K31" i="1" s="1"/>
  <c r="F460" i="3"/>
  <c r="K6" i="1" s="1"/>
  <c r="F459" i="3"/>
  <c r="K20" i="1" s="1"/>
  <c r="F470" i="3"/>
  <c r="K34" i="1" s="1"/>
  <c r="F473" i="3"/>
  <c r="K33" i="1" s="1"/>
  <c r="F464" i="3"/>
  <c r="K38" i="1" s="1"/>
  <c r="F468" i="3"/>
  <c r="K2" i="1" s="1"/>
  <c r="F462" i="3"/>
  <c r="K21" i="1" s="1"/>
  <c r="F461" i="3"/>
  <c r="K8" i="1" s="1"/>
  <c r="F465" i="3"/>
  <c r="K24" i="1" s="1"/>
  <c r="F477" i="3"/>
  <c r="K4" i="1" s="1"/>
  <c r="F476" i="3"/>
  <c r="K39" i="1" s="1"/>
  <c r="F458" i="3"/>
  <c r="K26" i="1" s="1"/>
  <c r="F8" i="1"/>
  <c r="F35" i="1"/>
  <c r="F46" i="1"/>
  <c r="F36" i="1"/>
  <c r="F37" i="1"/>
  <c r="F13" i="1"/>
  <c r="L20" i="7"/>
  <c r="N20" i="7" s="1" a="1"/>
  <c r="N20" i="7" s="1"/>
  <c r="L23" i="7"/>
  <c r="N23" i="7" s="1" a="1"/>
  <c r="N23" i="7" s="1"/>
  <c r="L22" i="7"/>
  <c r="N22" i="7" s="1" a="1"/>
  <c r="N22" i="7" s="1"/>
  <c r="L21" i="7"/>
  <c r="N21" i="7" s="1" a="1"/>
  <c r="N21" i="7" s="1"/>
  <c r="L24" i="7"/>
  <c r="N24" i="7" s="1" a="1"/>
  <c r="N24" i="7" s="1"/>
  <c r="F31" i="1"/>
  <c r="F28" i="1"/>
  <c r="F5" i="1"/>
  <c r="F14" i="1"/>
  <c r="F20" i="1"/>
  <c r="F42" i="1"/>
  <c r="F10" i="1"/>
  <c r="F22" i="1"/>
  <c r="F26" i="1"/>
  <c r="F4" i="1"/>
  <c r="F39" i="1"/>
  <c r="F32" i="1"/>
  <c r="F44" i="1"/>
  <c r="F6" i="1"/>
  <c r="F9" i="1"/>
  <c r="F25" i="1"/>
  <c r="F34" i="1"/>
  <c r="F21" i="1"/>
  <c r="L16" i="1" l="1"/>
  <c r="L18" i="1"/>
  <c r="L19" i="1"/>
  <c r="L38" i="1"/>
  <c r="L3" i="1"/>
  <c r="K37" i="1"/>
  <c r="L26" i="1" s="1"/>
  <c r="R38" i="1"/>
  <c r="N38" i="1"/>
  <c r="T38" i="1"/>
  <c r="N25" i="1"/>
  <c r="R25" i="1"/>
  <c r="T25" i="1"/>
  <c r="R33" i="1"/>
  <c r="N33" i="1"/>
  <c r="T33" i="1"/>
  <c r="N34" i="1"/>
  <c r="R34" i="1"/>
  <c r="T34" i="1"/>
  <c r="R10" i="1"/>
  <c r="N10" i="1"/>
  <c r="T10" i="1"/>
  <c r="N20" i="1"/>
  <c r="R20" i="1"/>
  <c r="T20" i="1"/>
  <c r="T32" i="1"/>
  <c r="R32" i="1"/>
  <c r="N32" i="1"/>
  <c r="N6" i="1"/>
  <c r="R6" i="1"/>
  <c r="T6" i="1"/>
  <c r="R26" i="1"/>
  <c r="N26" i="1"/>
  <c r="T26" i="1"/>
  <c r="N31" i="1"/>
  <c r="R31" i="1"/>
  <c r="T31" i="1"/>
  <c r="N13" i="1"/>
  <c r="T13" i="1"/>
  <c r="R13" i="1"/>
  <c r="P24" i="7"/>
  <c r="O24" i="7"/>
  <c r="M24" i="7" s="1"/>
  <c r="N39" i="1"/>
  <c r="R39" i="1"/>
  <c r="T39" i="1"/>
  <c r="R22" i="1"/>
  <c r="N22" i="1"/>
  <c r="T22" i="1"/>
  <c r="P21" i="7"/>
  <c r="O21" i="7"/>
  <c r="M21" i="7" s="1"/>
  <c r="R4" i="1"/>
  <c r="N4" i="1"/>
  <c r="T4" i="1"/>
  <c r="R36" i="1"/>
  <c r="N36" i="1"/>
  <c r="T36" i="1"/>
  <c r="P22" i="7"/>
  <c r="O22" i="7"/>
  <c r="M22" i="7" s="1"/>
  <c r="N24" i="1"/>
  <c r="R24" i="1"/>
  <c r="T24" i="1"/>
  <c r="T35" i="1"/>
  <c r="R35" i="1"/>
  <c r="N35" i="1"/>
  <c r="O23" i="7"/>
  <c r="M23" i="7" s="1"/>
  <c r="P23" i="7"/>
  <c r="R8" i="1"/>
  <c r="N8" i="1"/>
  <c r="T8" i="1"/>
  <c r="O20" i="7"/>
  <c r="M20" i="7" s="1"/>
  <c r="P20" i="7"/>
  <c r="N21" i="1"/>
  <c r="R21" i="1"/>
  <c r="T21" i="1"/>
  <c r="R7" i="1"/>
  <c r="N7" i="1"/>
  <c r="R2" i="1"/>
  <c r="N2" i="1"/>
  <c r="T2" i="1"/>
  <c r="N11" i="1"/>
  <c r="R11" i="1"/>
  <c r="T11" i="1"/>
  <c r="S19" i="1" l="1"/>
  <c r="S18" i="1"/>
  <c r="S16" i="1"/>
  <c r="U3" i="1"/>
  <c r="U16" i="1"/>
  <c r="U18" i="1"/>
  <c r="U19" i="1"/>
  <c r="U38" i="1"/>
  <c r="P38" i="1"/>
  <c r="O38" i="1"/>
  <c r="O19" i="1"/>
  <c r="O16" i="1"/>
  <c r="O18" i="1"/>
  <c r="S38" i="1"/>
  <c r="O3" i="1"/>
  <c r="S3" i="1"/>
  <c r="L15" i="1"/>
  <c r="L30" i="1"/>
  <c r="L29" i="1"/>
  <c r="L7" i="1"/>
  <c r="L2" i="1"/>
  <c r="L41" i="1"/>
  <c r="L24" i="1"/>
  <c r="L13" i="1"/>
  <c r="T37" i="1"/>
  <c r="U21" i="1" s="1"/>
  <c r="L23" i="1"/>
  <c r="L33" i="1"/>
  <c r="L34" i="1"/>
  <c r="L14" i="1"/>
  <c r="L9" i="1"/>
  <c r="L20" i="1"/>
  <c r="L11" i="1"/>
  <c r="L8" i="1"/>
  <c r="L37" i="1"/>
  <c r="L12" i="1"/>
  <c r="N37" i="1"/>
  <c r="O8" i="1" s="1"/>
  <c r="R37" i="1"/>
  <c r="S29" i="1" s="1"/>
  <c r="L42" i="1"/>
  <c r="L22" i="1"/>
  <c r="L6" i="1"/>
  <c r="L31" i="1"/>
  <c r="L25" i="1"/>
  <c r="L5" i="1"/>
  <c r="L21" i="1"/>
  <c r="L10" i="1"/>
  <c r="L28" i="1"/>
  <c r="L36" i="1"/>
  <c r="L32" i="1"/>
  <c r="L46" i="1"/>
  <c r="L44" i="1"/>
  <c r="L35" i="1"/>
  <c r="L4" i="1"/>
  <c r="L39" i="1"/>
  <c r="S36" i="1"/>
  <c r="U8" i="1"/>
  <c r="U37" i="1"/>
  <c r="U20" i="1"/>
  <c r="U33" i="1"/>
  <c r="S20" i="1"/>
  <c r="P33" i="1"/>
  <c r="U39" i="1"/>
  <c r="P11" i="1"/>
  <c r="O11" i="1"/>
  <c r="U42" i="1"/>
  <c r="U28" i="1"/>
  <c r="U5" i="1"/>
  <c r="U23" i="1"/>
  <c r="U12" i="1"/>
  <c r="U41" i="1"/>
  <c r="U9" i="1"/>
  <c r="U46" i="1"/>
  <c r="U44" i="1"/>
  <c r="O24" i="1"/>
  <c r="P24" i="1"/>
  <c r="S13" i="1"/>
  <c r="P8" i="1"/>
  <c r="U22" i="1"/>
  <c r="U13" i="1"/>
  <c r="O41" i="1"/>
  <c r="O14" i="1"/>
  <c r="O2" i="1"/>
  <c r="O23" i="1"/>
  <c r="O44" i="1"/>
  <c r="O42" i="1"/>
  <c r="O28" i="1"/>
  <c r="P2" i="1"/>
  <c r="O46" i="1"/>
  <c r="O7" i="1"/>
  <c r="P7" i="1"/>
  <c r="S8" i="1"/>
  <c r="P22" i="1"/>
  <c r="O22" i="1"/>
  <c r="O13" i="1"/>
  <c r="P13" i="1"/>
  <c r="S37" i="1"/>
  <c r="P20" i="1"/>
  <c r="S33" i="1"/>
  <c r="U36" i="1"/>
  <c r="S22" i="1"/>
  <c r="U31" i="1"/>
  <c r="U6" i="1"/>
  <c r="U10" i="1"/>
  <c r="U25" i="1"/>
  <c r="S7" i="1"/>
  <c r="O36" i="1"/>
  <c r="P36" i="1"/>
  <c r="S31" i="1"/>
  <c r="O10" i="1"/>
  <c r="P10" i="1"/>
  <c r="S25" i="1"/>
  <c r="P35" i="1"/>
  <c r="O35" i="1"/>
  <c r="S6" i="1"/>
  <c r="S10" i="1"/>
  <c r="S39" i="1"/>
  <c r="O31" i="1"/>
  <c r="P31" i="1"/>
  <c r="P6" i="1"/>
  <c r="O6" i="1"/>
  <c r="O25" i="1"/>
  <c r="P25" i="1"/>
  <c r="S35" i="1"/>
  <c r="S21" i="1"/>
  <c r="U35" i="1"/>
  <c r="U4" i="1"/>
  <c r="O39" i="1"/>
  <c r="P39" i="1"/>
  <c r="U26" i="1"/>
  <c r="U34" i="1"/>
  <c r="O26" i="1"/>
  <c r="P26" i="1"/>
  <c r="P32" i="1"/>
  <c r="O32" i="1"/>
  <c r="S34" i="1"/>
  <c r="U11" i="1"/>
  <c r="S9" i="1"/>
  <c r="S42" i="1"/>
  <c r="S5" i="1"/>
  <c r="S44" i="1"/>
  <c r="S41" i="1"/>
  <c r="S2" i="1"/>
  <c r="S14" i="1"/>
  <c r="S28" i="1"/>
  <c r="S23" i="1"/>
  <c r="S12" i="1"/>
  <c r="S46" i="1"/>
  <c r="P21" i="1"/>
  <c r="O21" i="1"/>
  <c r="U24" i="1"/>
  <c r="O4" i="1"/>
  <c r="P4" i="1"/>
  <c r="S32" i="1"/>
  <c r="P34" i="1"/>
  <c r="O34" i="1"/>
  <c r="S11" i="1"/>
  <c r="S24" i="1"/>
  <c r="S4" i="1"/>
  <c r="S26" i="1"/>
  <c r="U32" i="1"/>
  <c r="U7" i="1"/>
  <c r="Q38" i="1" l="1"/>
  <c r="Q16" i="1"/>
  <c r="Q19" i="1"/>
  <c r="Q18" i="1"/>
  <c r="Q3" i="1"/>
  <c r="S15" i="1"/>
  <c r="S30" i="1"/>
  <c r="U30" i="1"/>
  <c r="U15" i="1"/>
  <c r="O15" i="1"/>
  <c r="O30" i="1"/>
  <c r="L7" i="7"/>
  <c r="U14" i="1"/>
  <c r="U2" i="1"/>
  <c r="O29" i="1"/>
  <c r="U29" i="1"/>
  <c r="L6" i="7"/>
  <c r="L5" i="7"/>
  <c r="N5" i="7" a="1"/>
  <c r="N5" i="7" s="1"/>
  <c r="P5" i="7" s="1"/>
  <c r="N6" i="7" a="1"/>
  <c r="N6" i="7" s="1"/>
  <c r="O6" i="7" s="1"/>
  <c r="M6" i="7" s="1"/>
  <c r="L8" i="7"/>
  <c r="N8" i="7" s="1" a="1"/>
  <c r="N8" i="7" s="1"/>
  <c r="P8" i="7" s="1"/>
  <c r="L4" i="7"/>
  <c r="N4" i="7" s="1" a="1"/>
  <c r="N4" i="7" s="1"/>
  <c r="O4" i="7" s="1"/>
  <c r="M4" i="7" s="1"/>
  <c r="N7" i="7" a="1"/>
  <c r="N7" i="7" s="1"/>
  <c r="P7" i="7" s="1"/>
  <c r="P37" i="1"/>
  <c r="Q21" i="1" s="1"/>
  <c r="O37" i="1"/>
  <c r="O12" i="1"/>
  <c r="O5" i="1"/>
  <c r="O33" i="1"/>
  <c r="O20" i="1"/>
  <c r="O9" i="1"/>
  <c r="Q5" i="1"/>
  <c r="Q8" i="1"/>
  <c r="Q14" i="1" l="1"/>
  <c r="Q9" i="1"/>
  <c r="Q41" i="1"/>
  <c r="Q12" i="1"/>
  <c r="Q15" i="1"/>
  <c r="Q30" i="1"/>
  <c r="Q13" i="1"/>
  <c r="Q10" i="1"/>
  <c r="Q31" i="1"/>
  <c r="Q25" i="1"/>
  <c r="Q26" i="1"/>
  <c r="Q33" i="1"/>
  <c r="Q20" i="1"/>
  <c r="Q37" i="1"/>
  <c r="Q32" i="1"/>
  <c r="Q11" i="1"/>
  <c r="Q4" i="1"/>
  <c r="Q46" i="1"/>
  <c r="Q29" i="1"/>
  <c r="G22" i="7"/>
  <c r="G20" i="7"/>
  <c r="I20" i="7" s="1" a="1"/>
  <c r="I20" i="7" s="1"/>
  <c r="J20" i="7" s="1"/>
  <c r="H20" i="7" s="1"/>
  <c r="B23" i="7"/>
  <c r="D23" i="7" s="1" a="1"/>
  <c r="D23" i="7" s="1"/>
  <c r="E23" i="7" s="1"/>
  <c r="C23" i="7" s="1"/>
  <c r="G23" i="7"/>
  <c r="B24" i="7"/>
  <c r="D24" i="7" s="1" a="1"/>
  <c r="D24" i="7" s="1"/>
  <c r="E24" i="7" s="1"/>
  <c r="C24" i="7" s="1"/>
  <c r="B20" i="7"/>
  <c r="D20" i="7" s="1" a="1"/>
  <c r="D20" i="7" s="1"/>
  <c r="E20" i="7" s="1"/>
  <c r="C20" i="7" s="1"/>
  <c r="B22" i="7"/>
  <c r="D22" i="7" s="1" a="1"/>
  <c r="D22" i="7" s="1"/>
  <c r="F22" i="7" s="1"/>
  <c r="B21" i="7"/>
  <c r="G24" i="7"/>
  <c r="G21" i="7"/>
  <c r="I21" i="7" s="1" a="1"/>
  <c r="I21" i="7" s="1"/>
  <c r="J21" i="7" s="1"/>
  <c r="H21" i="7" s="1"/>
  <c r="AC6" i="1"/>
  <c r="AC2" i="1"/>
  <c r="AC3" i="1"/>
  <c r="AC5" i="1"/>
  <c r="AC4" i="1"/>
  <c r="AC7" i="1"/>
  <c r="I23" i="7" a="1"/>
  <c r="I23" i="7" s="1"/>
  <c r="J23" i="7" s="1"/>
  <c r="H23" i="7" s="1"/>
  <c r="I22" i="7" a="1"/>
  <c r="I22" i="7" s="1"/>
  <c r="K22" i="7" s="1"/>
  <c r="I24" i="7" a="1"/>
  <c r="I24" i="7" s="1"/>
  <c r="J24" i="7" s="1"/>
  <c r="H24" i="7" s="1"/>
  <c r="D21" i="7" a="1"/>
  <c r="D21" i="7" s="1"/>
  <c r="F21" i="7" s="1"/>
  <c r="O5" i="7"/>
  <c r="M5" i="7" s="1"/>
  <c r="O7" i="7"/>
  <c r="M7" i="7" s="1"/>
  <c r="P4" i="7"/>
  <c r="O8" i="7"/>
  <c r="M8" i="7" s="1"/>
  <c r="P6" i="7"/>
  <c r="Q22" i="1"/>
  <c r="Q2" i="1"/>
  <c r="B15" i="7"/>
  <c r="Q44" i="1"/>
  <c r="Q24" i="1"/>
  <c r="Q28" i="1"/>
  <c r="Q34" i="1"/>
  <c r="Q39" i="1"/>
  <c r="Q36" i="1"/>
  <c r="Q23" i="1"/>
  <c r="Q35" i="1"/>
  <c r="Q6" i="1"/>
  <c r="Q42" i="1"/>
  <c r="Q7" i="1"/>
  <c r="G12" i="7"/>
  <c r="I12" i="7" s="1" a="1"/>
  <c r="I12" i="7" s="1"/>
  <c r="J12" i="7" s="1"/>
  <c r="H12" i="7" s="1"/>
  <c r="B14" i="7"/>
  <c r="D14" i="7" s="1" a="1"/>
  <c r="D14" i="7" s="1"/>
  <c r="E14" i="7" s="1"/>
  <c r="C14" i="7" s="1"/>
  <c r="G14" i="7"/>
  <c r="I14" i="7" s="1" a="1"/>
  <c r="I14" i="7" s="1"/>
  <c r="G16" i="7"/>
  <c r="G15" i="7"/>
  <c r="I15" i="7" s="1" a="1"/>
  <c r="I15" i="7" s="1"/>
  <c r="K15" i="7" s="1"/>
  <c r="B13" i="7"/>
  <c r="D13" i="7" s="1" a="1"/>
  <c r="D13" i="7" s="1"/>
  <c r="F13" i="7" s="1"/>
  <c r="B16" i="7"/>
  <c r="G13" i="7"/>
  <c r="B12" i="7"/>
  <c r="D12" i="7" s="1" a="1"/>
  <c r="D12" i="7" s="1"/>
  <c r="F12" i="7" s="1"/>
  <c r="I13" i="7" a="1"/>
  <c r="I13" i="7" s="1"/>
  <c r="I16" i="7" l="1" a="1"/>
  <c r="I16" i="7" s="1"/>
  <c r="J16" i="7" s="1"/>
  <c r="H16" i="7" s="1"/>
  <c r="D15" i="7" a="1"/>
  <c r="D15" i="7" s="1"/>
  <c r="E15" i="7" s="1"/>
  <c r="C15" i="7" s="1"/>
  <c r="D16" i="7" a="1"/>
  <c r="D16" i="7" s="1"/>
  <c r="F16" i="7" s="1"/>
  <c r="K21" i="7"/>
  <c r="E22" i="7"/>
  <c r="C22" i="7" s="1"/>
  <c r="K20" i="7"/>
  <c r="F24" i="7"/>
  <c r="F20" i="7"/>
  <c r="AC9" i="1"/>
  <c r="AD2" i="1" s="1"/>
  <c r="K24" i="7"/>
  <c r="J22" i="7"/>
  <c r="H22" i="7" s="1"/>
  <c r="E21" i="7"/>
  <c r="C21" i="7" s="1"/>
  <c r="K23" i="7"/>
  <c r="F23" i="7"/>
  <c r="B6" i="7"/>
  <c r="D6" i="7" s="1" a="1"/>
  <c r="D6" i="7" s="1"/>
  <c r="E6" i="7" s="1"/>
  <c r="C6" i="7" s="1"/>
  <c r="B4" i="7"/>
  <c r="D4" i="7" s="1" a="1"/>
  <c r="D4" i="7" s="1"/>
  <c r="F4" i="7" s="1"/>
  <c r="G6" i="7"/>
  <c r="G4" i="7"/>
  <c r="I4" i="7" s="1" a="1"/>
  <c r="I4" i="7" s="1"/>
  <c r="K4" i="7" s="1"/>
  <c r="K12" i="7"/>
  <c r="B5" i="7"/>
  <c r="D5" i="7" s="1" a="1"/>
  <c r="D5" i="7" s="1"/>
  <c r="F5" i="7" s="1"/>
  <c r="G5" i="7"/>
  <c r="G8" i="7"/>
  <c r="B7" i="7"/>
  <c r="G7" i="7"/>
  <c r="B8" i="7"/>
  <c r="D8" i="7" s="1" a="1"/>
  <c r="D8" i="7" s="1"/>
  <c r="F8" i="7" s="1"/>
  <c r="E12" i="7"/>
  <c r="C12" i="7" s="1"/>
  <c r="D7" i="7" a="1"/>
  <c r="D7" i="7" s="1"/>
  <c r="E7" i="7" s="1"/>
  <c r="C7" i="7" s="1"/>
  <c r="I5" i="7" a="1"/>
  <c r="I5" i="7" s="1"/>
  <c r="J5" i="7" s="1"/>
  <c r="H5" i="7" s="1"/>
  <c r="F14" i="7"/>
  <c r="I8" i="7" a="1"/>
  <c r="I8" i="7" s="1"/>
  <c r="K8" i="7" s="1"/>
  <c r="I6" i="7" a="1"/>
  <c r="I6" i="7" s="1"/>
  <c r="J6" i="7" s="1"/>
  <c r="H6" i="7" s="1"/>
  <c r="J15" i="7"/>
  <c r="H15" i="7" s="1"/>
  <c r="I7" i="7" a="1"/>
  <c r="I7" i="7" s="1"/>
  <c r="J7" i="7" s="1"/>
  <c r="H7" i="7" s="1"/>
  <c r="E13" i="7"/>
  <c r="C13" i="7" s="1"/>
  <c r="J13" i="7"/>
  <c r="H13" i="7" s="1"/>
  <c r="K13" i="7"/>
  <c r="K14" i="7"/>
  <c r="J14" i="7"/>
  <c r="H14" i="7" s="1"/>
  <c r="K16" i="7" l="1"/>
  <c r="F15" i="7"/>
  <c r="E16" i="7"/>
  <c r="C16" i="7" s="1"/>
  <c r="AD3" i="1"/>
  <c r="AD7" i="1"/>
  <c r="AD4" i="1"/>
  <c r="AD5" i="1"/>
  <c r="AD6" i="1"/>
  <c r="E4" i="7"/>
  <c r="C4" i="7" s="1"/>
  <c r="F6" i="7"/>
  <c r="E5" i="7"/>
  <c r="C5" i="7" s="1"/>
  <c r="J4" i="7"/>
  <c r="H4" i="7" s="1"/>
  <c r="E8" i="7"/>
  <c r="C8" i="7" s="1"/>
  <c r="K5" i="7"/>
  <c r="F7" i="7"/>
  <c r="J8" i="7"/>
  <c r="H8" i="7" s="1"/>
  <c r="K6" i="7"/>
  <c r="K7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tc={DC36AB38-1C26-4EC4-8C26-D3555B580DB9}</author>
  </authors>
  <commentList>
    <comment ref="D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sommmerfest 2018</t>
        </r>
      </text>
    </comment>
    <comment ref="E8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privat del av faktura:
040 149.70
050 149.70
060 179.70
070 718.80
sum 1197.9
3942.20 - 1197.9 = 2744.3</t>
        </r>
      </text>
    </comment>
    <comment ref="E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+ 36 kr for godgjørelse til Kyrre?</t>
        </r>
      </text>
    </comment>
    <comment ref="E10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Dokumentasjon mangler.
Kjøp av 2 stk akevitt av Truls?</t>
        </r>
      </text>
    </comment>
    <comment ref="E12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+ 20 kr for godgjørelse av Kyrre?</t>
        </r>
      </text>
    </comment>
    <comment ref="D14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2019</t>
        </r>
      </text>
    </comment>
    <comment ref="D16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Fra sommerfest (vin og 6-pack)</t>
        </r>
      </text>
    </comment>
    <comment ref="E17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+ 300 kr ???
Undersøker med Kyrre</t>
        </r>
      </text>
    </comment>
    <comment ref="D20" authorId="0" shapeId="0" xr:uid="{00000000-0006-0000-0500-000009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 vin og 6 øl
- 3 cider og 6 øl</t>
        </r>
      </text>
    </comment>
    <comment ref="D21" authorId="0" shapeId="0" xr:uid="{00000000-0006-0000-0500-00000A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sommerfesten
-12 øl og en flaske vin</t>
        </r>
      </text>
    </comment>
    <comment ref="D23" authorId="1" shapeId="0" xr:uid="{DC36AB38-1C26-4EC4-8C26-D3555B580DB9}">
      <text>
        <t>[Threaded comment]
Your version of Excel allows you to read this threaded comment; however, any edits to it will get removed if the file is opened in a newer version of Excel. Learn more: https://go.microsoft.com/fwlink/?linkid=870924
Comment:
    Ukjent kilde. Sommerfest?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tc={4208EDE5-A356-4EB8-A913-C5AAB120C3F6}</author>
  </authors>
  <commentList>
    <comment ref="J7" authorId="0" shapeId="0" xr:uid="{4208EDE5-A356-4EB8-A913-C5AAB120C3F6}">
      <text>
        <t>[Threaded comment]
Your version of Excel allows you to read this threaded comment; however, any edits to it will get removed if the file is opened in a newer version of Excel. Learn more: https://go.microsoft.com/fwlink/?linkid=870924
Comment:
    Midler overført mellom personer. Renter ikke overført.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<sst xmlns="http://schemas.openxmlformats.org/spreadsheetml/2006/main" count="514" uniqueCount="211">
  <si>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</si>
  <si>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</si>
  <si>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</si>
  <si>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</si>
  <si>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</si>
  <si>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</si>
  <si>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</si>
  <si>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</si>
  <si>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</si>
  <si>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</si>
  <si>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</si>
  <si>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</si>
  <si>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</si>
  <si>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</si>
  <si>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</si>
  <si>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</si>
  <si>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</si>
  <si>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</si>
  <si>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</si>
  <si>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</si>
  <si>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</si>
  <si>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</si>
  <si>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</si>
  <si>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</si>
  <si>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</si>
  <si>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</si>
  <si>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</si>
  <si>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</si>
  <si>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</si>
  <si>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</si>
  <si>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</si>
  <si>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</si>
  <si>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</si>
  <si>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</si>
  <si>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</si>
  <si>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</si>
  <si>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</si>
  <si>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</si>
  <si>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</si>
  <si>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</si>
  <si>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</si>
  <si>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</si>
  <si>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</si>
  <si>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</si>
  <si>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</si>
  <si>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</si>
  <si>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</si>
  <si>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</si>
  <si>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</si>
  <si>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</si>
  <si>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</si>
  <si>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</si>
  <si>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</si>
  <si>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</si>
  <si>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</si>
  <si>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</si>
  <si>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</si>
  <si>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</si>
  <si>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</si>
  <si>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</si>
  <si>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</si>
  <si>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</si>
  <si>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</si>
  <si>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</si>
  <si>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</si>
  <si>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</si>
  <si>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</si>
  <si>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</si>
  <si>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</si>
  <si>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</si>
  <si>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</si>
  <si>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</si>
  <si>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</si>
  <si>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</si>
  <si>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</si>
  <si>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</si>
  <si>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</si>
  <si>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</si>
  <si>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</si>
  <si>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</si>
  <si>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</si>
  <si>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</si>
  <si>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</si>
  <si>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</si>
  <si>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</si>
  <si>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</si>
  <si>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</si>
  <si>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</si>
  <si>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</si>
  <si>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</si>
  <si>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</si>
  <si>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</si>
  <si>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</si>
  <si>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</si>
  <si>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</si>
  <si>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</si>
  <si>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</si>
  <si>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</si>
  <si>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</si>
  <si>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Kenneth J</t>
  </si>
  <si>
    <t>Ivan</t>
  </si>
  <si>
    <t>Stan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</si>
  <si>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</si>
  <si>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</si>
  <si>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</si>
  <si>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</si>
  <si>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</si>
  <si>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</si>
  <si>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</si>
  <si>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</si>
  <si>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</si>
  <si>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</si>
  <si>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</si>
  <si>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</si>
  <si>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</si>
  <si>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</si>
  <si>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</si>
  <si>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</si>
  <si>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</si>
  <si>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</si>
  <si>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</si>
  <si>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</si>
  <si>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>Anders S</t>
  </si>
  <si>
    <t xml:space="preserve">P - </t>
  </si>
  <si>
    <t xml:space="preserve">μ - </t>
  </si>
  <si>
    <t>Svein</t>
  </si>
  <si>
    <t>Anders Sz</t>
  </si>
  <si>
    <t>Renter 2019</t>
  </si>
  <si>
    <t>faktura</t>
  </si>
  <si>
    <t>OB 4547807</t>
  </si>
  <si>
    <t>income</t>
  </si>
  <si>
    <t>Magnus B</t>
  </si>
  <si>
    <t>Sondre</t>
  </si>
  <si>
    <t>{"name": "Mathias", "tickets": 5},</t>
  </si>
  <si>
    <t>Morten S</t>
  </si>
  <si>
    <t>Andrea</t>
  </si>
  <si>
    <t>stats?</t>
  </si>
  <si>
    <t>Sivert</t>
  </si>
  <si>
    <t>Helga</t>
  </si>
  <si>
    <t>Eli</t>
  </si>
  <si>
    <t>Jøran</t>
  </si>
  <si>
    <t>Kristin G</t>
  </si>
  <si>
    <t>Kristin T</t>
  </si>
  <si>
    <t>{"name": "Yngvar", "tickets": 6},</t>
  </si>
  <si>
    <t>{"name": "Anders A", "tickets": 10},</t>
  </si>
  <si>
    <t>{"name": "Stein", "tickets": 5},</t>
  </si>
  <si>
    <t>Tone</t>
  </si>
  <si>
    <t>Payam</t>
  </si>
  <si>
    <t>Håkon</t>
  </si>
  <si>
    <t>S</t>
  </si>
  <si>
    <t>V</t>
  </si>
  <si>
    <t>C</t>
  </si>
  <si>
    <t>X</t>
  </si>
  <si>
    <t>m</t>
  </si>
  <si>
    <t>R'</t>
  </si>
  <si>
    <t>G'</t>
  </si>
  <si>
    <t>B'</t>
  </si>
  <si>
    <t>H [°]</t>
  </si>
  <si>
    <t>R</t>
  </si>
  <si>
    <t>G</t>
  </si>
  <si>
    <t>B</t>
  </si>
  <si>
    <t>Expected prizes</t>
  </si>
  <si>
    <t>{"name": "Ivan", "tickets": 5},</t>
  </si>
  <si>
    <t>{"name": "Anders Sz", "tickets": 13, "prizes": 1},</t>
  </si>
  <si>
    <t>{"name": "Sondre", "tickets": 5},</t>
  </si>
  <si>
    <t>{"name": "Truls", "tickets": 5},</t>
  </si>
  <si>
    <t>{"name": "Ruben O", "tickets": 10},</t>
  </si>
  <si>
    <t>{"name": "Magnus B", "tickets": 10},</t>
  </si>
  <si>
    <t>{"name": "Anders Sz", "tickets": 14},</t>
  </si>
  <si>
    <t>{"name": "Eli", "tickets": 10},</t>
  </si>
  <si>
    <t>{"name": "Ciaran", "tickets": 6, "prizes": 1},</t>
  </si>
  <si>
    <t>{"name": "Martin", "tickets": 20, "prizes": 2},</t>
  </si>
  <si>
    <t>{"name": "Kenneth", "tickets": 15},</t>
  </si>
  <si>
    <t>{"name": "Odd", "tickets": 10, "prizes": 1},</t>
  </si>
  <si>
    <t>{"name": "Anders Sz", "tickets": 14, "prizes": 1},</t>
  </si>
  <si>
    <t>{"name": "Asgeir", "tickets": 6},</t>
  </si>
  <si>
    <t>{"name": "Ingvild", "tickets": 5},</t>
  </si>
  <si>
    <t>{"name": "Fridtjof", "tickets": 10},</t>
  </si>
  <si>
    <t>{"name": "Terje", "tickets": 5},</t>
  </si>
  <si>
    <t>{"name": "Jan", "tickets": 5},</t>
  </si>
  <si>
    <t>{"name": "Tone", "tickets": 6}</t>
  </si>
  <si>
    <t>{"name": "Kristin G", "tickets": 1},</t>
  </si>
  <si>
    <t>{"name": "Sven", "tickets": 10},</t>
  </si>
  <si>
    <t>Larger than</t>
  </si>
  <si>
    <t>Smaller than</t>
  </si>
  <si>
    <t>Previous top 5</t>
  </si>
  <si>
    <t>Copy</t>
  </si>
  <si>
    <t>OB 5300704</t>
  </si>
  <si>
    <t>Renter 2020</t>
  </si>
  <si>
    <t>Øystein</t>
  </si>
  <si>
    <t>{"name": "Anders A", "tickets": 10, "prizes": 1},</t>
  </si>
  <si>
    <t>{"name": "Ruben B", "tickets": 5, "prizes": 1},</t>
  </si>
  <si>
    <t>{"name": "Odd", "tickets": 10},</t>
  </si>
  <si>
    <t>{"name": "Ciaran", "tickets": 4},</t>
  </si>
  <si>
    <t>{"name": "Gaute", "tickets": 5},</t>
  </si>
  <si>
    <t>{"name": "Jøran", "tickets": 10},</t>
  </si>
  <si>
    <t>{"name": "Helga", "tickets": 4, "prizes": 1},</t>
  </si>
  <si>
    <t>{"name": "Truls", "tickets": 10, "prizes": 2},</t>
  </si>
  <si>
    <t>{"name": "Tone", "tickets": 3},</t>
  </si>
  <si>
    <t>{"name": "Johan", "tickets": 10},</t>
  </si>
  <si>
    <t>{"name": "Håkon", "tickets": 6},</t>
  </si>
  <si>
    <t>{"name": "Martin", "tickets": 10},</t>
  </si>
  <si>
    <t>{"name": "Ivan", "tickets": 5, "prizes": 1},</t>
  </si>
  <si>
    <t>{"name": "Øystein", "tickets": 4, "prizes": 2}</t>
  </si>
  <si>
    <t>Johan</t>
  </si>
  <si>
    <t>Gaute</t>
  </si>
  <si>
    <t>Renter 2021</t>
  </si>
  <si>
    <t>Bente</t>
  </si>
  <si>
    <t>Øyvind H</t>
  </si>
  <si>
    <t>Simen B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</si>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</sst>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  <numFmt numFmtId="168" formatCode="0.000\ %"/>
  </numFmts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B3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B3FFE6"/>
        <bgColor indexed="64"/>
      </patternFill>
    </fill>
    <fill>
      <patternFill patternType="solid">
        <fgColor rgb="FFB3E6FF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E6B3FF"/>
        <bgColor indexed="64"/>
      </patternFill>
    </fill>
    <fill>
      <patternFill patternType="solid">
        <fgColor rgb="FFFFB3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142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0" fillId="0" borderId="0" xfId="0" applyFont="1" applyAlignment="1"/>
    <xf numFmtId="1" fontId="12" fillId="0" borderId="0" xfId="4" applyNumberFormat="1" applyFont="1"/>
    <xf numFmtId="0" fontId="0" fillId="0" borderId="0" xfId="0" applyAlignment="1">
      <alignment horizontal="right"/>
    </xf>
    <xf numFmtId="43" fontId="0" fillId="4" borderId="0" xfId="3" applyNumberFormat="1" applyFont="1" applyFill="1"/>
    <xf numFmtId="43" fontId="0" fillId="0" borderId="0" xfId="0" applyNumberFormat="1"/>
    <xf numFmtId="0" fontId="17" fillId="0" borderId="0" xfId="0" applyNumberFormat="1" applyFont="1"/>
    <xf numFmtId="1" fontId="17" fillId="0" borderId="0" xfId="0" applyNumberFormat="1" applyFont="1"/>
    <xf numFmtId="164" fontId="17" fillId="0" borderId="0" xfId="0" applyNumberFormat="1" applyFont="1"/>
    <xf numFmtId="1" fontId="17" fillId="0" borderId="0" xfId="4" applyNumberFormat="1" applyFont="1"/>
    <xf numFmtId="9" fontId="0" fillId="0" borderId="0" xfId="4" applyFont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1" fontId="0" fillId="4" borderId="0" xfId="0" applyNumberFormat="1" applyFont="1" applyFill="1" applyAlignment="1">
      <alignment horizontal="left"/>
    </xf>
    <xf numFmtId="9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8" borderId="1" xfId="0" applyFont="1" applyFill="1" applyBorder="1" applyAlignment="1"/>
    <xf numFmtId="166" fontId="0" fillId="18" borderId="0" xfId="4" applyNumberFormat="1" applyFont="1" applyFill="1"/>
    <xf numFmtId="0" fontId="6" fillId="19" borderId="1" xfId="2" applyFont="1" applyFill="1" applyBorder="1"/>
    <xf numFmtId="0" fontId="6" fillId="19" borderId="0" xfId="2" applyFont="1" applyFill="1"/>
    <xf numFmtId="167" fontId="6" fillId="19" borderId="0" xfId="2" applyNumberFormat="1" applyFont="1" applyFill="1"/>
    <xf numFmtId="0" fontId="6" fillId="20" borderId="1" xfId="1" applyFont="1" applyFill="1" applyBorder="1"/>
    <xf numFmtId="0" fontId="6" fillId="20" borderId="0" xfId="1" applyFont="1" applyFill="1"/>
    <xf numFmtId="1" fontId="6" fillId="20" borderId="0" xfId="1" applyNumberFormat="1" applyFont="1" applyFill="1"/>
    <xf numFmtId="0" fontId="0" fillId="15" borderId="1" xfId="0" applyFont="1" applyFill="1" applyBorder="1" applyAlignment="1"/>
    <xf numFmtId="166" fontId="0" fillId="15" borderId="0" xfId="4" applyNumberFormat="1" applyFont="1" applyFill="1"/>
    <xf numFmtId="0" fontId="6" fillId="16" borderId="1" xfId="2" applyFont="1" applyFill="1" applyBorder="1"/>
    <xf numFmtId="0" fontId="6" fillId="16" borderId="0" xfId="2" applyFont="1" applyFill="1"/>
    <xf numFmtId="167" fontId="6" fillId="16" borderId="0" xfId="2" applyNumberFormat="1" applyFont="1" applyFill="1"/>
    <xf numFmtId="0" fontId="6" fillId="22" borderId="1" xfId="1" applyFont="1" applyFill="1" applyBorder="1"/>
    <xf numFmtId="0" fontId="6" fillId="22" borderId="0" xfId="1" applyFont="1" applyFill="1"/>
    <xf numFmtId="0" fontId="6" fillId="17" borderId="1" xfId="1" applyFont="1" applyFill="1" applyBorder="1"/>
    <xf numFmtId="0" fontId="6" fillId="17" borderId="0" xfId="1" applyFont="1" applyFill="1"/>
    <xf numFmtId="1" fontId="6" fillId="17" borderId="0" xfId="1" applyNumberFormat="1" applyFont="1" applyFill="1"/>
    <xf numFmtId="0" fontId="0" fillId="21" borderId="1" xfId="0" applyFont="1" applyFill="1" applyBorder="1" applyAlignment="1"/>
    <xf numFmtId="167" fontId="0" fillId="21" borderId="0" xfId="4" applyNumberFormat="1" applyFont="1" applyFill="1"/>
    <xf numFmtId="0" fontId="6" fillId="23" borderId="1" xfId="1" applyFont="1" applyFill="1" applyBorder="1"/>
    <xf numFmtId="0" fontId="6" fillId="23" borderId="0" xfId="1" applyFont="1" applyFill="1"/>
    <xf numFmtId="3" fontId="6" fillId="23" borderId="0" xfId="1" applyNumberFormat="1" applyFont="1" applyFill="1"/>
    <xf numFmtId="0" fontId="0" fillId="18" borderId="1" xfId="0" applyFont="1" applyFill="1" applyBorder="1" applyAlignment="1">
      <alignment horizontal="right"/>
    </xf>
    <xf numFmtId="0" fontId="6" fillId="19" borderId="1" xfId="2" applyFont="1" applyFill="1" applyBorder="1" applyAlignment="1">
      <alignment horizontal="right"/>
    </xf>
    <xf numFmtId="0" fontId="6" fillId="20" borderId="1" xfId="1" applyFont="1" applyFill="1" applyBorder="1" applyAlignment="1">
      <alignment horizontal="right"/>
    </xf>
    <xf numFmtId="0" fontId="6" fillId="17" borderId="1" xfId="1" applyFont="1" applyFill="1" applyBorder="1" applyAlignment="1">
      <alignment horizontal="right"/>
    </xf>
    <xf numFmtId="0" fontId="6" fillId="23" borderId="1" xfId="1" applyFont="1" applyFill="1" applyBorder="1" applyAlignment="1">
      <alignment horizontal="right"/>
    </xf>
    <xf numFmtId="0" fontId="6" fillId="22" borderId="1" xfId="1" applyFont="1" applyFill="1" applyBorder="1" applyAlignment="1">
      <alignment horizontal="right"/>
    </xf>
    <xf numFmtId="0" fontId="6" fillId="16" borderId="1" xfId="2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0" fontId="0" fillId="21" borderId="1" xfId="0" applyFont="1" applyFill="1" applyBorder="1" applyAlignment="1">
      <alignment horizontal="right"/>
    </xf>
    <xf numFmtId="0" fontId="0" fillId="18" borderId="1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6" fillId="19" borderId="1" xfId="2" applyFont="1" applyFill="1" applyBorder="1" applyAlignment="1">
      <alignment horizontal="center"/>
    </xf>
    <xf numFmtId="0" fontId="6" fillId="20" borderId="1" xfId="1" applyFont="1" applyFill="1" applyBorder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0" xfId="0" applyFont="1" applyBorder="1" applyAlignment="1"/>
    <xf numFmtId="0" fontId="0" fillId="0" borderId="6" xfId="0" applyFont="1" applyBorder="1" applyAlignment="1"/>
    <xf numFmtId="3" fontId="0" fillId="0" borderId="0" xfId="0" applyNumberFormat="1" applyBorder="1"/>
    <xf numFmtId="0" fontId="11" fillId="0" borderId="10" xfId="0" applyFont="1" applyFill="1" applyBorder="1"/>
    <xf numFmtId="44" fontId="0" fillId="0" borderId="1" xfId="5" applyFont="1" applyBorder="1"/>
    <xf numFmtId="44" fontId="0" fillId="0" borderId="0" xfId="5" applyFont="1"/>
    <xf numFmtId="44" fontId="0" fillId="0" borderId="0" xfId="5" applyFont="1" applyBorder="1"/>
    <xf numFmtId="44" fontId="11" fillId="0" borderId="0" xfId="5" applyFont="1"/>
    <xf numFmtId="44" fontId="11" fillId="0" borderId="10" xfId="5" applyFont="1" applyBorder="1"/>
    <xf numFmtId="0" fontId="11" fillId="0" borderId="8" xfId="0" applyFont="1" applyBorder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7" fillId="19" borderId="0" xfId="2" applyFont="1" applyFill="1" applyBorder="1" applyAlignment="1">
      <alignment horizontal="center"/>
    </xf>
    <xf numFmtId="0" fontId="8" fillId="20" borderId="0" xfId="1" applyFont="1" applyFill="1" applyBorder="1" applyAlignment="1">
      <alignment horizontal="center"/>
    </xf>
    <xf numFmtId="0" fontId="11" fillId="21" borderId="0" xfId="0" applyFont="1" applyFill="1" applyAlignment="1">
      <alignment horizontal="center"/>
    </xf>
    <xf numFmtId="0" fontId="7" fillId="16" borderId="0" xfId="2" applyFont="1" applyFill="1" applyBorder="1" applyAlignment="1">
      <alignment horizontal="center"/>
    </xf>
    <xf numFmtId="0" fontId="8" fillId="17" borderId="0" xfId="1" applyFont="1" applyFill="1" applyBorder="1" applyAlignment="1">
      <alignment horizontal="center"/>
    </xf>
    <xf numFmtId="0" fontId="8" fillId="23" borderId="0" xfId="1" applyFont="1" applyFill="1" applyBorder="1" applyAlignment="1">
      <alignment horizontal="center"/>
    </xf>
    <xf numFmtId="0" fontId="7" fillId="22" borderId="0" xfId="1" applyFont="1" applyFill="1" applyBorder="1" applyAlignment="1">
      <alignment horizontal="center"/>
    </xf>
    <xf numFmtId="0" fontId="0" fillId="0" borderId="0" xfId="0" applyFill="1"/>
    <xf numFmtId="168" fontId="0" fillId="18" borderId="0" xfId="4" applyNumberFormat="1" applyFont="1" applyFill="1"/>
  </cellXfs>
  <cellStyles count="6">
    <cellStyle name="Comma" xfId="3" builtinId="3"/>
    <cellStyle name="Currency" xfId="5" builtinId="4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FB3E6"/>
      <color rgb="FFE6B3FF"/>
      <color rgb="FFB3B3FF"/>
      <color rgb="FFE6FFB3"/>
      <color rgb="FFFFE6B3"/>
      <color rgb="FFFFB3B3"/>
      <color rgb="FFB3E6FF"/>
      <color rgb="FFB3FFE6"/>
      <color rgb="FFB3FFB3"/>
      <color rgb="FFE5D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Persons" displayName="Persons" ref="A1:U72" totalsRowShown="0" headerRowDxfId="40" dataDxfId="39">
  <autoFilter ref="A1:U72" xr:uid="{00000000-0009-0000-0100-000006000000}"/>
  <sortState xmlns:xlrd2="http://schemas.microsoft.com/office/spreadsheetml/2017/richdata2" ref="A2:U72">
    <sortCondition descending="1" ref="D1:D72"/>
  </sortState>
  <tableColumns count="21">
    <tableColumn id="1" xr3:uid="{00000000-0010-0000-0000-000001000000}" name="id" dataDxfId="38"/>
    <tableColumn id="2" xr3:uid="{00000000-0010-0000-0000-000002000000}" name="name" dataDxfId="37"/>
    <tableColumn id="3" xr3:uid="{00000000-0010-0000-0000-000003000000}" name="stats?" dataDxfId="36"/>
    <tableColumn id="20" xr3:uid="{00000000-0010-0000-0000-000014000000}" name="last lottery" dataDxfId="35">
      <calculatedColumnFormula array="1">MAX(IF(Sales!B:B=A2,Sales!C:C))</calculatedColumnFormula>
    </tableColumn>
    <tableColumn id="8" xr3:uid="{00000000-0010-0000-0000-000008000000}" name="cost" dataDxfId="34">
      <calculatedColumnFormula>SUMIF(Sales!B:B,A2,Sales!E:E)</calculatedColumnFormula>
    </tableColumn>
    <tableColumn id="18" xr3:uid="{00000000-0010-0000-0000-000012000000}" name="#cost" dataDxfId="33">
      <calculatedColumnFormula>IF($C2=0," ",COUNTIFS($C:$C,1,E:E,"&gt;"&amp;E2)+1)</calculatedColumnFormula>
    </tableColumn>
    <tableColumn id="9" xr3:uid="{00000000-0010-0000-0000-000009000000}" name="tickets" dataDxfId="32">
      <calculatedColumnFormula>SUMIF(Sales!B:B,A2,Sales!D:D)</calculatedColumnFormula>
    </tableColumn>
    <tableColumn id="12" xr3:uid="{00000000-0010-0000-0000-00000C000000}" name="#tickets" dataDxfId="31">
      <calculatedColumnFormula>IF($C2=0," ",COUNTIFS($C:$C,1,G:G,"&gt;"&amp;G2)+1)</calculatedColumnFormula>
    </tableColumn>
    <tableColumn id="10" xr3:uid="{00000000-0010-0000-0000-00000A000000}" name="prizes" dataDxfId="30">
      <calculatedColumnFormula>SUMIF(Prizes!B:B,A2,Prizes!D:D)</calculatedColumnFormula>
    </tableColumn>
    <tableColumn id="13" xr3:uid="{00000000-0010-0000-0000-00000D000000}" name="#prizes" dataDxfId="29">
      <calculatedColumnFormula>IF($C2=0," ",COUNTIFS($C:$C,1,I:I,"&gt;"&amp;I2)+1)</calculatedColumnFormula>
    </tableColumn>
    <tableColumn id="7" xr3:uid="{00000000-0010-0000-0000-000007000000}" name="μ" dataDxfId="28">
      <calculatedColumnFormula>SUMIF(Sales!B:B,A2,Sales!F:F)</calculatedColumnFormula>
    </tableColumn>
    <tableColumn id="16" xr3:uid="{00000000-0010-0000-0000-000010000000}" name="#μ" dataDxfId="27">
      <calculatedColumnFormula>IF($C2=0," ",COUNTIFS($C:$C,1,K:K,"&gt;"&amp;K2)+1)</calculatedColumnFormula>
    </tableColumn>
    <tableColumn id="11" xr3:uid="{00000000-0010-0000-0000-00000B000000}" name="σ" dataDxfId="26">
      <calculatedColumnFormula>SQRT(SUMIF(Sales!B:B,A2,Sales!G:G))</calculatedColumnFormula>
    </tableColumn>
    <tableColumn id="19" xr3:uid="{00000000-0010-0000-0000-000013000000}" name="prizes - µ" dataDxfId="25">
      <calculatedColumnFormula>I2-K2</calculatedColumnFormula>
    </tableColumn>
    <tableColumn id="21" xr3:uid="{00000000-0010-0000-0000-000015000000}" name="#prizes - µ" dataDxfId="24">
      <calculatedColumnFormula>IF($C2=0," ",COUNTIFS($C:$C,1,N:N,"&gt;"&amp;N2)+1)</calculatedColumnFormula>
    </tableColumn>
    <tableColumn id="5" xr3:uid="{00000000-0010-0000-0000-000005000000}" name="Nσ" dataDxfId="23">
      <calculatedColumnFormula>N2/M2</calculatedColumnFormula>
    </tableColumn>
    <tableColumn id="6" xr3:uid="{00000000-0010-0000-0000-000006000000}" name="#Nσ" dataDxfId="22">
      <calculatedColumnFormula>IF($C2=0," ",COUNTIFS($C:$C,1,P:P,"&gt;"&amp;P2)+1)</calculatedColumnFormula>
    </tableColumn>
    <tableColumn id="15" xr3:uid="{00000000-0010-0000-0000-00000F000000}" name="P" dataDxfId="21" dataCellStyle="Percent">
      <calculatedColumnFormula>IF(I2&gt;K2,1-_xlfn.NORM.DIST(I2,K2,M2,1),_xlfn.NORM.DIST(I2,K2,M2,1))</calculatedColumnFormula>
    </tableColumn>
    <tableColumn id="17" xr3:uid="{00000000-0010-0000-0000-000011000000}" name="#P" dataDxfId="20" dataCellStyle="Percent">
      <calculatedColumnFormula>IF($C2=0," ",COUNTIFS($C:$C,1,R:R,"&gt;"&amp;R2)+1)</calculatedColumnFormula>
    </tableColumn>
    <tableColumn id="4" xr3:uid="{00000000-0010-0000-0000-000004000000}" name="cost/μ" dataDxfId="19">
      <calculatedColumnFormula>E2/K2</calculatedColumnFormula>
    </tableColumn>
    <tableColumn id="14" xr3:uid="{00000000-0010-0000-0000-00000E000000}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Lotteries" displayName="Lotteries" ref="A1:H28">
  <autoFilter ref="A1:H28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0000000-0010-0000-0100-000001000000}" name="id" totalsRowLabel="Total"/>
    <tableColumn id="2" xr3:uid="{00000000-0010-0000-0100-000002000000}" name="date" dataDxfId="17"/>
    <tableColumn id="4" xr3:uid="{00000000-0010-0000-0100-000004000000}" name="cost" dataDxfId="16"/>
    <tableColumn id="3" xr3:uid="{00000000-0010-0000-0100-000003000000}" name="sales" dataDxfId="15">
      <calculatedColumnFormula>SUMIFS(Sales!D:D,Sales!C:C,A2)</calculatedColumnFormula>
    </tableColumn>
    <tableColumn id="8" xr3:uid="{00000000-0010-0000-0100-000008000000}" name="income" dataDxfId="14" dataCellStyle="Comma">
      <calculatedColumnFormula>C2*D2</calculatedColumnFormula>
    </tableColumn>
    <tableColumn id="5" xr3:uid="{00000000-0010-0000-0100-000005000000}" name="prizes" totalsRowFunction="sum" dataDxfId="13">
      <calculatedColumnFormula>SUMIFS(Prizes!D:D,Prizes!C:C,A2)</calculatedColumnFormula>
    </tableColumn>
    <tableColumn id="6" xr3:uid="{00000000-0010-0000-0100-000006000000}" name="µ/ticket" dataDxfId="12" totalsRowDxfId="11">
      <calculatedColumnFormula>F2/D2</calculatedColumnFormula>
    </tableColumn>
    <tableColumn id="7" xr3:uid="{00000000-0010-0000-0100-000007000000}" name="cost/µ" dataDxfId="10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Sales" displayName="Sales" ref="A1:G516" totalsRowShown="0">
  <autoFilter ref="A1:G516" xr:uid="{00000000-0009-0000-0100-000004000000}"/>
  <tableColumns count="7">
    <tableColumn id="1" xr3:uid="{00000000-0010-0000-0200-000001000000}" name="id"/>
    <tableColumn id="2" xr3:uid="{00000000-0010-0000-0200-000002000000}" name="person_id"/>
    <tableColumn id="3" xr3:uid="{00000000-0010-0000-0200-000003000000}" name="lottery_id" dataDxfId="9" totalsRowDxfId="8"/>
    <tableColumn id="4" xr3:uid="{00000000-0010-0000-0200-000004000000}" name="tickets"/>
    <tableColumn id="5" xr3:uid="{00000000-0010-0000-0200-000005000000}" name="cost" dataDxfId="7" totalsRowDxfId="6">
      <calculatedColumnFormula>INDEX(Lotteries!C:C,MATCH(C2,Lotteries!A:A,0))*D2</calculatedColumnFormula>
    </tableColumn>
    <tableColumn id="6" xr3:uid="{00000000-0010-0000-0200-000006000000}" name="µ" dataDxfId="5">
      <calculatedColumnFormula>D2*INDEX(Lotteries!G:G,MATCH(C2,Lotteries!A:A,0))</calculatedColumnFormula>
    </tableColumn>
    <tableColumn id="7" xr3:uid="{00000000-0010-0000-0200-000007000000}" name="σ2" dataDxfId="4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Prizes" displayName="Prizes" ref="A1:D148" totalsRowShown="0" headerRowDxfId="3">
  <autoFilter ref="A1:D148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300-000001000000}" name="id"/>
    <tableColumn id="2" xr3:uid="{00000000-0010-0000-0300-000002000000}" name="person_id"/>
    <tableColumn id="3" xr3:uid="{00000000-0010-0000-0300-000003000000}" name="lottery_id"/>
    <tableColumn id="4" xr3:uid="{00000000-0010-0000-0300-000004000000}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Table1" displayName="Table1" ref="A1:E23" totalsRowShown="0" headerRowDxfId="2">
  <autoFilter ref="A1:E2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400-000001000000}" name="id"/>
    <tableColumn id="2" xr3:uid="{00000000-0010-0000-0400-000002000000}" name="date" dataDxfId="1"/>
    <tableColumn id="4" xr3:uid="{00000000-0010-0000-0400-000004000000}" name="cost" dataDxfId="0" dataCellStyle="Comma"/>
    <tableColumn id="3" xr3:uid="{00000000-0010-0000-0400-000003000000}" name="prizes"/>
    <tableColumn id="5" xr3:uid="{00000000-0010-0000-0400-000005000000}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3" dT="2022-04-26T08:37:47.96" personId="{00000000-0000-0000-0000-000000000000}" id="{DC36AB38-1C26-4EC4-8C26-D3555B580DB9}">
    <text>Ukjent kilde. Sommerfest?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7" dT="2022-04-26T08:40:28.16" personId="{00000000-0000-0000-0000-000000000000}" id="{4208EDE5-A356-4EB8-A913-C5AAB120C3F6}">
    <text>Midler overført mellom personer. Renter ikke overført.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W49"/>
  <sheetViews>
    <sheetView showGridLines="0" tabSelected="1" zoomScaleNormal="100" workbookViewId="0">
      <selection activeCell="O33" sqref="O33"/>
    </sheetView>
  </sheetViews>
  <sheetFormatPr defaultColWidth="10.109375" defaultRowHeight="14.4" x14ac:dyDescent="0.3"/>
  <cols>
    <col min="2" max="2" width="3.44140625" customWidth="1"/>
    <col min="3" max="3" width="2.33203125" style="56" hidden="1" customWidth="1"/>
    <col min="4" max="4" width="8" hidden="1" customWidth="1"/>
    <col min="5" max="5" width="11.109375" customWidth="1"/>
    <col min="6" max="6" width="9" customWidth="1"/>
    <col min="7" max="7" width="3.44140625" bestFit="1" customWidth="1"/>
    <col min="8" max="8" width="2.33203125" hidden="1" customWidth="1"/>
    <col min="9" max="9" width="2.44140625" hidden="1" customWidth="1"/>
    <col min="10" max="10" width="11.109375" customWidth="1"/>
    <col min="11" max="11" width="9" customWidth="1"/>
    <col min="12" max="12" width="3.44140625" customWidth="1"/>
    <col min="13" max="13" width="2.33203125" hidden="1" customWidth="1"/>
    <col min="14" max="14" width="1.33203125" hidden="1" customWidth="1"/>
    <col min="15" max="15" width="11.109375" customWidth="1"/>
    <col min="16" max="16" width="9" customWidth="1"/>
    <col min="17" max="17" width="0" hidden="1" customWidth="1"/>
    <col min="18" max="32" width="9.109375" hidden="1" customWidth="1"/>
    <col min="36" max="49" width="0" hidden="1" customWidth="1"/>
  </cols>
  <sheetData>
    <row r="1" spans="2:41" ht="15" thickBot="1" x14ac:dyDescent="0.35">
      <c r="R1" s="130" t="s">
        <v>186</v>
      </c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</row>
    <row r="2" spans="2:41" x14ac:dyDescent="0.3">
      <c r="B2" s="131" t="s">
        <v>40</v>
      </c>
      <c r="C2" s="131"/>
      <c r="D2" s="131"/>
      <c r="E2" s="131"/>
      <c r="F2" s="131"/>
      <c r="G2" s="132" t="s">
        <v>39</v>
      </c>
      <c r="H2" s="132"/>
      <c r="I2" s="132"/>
      <c r="J2" s="132"/>
      <c r="K2" s="132"/>
      <c r="L2" s="135" t="s">
        <v>161</v>
      </c>
      <c r="M2" s="135"/>
      <c r="N2" s="135"/>
      <c r="O2" s="135"/>
      <c r="P2" s="135"/>
      <c r="R2" s="111" t="s">
        <v>40</v>
      </c>
      <c r="S2" s="112"/>
      <c r="T2" s="112"/>
      <c r="U2" s="112"/>
      <c r="V2" s="112"/>
      <c r="W2" s="112" t="s">
        <v>39</v>
      </c>
      <c r="X2" s="112"/>
      <c r="Y2" s="112"/>
      <c r="Z2" s="112"/>
      <c r="AA2" s="112"/>
      <c r="AB2" s="112" t="s">
        <v>161</v>
      </c>
      <c r="AC2" s="112"/>
      <c r="AD2" s="112"/>
      <c r="AE2" s="112"/>
      <c r="AF2" s="113"/>
    </row>
    <row r="3" spans="2:41" s="40" customFormat="1" x14ac:dyDescent="0.3">
      <c r="B3" s="90" t="s">
        <v>41</v>
      </c>
      <c r="C3" s="99"/>
      <c r="D3" s="67" t="s">
        <v>19</v>
      </c>
      <c r="E3" s="67" t="s">
        <v>1</v>
      </c>
      <c r="F3" s="90" t="s">
        <v>105</v>
      </c>
      <c r="G3" s="97" t="s">
        <v>41</v>
      </c>
      <c r="H3" s="75"/>
      <c r="I3" s="75" t="s">
        <v>19</v>
      </c>
      <c r="J3" s="75" t="s">
        <v>1</v>
      </c>
      <c r="K3" s="97" t="s">
        <v>105</v>
      </c>
      <c r="L3" s="98" t="s">
        <v>41</v>
      </c>
      <c r="M3" s="85"/>
      <c r="N3" s="85" t="s">
        <v>19</v>
      </c>
      <c r="O3" s="85" t="s">
        <v>1</v>
      </c>
      <c r="P3" s="98" t="s">
        <v>83</v>
      </c>
      <c r="R3" s="120" t="s">
        <v>41</v>
      </c>
      <c r="S3" s="121"/>
      <c r="T3" s="121" t="s">
        <v>19</v>
      </c>
      <c r="U3" s="121" t="s">
        <v>1</v>
      </c>
      <c r="V3" s="121" t="s">
        <v>105</v>
      </c>
      <c r="W3" s="121" t="s">
        <v>41</v>
      </c>
      <c r="X3" s="121"/>
      <c r="Y3" s="121" t="s">
        <v>19</v>
      </c>
      <c r="Z3" s="121" t="s">
        <v>1</v>
      </c>
      <c r="AA3" s="121" t="s">
        <v>105</v>
      </c>
      <c r="AB3" s="121" t="s">
        <v>41</v>
      </c>
      <c r="AC3" s="121"/>
      <c r="AD3" s="121" t="s">
        <v>19</v>
      </c>
      <c r="AE3" s="121" t="s">
        <v>1</v>
      </c>
      <c r="AF3" s="122" t="s">
        <v>83</v>
      </c>
    </row>
    <row r="4" spans="2:41" x14ac:dyDescent="0.3">
      <c r="B4" s="61">
        <f>SMALL(Persons!$Q:$Q,1+ROW(B4)-ROW(B$4))</f>
        <v>1</v>
      </c>
      <c r="C4" s="100">
        <f>IFERROR(INDEX(R$29:R$33,MATCH(E4,U$29:U$33,0))-B4,6-B4)</f>
        <v>5</v>
      </c>
      <c r="D4" s="61">
        <f t="array" ref="D4">INDEX(Persons!$A:$A,SMALL(IF(Persons!$Q:$Q=B4,ROW(Persons!$A:$A)-ROW(Persons!$A$1)+1),COUNTIF(B$4:B4,B4)))</f>
        <v>64</v>
      </c>
      <c r="E4" s="61" t="str">
        <f>INDEX(Persons!$B:$B,MATCH(D4,Persons!$A:$A,0))</f>
        <v>Øystein</v>
      </c>
      <c r="F4" s="141">
        <f>INDEX(Persons!$R:$R,MATCH(D4,Persons!$A:$A,0))</f>
        <v>7.460691399774344E-5</v>
      </c>
      <c r="G4" s="58">
        <f>LARGE(Persons!$Q:$Q,1+ROW(G4)-ROW(G$4))</f>
        <v>33</v>
      </c>
      <c r="H4" s="108">
        <f>IFERROR(INDEX(W$29:W$33,MATCH(J4,Z$29:Z$33,0))-G4,$G$4-5-G4)</f>
        <v>-4</v>
      </c>
      <c r="I4" s="58">
        <f t="array" ref="I4">INDEX(Persons!$A:$A,SMALL(IF(Persons!$Q:$Q=G4,ROW(Persons!$A:$A)-ROW(Persons!$A$1)+1),COUNTIF(G$4:G4,G4)))</f>
        <v>45</v>
      </c>
      <c r="J4" s="58" t="str">
        <f>INDEX(Persons!$B:$B,MATCH(I4,Persons!$A:$A,0))</f>
        <v>Fridtjof</v>
      </c>
      <c r="K4" s="76">
        <f>INDEX(Persons!$R:$R,MATCH(I4,Persons!$A:$A,0))</f>
        <v>4.5994063011389245E-2</v>
      </c>
      <c r="L4" s="64">
        <f>SMALL(Persons!$L:$L,1+ROW(L4)-ROW(L$4))</f>
        <v>1</v>
      </c>
      <c r="M4" s="107">
        <f>IFERROR(INDEX(AB$29:AB$33,MATCH(O4,AE$29:AE$33,0))-L4,6-L4)</f>
        <v>0</v>
      </c>
      <c r="N4" s="64">
        <f t="array" ref="N4">INDEX(Persons!$A:$A,SMALL(IF(Persons!$L:$L=L4,ROW(Persons!$A:$A)-ROW(Persons!$A$1)+1),COUNTIF(L$4:L4,L4)))</f>
        <v>10</v>
      </c>
      <c r="O4" s="64" t="str">
        <f>INDEX(Persons!$B:$B,MATCH(N4,Persons!$A:$A,0))</f>
        <v>Odd</v>
      </c>
      <c r="P4" s="86">
        <f>INDEX(Persons!$K:$K,MATCH(N4,Persons!$A:$A,0))</f>
        <v>10.413020401542852</v>
      </c>
      <c r="R4" s="114">
        <v>1</v>
      </c>
      <c r="S4" s="115">
        <v>3</v>
      </c>
      <c r="T4" s="115">
        <v>46</v>
      </c>
      <c r="U4" s="115" t="s">
        <v>97</v>
      </c>
      <c r="V4" s="115">
        <v>8.0672057401270703E-2</v>
      </c>
      <c r="W4" s="115">
        <v>32</v>
      </c>
      <c r="X4" s="115">
        <v>0</v>
      </c>
      <c r="Y4" s="115">
        <v>11</v>
      </c>
      <c r="Z4" s="115" t="s">
        <v>12</v>
      </c>
      <c r="AA4" s="115">
        <v>3.5605216057864056E-2</v>
      </c>
      <c r="AB4" s="115">
        <v>1</v>
      </c>
      <c r="AC4" s="115">
        <v>0</v>
      </c>
      <c r="AD4" s="123">
        <v>10</v>
      </c>
      <c r="AE4" s="115" t="s">
        <v>11</v>
      </c>
      <c r="AF4" s="116">
        <v>9.3289173388301645</v>
      </c>
    </row>
    <row r="5" spans="2:41" x14ac:dyDescent="0.3">
      <c r="B5" s="61">
        <f>SMALL(Persons!$Q:$Q,1+ROW(B5)-ROW(B$4))</f>
        <v>2</v>
      </c>
      <c r="C5" s="100">
        <f>IFERROR(INDEX(R$29:R$33,MATCH(E5,U$29:U$33,0))-B5,6-B5)</f>
        <v>4</v>
      </c>
      <c r="D5" s="61">
        <f t="array" ref="D5">INDEX(Persons!$A:$A,SMALL(IF(Persons!$Q:$Q=B5,ROW(Persons!$A:$A)-ROW(Persons!$A$1)+1),COUNTIF(B$4:B5,B5)))</f>
        <v>67</v>
      </c>
      <c r="E5" s="61" t="str">
        <f>INDEX(Persons!$B:$B,MATCH(D5,Persons!$A:$A,0))</f>
        <v>Bente</v>
      </c>
      <c r="F5" s="141">
        <f>INDEX(Persons!$R:$R,MATCH(D5,Persons!$A:$A,0))</f>
        <v>1.2078745731658458E-4</v>
      </c>
      <c r="G5" s="58">
        <f>LARGE(Persons!$Q:$Q,1+ROW(G5)-ROW(G$4))</f>
        <v>32</v>
      </c>
      <c r="H5" s="108">
        <f>IFERROR(INDEX(W$29:W$33,MATCH(J5,Z$29:Z$33,0))-G5,$G$4-5-G5)</f>
        <v>-4</v>
      </c>
      <c r="I5" s="58">
        <f t="array" ref="I5">INDEX(Persons!$A:$A,SMALL(IF(Persons!$Q:$Q=G5,ROW(Persons!$A:$A)-ROW(Persons!$A$1)+1),COUNTIF(G$4:G5,G5)))</f>
        <v>37</v>
      </c>
      <c r="J5" s="58" t="str">
        <f>INDEX(Persons!$B:$B,MATCH(I5,Persons!$A:$A,0))</f>
        <v>Ruben O</v>
      </c>
      <c r="K5" s="76">
        <f>INDEX(Persons!$R:$R,MATCH(I5,Persons!$A:$A,0))</f>
        <v>7.047779876791653E-2</v>
      </c>
      <c r="L5" s="64">
        <f>SMALL(Persons!$L:$L,1+ROW(L5)-ROW(L$4))</f>
        <v>2</v>
      </c>
      <c r="M5" s="107">
        <f>IFERROR(INDEX(AB$29:AB$33,MATCH(O5,AE$29:AE$33,0))-L5,6-L5)</f>
        <v>0</v>
      </c>
      <c r="N5" s="64">
        <f t="array" ref="N5">INDEX(Persons!$A:$A,SMALL(IF(Persons!$L:$L=L5,ROW(Persons!$A:$A)-ROW(Persons!$A$1)+1),COUNTIF(L$4:L5,L5)))</f>
        <v>33</v>
      </c>
      <c r="O5" s="64" t="str">
        <f>INDEX(Persons!$B:$B,MATCH(N5,Persons!$A:$A,0))</f>
        <v>Anders A</v>
      </c>
      <c r="P5" s="86">
        <f>INDEX(Persons!$K:$K,MATCH(N5,Persons!$A:$A,0))</f>
        <v>9.6182407984986078</v>
      </c>
      <c r="R5" s="114">
        <v>2</v>
      </c>
      <c r="S5" s="115">
        <v>0</v>
      </c>
      <c r="T5" s="115">
        <v>14</v>
      </c>
      <c r="U5" s="115" t="s">
        <v>15</v>
      </c>
      <c r="V5" s="115">
        <v>0.11965482403334105</v>
      </c>
      <c r="W5" s="115">
        <v>31</v>
      </c>
      <c r="X5" s="115">
        <v>-1</v>
      </c>
      <c r="Y5" s="115">
        <v>47</v>
      </c>
      <c r="Z5" s="115" t="s">
        <v>7</v>
      </c>
      <c r="AA5" s="115">
        <v>6.9435223995632137E-2</v>
      </c>
      <c r="AB5" s="115">
        <v>2</v>
      </c>
      <c r="AC5" s="115">
        <v>0</v>
      </c>
      <c r="AD5" s="115">
        <v>33</v>
      </c>
      <c r="AE5" s="115" t="s">
        <v>75</v>
      </c>
      <c r="AF5" s="116">
        <v>8.5341377357859205</v>
      </c>
    </row>
    <row r="6" spans="2:41" x14ac:dyDescent="0.3">
      <c r="B6" s="61">
        <f>SMALL(Persons!$Q:$Q,1+ROW(B6)-ROW(B$4))</f>
        <v>3</v>
      </c>
      <c r="C6" s="100">
        <f>IFERROR(INDEX(R$29:R$33,MATCH(E6,U$29:U$33,0))-B6,6-B6)</f>
        <v>-1</v>
      </c>
      <c r="D6" s="61">
        <f t="array" ref="D6">INDEX(Persons!$A:$A,SMALL(IF(Persons!$Q:$Q=B6,ROW(Persons!$A:$A)-ROW(Persons!$A$1)+1),COUNTIF(B$4:B6,B6)))</f>
        <v>14</v>
      </c>
      <c r="E6" s="61" t="str">
        <f>INDEX(Persons!$B:$B,MATCH(D6,Persons!$A:$A,0))</f>
        <v>Truls</v>
      </c>
      <c r="F6" s="68">
        <f>INDEX(Persons!$R:$R,MATCH(D6,Persons!$A:$A,0))</f>
        <v>4.2023076554305816E-2</v>
      </c>
      <c r="G6" s="58">
        <f>LARGE(Persons!$Q:$Q,1+ROW(G6)-ROW(G$4))</f>
        <v>31</v>
      </c>
      <c r="H6" s="108">
        <f>IFERROR(INDEX(W$29:W$33,MATCH(J6,Z$29:Z$33,0))-G6,$G$4-5-G6)</f>
        <v>0</v>
      </c>
      <c r="I6" s="58">
        <f t="array" ref="I6">INDEX(Persons!$A:$A,SMALL(IF(Persons!$Q:$Q=G6,ROW(Persons!$A:$A)-ROW(Persons!$A$1)+1),COUNTIF(G$4:G6,G6)))</f>
        <v>24</v>
      </c>
      <c r="J6" s="58" t="str">
        <f>INDEX(Persons!$B:$B,MATCH(I6,Persons!$A:$A,0))</f>
        <v>Terje</v>
      </c>
      <c r="K6" s="76">
        <f>INDEX(Persons!$R:$R,MATCH(I6,Persons!$A:$A,0))</f>
        <v>7.6543540741150745E-2</v>
      </c>
      <c r="L6" s="64">
        <f>SMALL(Persons!$L:$L,1+ROW(L6)-ROW(L$4))</f>
        <v>3</v>
      </c>
      <c r="M6" s="107">
        <f>IFERROR(INDEX(AB$29:AB$33,MATCH(O6,AE$29:AE$33,0))-L6,6-L6)</f>
        <v>0</v>
      </c>
      <c r="N6" s="64">
        <f t="array" ref="N6">INDEX(Persons!$A:$A,SMALL(IF(Persons!$L:$L=L6,ROW(Persons!$A:$A)-ROW(Persons!$A$1)+1),COUNTIF(L$4:L6,L6)))</f>
        <v>37</v>
      </c>
      <c r="O6" s="64" t="str">
        <f>INDEX(Persons!$B:$B,MATCH(N6,Persons!$A:$A,0))</f>
        <v>Ruben O</v>
      </c>
      <c r="P6" s="86">
        <f>INDEX(Persons!$K:$K,MATCH(N6,Persons!$A:$A,0))</f>
        <v>9.1878520049022665</v>
      </c>
      <c r="R6" s="114">
        <v>3</v>
      </c>
      <c r="S6" s="115">
        <v>-2</v>
      </c>
      <c r="T6" s="115">
        <v>48</v>
      </c>
      <c r="U6" s="115" t="s">
        <v>100</v>
      </c>
      <c r="V6" s="115">
        <v>0.13372682121489554</v>
      </c>
      <c r="W6" s="115">
        <v>30</v>
      </c>
      <c r="X6" s="115">
        <v>1</v>
      </c>
      <c r="Y6" s="115">
        <v>24</v>
      </c>
      <c r="Z6" s="115" t="s">
        <v>31</v>
      </c>
      <c r="AA6" s="115">
        <v>7.6543540741150745E-2</v>
      </c>
      <c r="AB6" s="115">
        <v>3</v>
      </c>
      <c r="AC6" s="115">
        <v>0</v>
      </c>
      <c r="AD6" s="115">
        <v>37</v>
      </c>
      <c r="AE6" s="115" t="s">
        <v>79</v>
      </c>
      <c r="AF6" s="116">
        <v>8.1037489421895792</v>
      </c>
    </row>
    <row r="7" spans="2:41" x14ac:dyDescent="0.3">
      <c r="B7" s="61">
        <f>SMALL(Persons!$Q:$Q,1+ROW(B7)-ROW(B$4))</f>
        <v>4</v>
      </c>
      <c r="C7" s="100">
        <f>IFERROR(INDEX(R$29:R$33,MATCH(E7,U$29:U$33,0))-B7,6-B7)</f>
        <v>2</v>
      </c>
      <c r="D7" s="61">
        <f t="array" ref="D7">INDEX(Persons!$A:$A,SMALL(IF(Persons!$Q:$Q=B7,ROW(Persons!$A:$A)-ROW(Persons!$A$1)+1),COUNTIF(B$4:B7,B7)))</f>
        <v>61</v>
      </c>
      <c r="E7" s="61" t="str">
        <f>INDEX(Persons!$B:$B,MATCH(D7,Persons!$A:$A,0))</f>
        <v>Tone</v>
      </c>
      <c r="F7" s="68">
        <f>INDEX(Persons!$R:$R,MATCH(D7,Persons!$A:$A,0))</f>
        <v>0.10772363346198055</v>
      </c>
      <c r="G7" s="58">
        <f>LARGE(Persons!$Q:$Q,1+ROW(G7)-ROW(G$4))</f>
        <v>30</v>
      </c>
      <c r="H7" s="108">
        <f>IFERROR(INDEX(W$29:W$33,MATCH(J7,Z$29:Z$33,0))-G7,$G$4-5-G7)</f>
        <v>-2</v>
      </c>
      <c r="I7" s="58">
        <f t="array" ref="I7">INDEX(Persons!$A:$A,SMALL(IF(Persons!$Q:$Q=G7,ROW(Persons!$A:$A)-ROW(Persons!$A$1)+1),COUNTIF(G$4:G7,G7)))</f>
        <v>27</v>
      </c>
      <c r="J7" s="58" t="str">
        <f>INDEX(Persons!$B:$B,MATCH(I7,Persons!$A:$A,0))</f>
        <v>Kristin T</v>
      </c>
      <c r="K7" s="76">
        <f>INDEX(Persons!$R:$R,MATCH(I7,Persons!$A:$A,0))</f>
        <v>9.6564677360626544E-2</v>
      </c>
      <c r="L7" s="64">
        <f>SMALL(Persons!$L:$L,1+ROW(L7)-ROW(L$4))</f>
        <v>4</v>
      </c>
      <c r="M7" s="107">
        <f>IFERROR(INDEX(AB$29:AB$33,MATCH(O7,AE$29:AE$33,0))-L7,6-L7)</f>
        <v>0</v>
      </c>
      <c r="N7" s="64">
        <f t="array" ref="N7">INDEX(Persons!$A:$A,SMALL(IF(Persons!$L:$L=L7,ROW(Persons!$A:$A)-ROW(Persons!$A$1)+1),COUNTIF(L$4:L7,L7)))</f>
        <v>29</v>
      </c>
      <c r="O7" s="64" t="str">
        <f>INDEX(Persons!$B:$B,MATCH(N7,Persons!$A:$A,0))</f>
        <v>Magnus B</v>
      </c>
      <c r="P7" s="86">
        <f>INDEX(Persons!$K:$K,MATCH(N7,Persons!$A:$A,0))</f>
        <v>6.5416851543041465</v>
      </c>
      <c r="R7" s="114">
        <v>4</v>
      </c>
      <c r="S7" s="115">
        <v>-1</v>
      </c>
      <c r="T7" s="115">
        <v>60</v>
      </c>
      <c r="U7" s="115" t="s">
        <v>141</v>
      </c>
      <c r="V7" s="115">
        <v>0.19253288029890714</v>
      </c>
      <c r="W7" s="115">
        <v>29</v>
      </c>
      <c r="X7" s="115">
        <v>0</v>
      </c>
      <c r="Y7" s="115">
        <v>45</v>
      </c>
      <c r="Z7" s="115" t="s">
        <v>96</v>
      </c>
      <c r="AA7" s="115">
        <v>0.1024822505159142</v>
      </c>
      <c r="AB7" s="115">
        <v>4</v>
      </c>
      <c r="AC7" s="115">
        <v>0</v>
      </c>
      <c r="AD7" s="115">
        <v>29</v>
      </c>
      <c r="AE7" s="115" t="s">
        <v>131</v>
      </c>
      <c r="AF7" s="116">
        <v>5.9534498601864998</v>
      </c>
      <c r="AL7">
        <f>SUMPRODUCT(AK8:AK17,AL8:AL17)</f>
        <v>112</v>
      </c>
    </row>
    <row r="8" spans="2:41" x14ac:dyDescent="0.3">
      <c r="B8" s="61">
        <f>SMALL(Persons!$Q:$Q,1+ROW(B8)-ROW(B$4))</f>
        <v>5</v>
      </c>
      <c r="C8" s="100">
        <f>IFERROR(INDEX(R$29:R$33,MATCH(E8,U$29:U$33,0))-B8,6-B8)</f>
        <v>1</v>
      </c>
      <c r="D8" s="61">
        <f t="array" ref="D8">INDEX(Persons!$A:$A,SMALL(IF(Persons!$Q:$Q=B8,ROW(Persons!$A:$A)-ROW(Persons!$A$1)+1),COUNTIF(B$4:B8,B8)))</f>
        <v>20</v>
      </c>
      <c r="E8" s="61" t="str">
        <f>INDEX(Persons!$B:$B,MATCH(D8,Persons!$A:$A,0))</f>
        <v>Kyrre</v>
      </c>
      <c r="F8" s="68">
        <f>INDEX(Persons!$R:$R,MATCH(D8,Persons!$A:$A,0))</f>
        <v>0.12030853778064177</v>
      </c>
      <c r="G8" s="58">
        <f>LARGE(Persons!$Q:$Q,1+ROW(G8)-ROW(G$4))</f>
        <v>29</v>
      </c>
      <c r="H8" s="108">
        <f>IFERROR(INDEX(W$29:W$33,MATCH(J8,Z$29:Z$33,0))-G8,$G$4-5-G8)</f>
        <v>-1</v>
      </c>
      <c r="I8" s="58">
        <f t="array" ref="I8">INDEX(Persons!$A:$A,SMALL(IF(Persons!$Q:$Q=G8,ROW(Persons!$A:$A)-ROW(Persons!$A$1)+1),COUNTIF(G$4:G8,G8)))</f>
        <v>35</v>
      </c>
      <c r="J8" s="58" t="str">
        <f>INDEX(Persons!$B:$B,MATCH(I8,Persons!$A:$A,0))</f>
        <v>Mathias</v>
      </c>
      <c r="K8" s="76">
        <f>INDEX(Persons!$R:$R,MATCH(I8,Persons!$A:$A,0))</f>
        <v>0.10738868437100026</v>
      </c>
      <c r="L8" s="64">
        <f>SMALL(Persons!$L:$L,1+ROW(L8)-ROW(L$4))</f>
        <v>5</v>
      </c>
      <c r="M8" s="107">
        <f>IFERROR(INDEX(AB$29:AB$33,MATCH(O8,AE$29:AE$33,0))-L8,6-L8)</f>
        <v>0</v>
      </c>
      <c r="N8" s="64">
        <f t="array" ref="N8">INDEX(Persons!$A:$A,SMALL(IF(Persons!$L:$L=L8,ROW(Persons!$A:$A)-ROW(Persons!$A$1)+1),COUNTIF(L$4:L8,L8)))</f>
        <v>14</v>
      </c>
      <c r="O8" s="64" t="str">
        <f>INDEX(Persons!$B:$B,MATCH(N8,Persons!$A:$A,0))</f>
        <v>Truls</v>
      </c>
      <c r="P8" s="86">
        <f>INDEX(Persons!$K:$K,MATCH(N8,Persons!$A:$A,0))</f>
        <v>5.9946715092465954</v>
      </c>
      <c r="R8" s="114">
        <v>5</v>
      </c>
      <c r="S8" s="115">
        <v>1</v>
      </c>
      <c r="T8" s="115">
        <v>32</v>
      </c>
      <c r="U8" s="115" t="s">
        <v>38</v>
      </c>
      <c r="V8" s="115">
        <v>0.20836480528324852</v>
      </c>
      <c r="W8" s="115">
        <v>28</v>
      </c>
      <c r="X8" s="115">
        <v>-1</v>
      </c>
      <c r="Y8" s="115">
        <v>37</v>
      </c>
      <c r="Z8" s="115" t="s">
        <v>79</v>
      </c>
      <c r="AA8" s="115">
        <v>0.12268881136621305</v>
      </c>
      <c r="AB8" s="115">
        <v>5</v>
      </c>
      <c r="AC8" s="115">
        <v>1</v>
      </c>
      <c r="AD8" s="115">
        <v>15</v>
      </c>
      <c r="AE8" s="115" t="s">
        <v>16</v>
      </c>
      <c r="AF8" s="116">
        <v>5.4122891600672816</v>
      </c>
      <c r="AJ8">
        <v>0</v>
      </c>
      <c r="AK8">
        <f>2^AJ8</f>
        <v>1</v>
      </c>
      <c r="AL8">
        <v>0</v>
      </c>
    </row>
    <row r="9" spans="2:41" x14ac:dyDescent="0.3">
      <c r="R9" s="114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6"/>
      <c r="AJ9">
        <v>1</v>
      </c>
      <c r="AK9">
        <f t="shared" ref="AK9:AK17" si="0">2^AJ9</f>
        <v>2</v>
      </c>
      <c r="AL9">
        <v>0</v>
      </c>
      <c r="AN9" s="4" t="s">
        <v>40</v>
      </c>
      <c r="AO9" s="33"/>
    </row>
    <row r="10" spans="2:41" x14ac:dyDescent="0.3">
      <c r="B10" s="133" t="s">
        <v>116</v>
      </c>
      <c r="C10" s="133"/>
      <c r="D10" s="133"/>
      <c r="E10" s="133"/>
      <c r="F10" s="133"/>
      <c r="G10" s="136" t="s">
        <v>117</v>
      </c>
      <c r="H10" s="136"/>
      <c r="I10" s="136"/>
      <c r="J10" s="136"/>
      <c r="K10" s="136"/>
      <c r="L10" s="139" t="s">
        <v>43</v>
      </c>
      <c r="M10" s="139"/>
      <c r="N10" s="139"/>
      <c r="O10" s="139"/>
      <c r="P10" s="139"/>
      <c r="R10" s="114" t="s">
        <v>116</v>
      </c>
      <c r="S10" s="115"/>
      <c r="T10" s="115"/>
      <c r="U10" s="115"/>
      <c r="V10" s="115"/>
      <c r="W10" s="115" t="s">
        <v>117</v>
      </c>
      <c r="X10" s="115"/>
      <c r="Y10" s="115"/>
      <c r="Z10" s="115"/>
      <c r="AA10" s="115"/>
      <c r="AB10" s="115" t="s">
        <v>43</v>
      </c>
      <c r="AC10" s="115"/>
      <c r="AD10" s="115"/>
      <c r="AE10" s="115"/>
      <c r="AF10" s="116"/>
      <c r="AJ10">
        <v>2</v>
      </c>
      <c r="AK10">
        <f t="shared" si="0"/>
        <v>4</v>
      </c>
      <c r="AL10">
        <v>0</v>
      </c>
      <c r="AN10" s="4" t="s">
        <v>39</v>
      </c>
      <c r="AO10" s="31"/>
    </row>
    <row r="11" spans="2:41" x14ac:dyDescent="0.3">
      <c r="B11" s="91" t="s">
        <v>41</v>
      </c>
      <c r="C11" s="101"/>
      <c r="D11" s="69" t="s">
        <v>19</v>
      </c>
      <c r="E11" s="69" t="s">
        <v>1</v>
      </c>
      <c r="F11" s="91" t="s">
        <v>110</v>
      </c>
      <c r="G11" s="96" t="s">
        <v>41</v>
      </c>
      <c r="H11" s="77"/>
      <c r="I11" s="77" t="s">
        <v>19</v>
      </c>
      <c r="J11" s="77" t="s">
        <v>1</v>
      </c>
      <c r="K11" s="96" t="s">
        <v>110</v>
      </c>
      <c r="L11" s="95" t="s">
        <v>41</v>
      </c>
      <c r="M11" s="80"/>
      <c r="N11" s="80" t="s">
        <v>19</v>
      </c>
      <c r="O11" s="80" t="s">
        <v>1</v>
      </c>
      <c r="P11" s="95" t="s">
        <v>21</v>
      </c>
      <c r="R11" s="114" t="s">
        <v>41</v>
      </c>
      <c r="S11" s="115"/>
      <c r="T11" s="115" t="s">
        <v>19</v>
      </c>
      <c r="U11" s="115" t="s">
        <v>1</v>
      </c>
      <c r="V11" s="115" t="s">
        <v>110</v>
      </c>
      <c r="W11" s="115" t="s">
        <v>41</v>
      </c>
      <c r="X11" s="115"/>
      <c r="Y11" s="115" t="s">
        <v>19</v>
      </c>
      <c r="Z11" s="115" t="s">
        <v>1</v>
      </c>
      <c r="AA11" s="115" t="s">
        <v>110</v>
      </c>
      <c r="AB11" s="115" t="s">
        <v>41</v>
      </c>
      <c r="AC11" s="115"/>
      <c r="AD11" s="115" t="s">
        <v>19</v>
      </c>
      <c r="AE11" s="115" t="s">
        <v>1</v>
      </c>
      <c r="AF11" s="116" t="s">
        <v>21</v>
      </c>
      <c r="AJ11">
        <v>3</v>
      </c>
      <c r="AK11">
        <f t="shared" si="0"/>
        <v>8</v>
      </c>
      <c r="AL11">
        <v>0</v>
      </c>
      <c r="AN11" s="4" t="s">
        <v>114</v>
      </c>
      <c r="AO11" s="32"/>
    </row>
    <row r="12" spans="2:41" x14ac:dyDescent="0.3">
      <c r="B12" s="70">
        <f>SMALL(Persons!$O:$O,1+ROW(B12)-ROW(B$12))</f>
        <v>1</v>
      </c>
      <c r="C12" s="103">
        <f>IFERROR(INDEX(R$37:R$41,MATCH(E12,U$37:U$41,0))-B12,6-B12)</f>
        <v>0</v>
      </c>
      <c r="D12" s="70">
        <f t="array" ref="D12">INDEX(Persons!$A:$A,SMALL(IF(Persons!$O:$O=B12,ROW(Persons!$A:$A)-ROW(Persons!$A$1)+1),COUNTIF(B$12:B12,B12)))</f>
        <v>14</v>
      </c>
      <c r="E12" s="70" t="str">
        <f>INDEX(Persons!$B:$B,MATCH(D12,Persons!$A:$A,0))</f>
        <v>Truls</v>
      </c>
      <c r="F12" s="71">
        <f>INDEX(Persons!$N:$N,MATCH(D12,Persons!$A:$A,0))</f>
        <v>4.0053284907534046</v>
      </c>
      <c r="G12" s="78">
        <f>LARGE(Persons!$O:$O,1+ROW(G12)-ROW(G$12))</f>
        <v>33</v>
      </c>
      <c r="H12" s="106">
        <f>IFERROR(INDEX(W$37:W$41,MATCH(J12,Z$37:Z$41,0))-G12,$G$12-5-G12)</f>
        <v>-1</v>
      </c>
      <c r="I12" s="78">
        <f t="array" ref="I12">INDEX(Persons!$A:$A,SMALL(IF(Persons!$O:$O=G12,ROW(Persons!$A:$A)-ROW(Persons!$A$1)+1),COUNTIF(G$12:G12,G12)))</f>
        <v>37</v>
      </c>
      <c r="J12" s="78" t="str">
        <f>INDEX(Persons!$B:$B,MATCH(I12,Persons!$A:$A,0))</f>
        <v>Ruben O</v>
      </c>
      <c r="K12" s="79">
        <f>INDEX(Persons!$N:$N,MATCH(I12,Persons!$A:$A,0))</f>
        <v>-4.1878520049022665</v>
      </c>
      <c r="L12" s="81">
        <f>SMALL(Persons!$J:$J,1+ROW(L12)-ROW(L$12))</f>
        <v>1</v>
      </c>
      <c r="M12" s="110">
        <f>IFERROR(INDEX(AB$37:AB$41,MATCH(O12,AE$37:AE$41,0))-L12,6-L12)</f>
        <v>0</v>
      </c>
      <c r="N12" s="81">
        <f t="array" ref="N12">INDEX(Persons!$A:$A,SMALL(IF(Persons!$J:$J=L12,ROW(Persons!$A:$A)-ROW(Persons!$A$1)+1),COUNTIF(L$12:L12,L12)))</f>
        <v>10</v>
      </c>
      <c r="O12" s="81" t="str">
        <f>INDEX(Persons!$B:$B,MATCH(N12,Persons!$A:$A,0))</f>
        <v>Odd</v>
      </c>
      <c r="P12" s="81">
        <f>INDEX(Persons!$I:$I,MATCH(N12,Persons!$A:$A,0))</f>
        <v>11</v>
      </c>
      <c r="R12" s="114">
        <v>1</v>
      </c>
      <c r="S12" s="115">
        <v>0</v>
      </c>
      <c r="T12" s="115">
        <v>14</v>
      </c>
      <c r="U12" s="115" t="s">
        <v>15</v>
      </c>
      <c r="V12" s="115">
        <v>2.5935637848710513</v>
      </c>
      <c r="W12" s="115">
        <v>32</v>
      </c>
      <c r="X12" s="115">
        <v>0</v>
      </c>
      <c r="Y12" s="115">
        <v>37</v>
      </c>
      <c r="Z12" s="115" t="s">
        <v>79</v>
      </c>
      <c r="AA12" s="115">
        <v>-3.1037489421895792</v>
      </c>
      <c r="AB12" s="115">
        <v>1</v>
      </c>
      <c r="AC12" s="115">
        <v>0</v>
      </c>
      <c r="AD12" s="115">
        <v>10</v>
      </c>
      <c r="AE12" s="115" t="s">
        <v>11</v>
      </c>
      <c r="AF12" s="116">
        <v>11</v>
      </c>
      <c r="AJ12">
        <v>4</v>
      </c>
      <c r="AK12">
        <f t="shared" si="0"/>
        <v>16</v>
      </c>
      <c r="AL12">
        <v>1</v>
      </c>
      <c r="AN12" s="4" t="s">
        <v>43</v>
      </c>
      <c r="AO12" s="34"/>
    </row>
    <row r="13" spans="2:41" x14ac:dyDescent="0.3">
      <c r="B13" s="70">
        <f>SMALL(Persons!$O:$O,1+ROW(B13)-ROW(B$12))</f>
        <v>2</v>
      </c>
      <c r="C13" s="103">
        <f>IFERROR(INDEX(R$37:R$41,MATCH(E13,U$37:U$41,0))-B13,6-B13)</f>
        <v>4</v>
      </c>
      <c r="D13" s="70">
        <f t="array" ref="D13">INDEX(Persons!$A:$A,SMALL(IF(Persons!$O:$O=B13,ROW(Persons!$A:$A)-ROW(Persons!$A$1)+1),COUNTIF(B$12:B13,B13)))</f>
        <v>20</v>
      </c>
      <c r="E13" s="70" t="str">
        <f>INDEX(Persons!$B:$B,MATCH(D13,Persons!$A:$A,0))</f>
        <v>Kyrre</v>
      </c>
      <c r="F13" s="71">
        <f>INDEX(Persons!$N:$N,MATCH(D13,Persons!$A:$A,0))</f>
        <v>2.1940615828394501</v>
      </c>
      <c r="G13" s="78">
        <f>LARGE(Persons!$O:$O,1+ROW(G13)-ROW(G$12))</f>
        <v>32</v>
      </c>
      <c r="H13" s="106">
        <f>IFERROR(INDEX(W$37:W$41,MATCH(J13,Z$37:Z$41,0))-G13,$G$12-5-G13)</f>
        <v>-2</v>
      </c>
      <c r="I13" s="78">
        <f t="array" ref="I13">INDEX(Persons!$A:$A,SMALL(IF(Persons!$O:$O=G13,ROW(Persons!$A:$A)-ROW(Persons!$A$1)+1),COUNTIF(G$12:G13,G13)))</f>
        <v>24</v>
      </c>
      <c r="J13" s="78" t="str">
        <f>INDEX(Persons!$B:$B,MATCH(I13,Persons!$A:$A,0))</f>
        <v>Terje</v>
      </c>
      <c r="K13" s="79">
        <f>INDEX(Persons!$N:$N,MATCH(I13,Persons!$A:$A,0))</f>
        <v>-2.562488369159555</v>
      </c>
      <c r="L13" s="81">
        <f>SMALL(Persons!$J:$J,1+ROW(L13)-ROW(L$12))</f>
        <v>2</v>
      </c>
      <c r="M13" s="110">
        <f>IFERROR(INDEX(AB$37:AB$41,MATCH(O13,AE$37:AE$41,0))-L13,6-L13)</f>
        <v>0</v>
      </c>
      <c r="N13" s="81">
        <f t="array" ref="N13">INDEX(Persons!$A:$A,SMALL(IF(Persons!$J:$J=L13,ROW(Persons!$A:$A)-ROW(Persons!$A$1)+1),COUNTIF(L$12:L13,L13)))</f>
        <v>14</v>
      </c>
      <c r="O13" s="81" t="str">
        <f>INDEX(Persons!$B:$B,MATCH(N13,Persons!$A:$A,0))</f>
        <v>Truls</v>
      </c>
      <c r="P13" s="81">
        <f>INDEX(Persons!$I:$I,MATCH(N13,Persons!$A:$A,0))</f>
        <v>10</v>
      </c>
      <c r="R13" s="114">
        <v>2</v>
      </c>
      <c r="S13" s="115">
        <v>2</v>
      </c>
      <c r="T13" s="115">
        <v>46</v>
      </c>
      <c r="U13" s="115" t="s">
        <v>97</v>
      </c>
      <c r="V13" s="115">
        <v>1.927149472196807</v>
      </c>
      <c r="W13" s="115">
        <v>31</v>
      </c>
      <c r="X13" s="115">
        <v>0</v>
      </c>
      <c r="Y13" s="115">
        <v>11</v>
      </c>
      <c r="Z13" s="115" t="s">
        <v>12</v>
      </c>
      <c r="AA13" s="115">
        <v>-2.9277262781608777</v>
      </c>
      <c r="AB13" s="115">
        <v>2</v>
      </c>
      <c r="AC13" s="115">
        <v>0</v>
      </c>
      <c r="AD13" s="115">
        <v>14</v>
      </c>
      <c r="AE13" s="115" t="s">
        <v>15</v>
      </c>
      <c r="AF13" s="116">
        <v>8</v>
      </c>
      <c r="AJ13">
        <v>5</v>
      </c>
      <c r="AK13">
        <f t="shared" si="0"/>
        <v>32</v>
      </c>
      <c r="AL13">
        <v>1</v>
      </c>
      <c r="AN13" s="4" t="s">
        <v>110</v>
      </c>
      <c r="AO13" s="36"/>
    </row>
    <row r="14" spans="2:41" x14ac:dyDescent="0.3">
      <c r="B14" s="70">
        <f>SMALL(Persons!$O:$O,1+ROW(B14)-ROW(B$12))</f>
        <v>3</v>
      </c>
      <c r="C14" s="103">
        <f>IFERROR(INDEX(R$37:R$41,MATCH(E14,U$37:U$41,0))-B14,6-B14)</f>
        <v>3</v>
      </c>
      <c r="D14" s="70">
        <f t="array" ref="D14">INDEX(Persons!$A:$A,SMALL(IF(Persons!$O:$O=B14,ROW(Persons!$A:$A)-ROW(Persons!$A$1)+1),COUNTIF(B$12:B14,B14)))</f>
        <v>64</v>
      </c>
      <c r="E14" s="70" t="str">
        <f>INDEX(Persons!$B:$B,MATCH(D14,Persons!$A:$A,0))</f>
        <v>Øystein</v>
      </c>
      <c r="F14" s="71">
        <f>INDEX(Persons!$N:$N,MATCH(D14,Persons!$A:$A,0))</f>
        <v>1.7647058823529411</v>
      </c>
      <c r="G14" s="78">
        <f>LARGE(Persons!$O:$O,1+ROW(G14)-ROW(G$12))</f>
        <v>31</v>
      </c>
      <c r="H14" s="106">
        <f>IFERROR(INDEX(W$37:W$41,MATCH(J14,Z$37:Z$41,0))-G14,$G$12-5-G14)</f>
        <v>-3</v>
      </c>
      <c r="I14" s="78">
        <f t="array" ref="I14">INDEX(Persons!$A:$A,SMALL(IF(Persons!$O:$O=G14,ROW(Persons!$A:$A)-ROW(Persons!$A$1)+1),COUNTIF(G$12:G14,G14)))</f>
        <v>45</v>
      </c>
      <c r="J14" s="78" t="str">
        <f>INDEX(Persons!$B:$B,MATCH(I14,Persons!$A:$A,0))</f>
        <v>Fridtjof</v>
      </c>
      <c r="K14" s="79">
        <f>INDEX(Persons!$N:$N,MATCH(I14,Persons!$A:$A,0))</f>
        <v>-2.5531355101689064</v>
      </c>
      <c r="L14" s="81">
        <f>SMALL(Persons!$J:$J,1+ROW(L14)-ROW(L$12))</f>
        <v>3</v>
      </c>
      <c r="M14" s="110">
        <f>IFERROR(INDEX(AB$37:AB$41,MATCH(O14,AE$37:AE$41,0))-L14,6-L14)</f>
        <v>0</v>
      </c>
      <c r="N14" s="81">
        <f t="array" ref="N14">INDEX(Persons!$A:$A,SMALL(IF(Persons!$J:$J=L14,ROW(Persons!$A:$A)-ROW(Persons!$A$1)+1),COUNTIF(L$12:L14,L14)))</f>
        <v>33</v>
      </c>
      <c r="O14" s="81" t="str">
        <f>INDEX(Persons!$B:$B,MATCH(N14,Persons!$A:$A,0))</f>
        <v>Anders A</v>
      </c>
      <c r="P14" s="81">
        <f>INDEX(Persons!$I:$I,MATCH(N14,Persons!$A:$A,0))</f>
        <v>8</v>
      </c>
      <c r="R14" s="114">
        <v>3</v>
      </c>
      <c r="S14" s="115">
        <v>3</v>
      </c>
      <c r="T14" s="115">
        <v>10</v>
      </c>
      <c r="U14" s="115" t="s">
        <v>11</v>
      </c>
      <c r="V14" s="115">
        <v>1.6710826611698355</v>
      </c>
      <c r="W14" s="115">
        <v>30</v>
      </c>
      <c r="X14" s="115">
        <v>0</v>
      </c>
      <c r="Y14" s="115">
        <v>24</v>
      </c>
      <c r="Z14" s="115" t="s">
        <v>31</v>
      </c>
      <c r="AA14" s="115">
        <v>-2.562488369159555</v>
      </c>
      <c r="AB14" s="115">
        <v>3</v>
      </c>
      <c r="AC14" s="115">
        <v>0</v>
      </c>
      <c r="AD14" s="115">
        <v>33</v>
      </c>
      <c r="AE14" s="115" t="s">
        <v>75</v>
      </c>
      <c r="AF14" s="116">
        <v>7</v>
      </c>
      <c r="AJ14">
        <v>6</v>
      </c>
      <c r="AK14">
        <f t="shared" si="0"/>
        <v>64</v>
      </c>
      <c r="AL14">
        <v>1</v>
      </c>
      <c r="AN14" s="4" t="s">
        <v>110</v>
      </c>
      <c r="AO14" s="35"/>
    </row>
    <row r="15" spans="2:41" x14ac:dyDescent="0.3">
      <c r="B15" s="70">
        <f>SMALL(Persons!$O:$O,1+ROW(B15)-ROW(B$12))</f>
        <v>4</v>
      </c>
      <c r="C15" s="103">
        <f>IFERROR(INDEX(R$37:R$41,MATCH(E15,U$37:U$41,0))-B15,6-B15)</f>
        <v>2</v>
      </c>
      <c r="D15" s="70">
        <f t="array" ref="D15">INDEX(Persons!$A:$A,SMALL(IF(Persons!$O:$O=B15,ROW(Persons!$A:$A)-ROW(Persons!$A$1)+1),COUNTIF(B$12:B15,B15)))</f>
        <v>67</v>
      </c>
      <c r="E15" s="70" t="str">
        <f>INDEX(Persons!$B:$B,MATCH(D15,Persons!$A:$A,0))</f>
        <v>Bente</v>
      </c>
      <c r="F15" s="71">
        <f>INDEX(Persons!$N:$N,MATCH(D15,Persons!$A:$A,0))</f>
        <v>1.7520661157024793</v>
      </c>
      <c r="G15" s="78">
        <f>LARGE(Persons!$O:$O,1+ROW(G15)-ROW(G$12))</f>
        <v>30</v>
      </c>
      <c r="H15" s="106">
        <f>IFERROR(INDEX(W$37:W$41,MATCH(J15,Z$37:Z$41,0))-G15,$G$12-5-G15)</f>
        <v>-2</v>
      </c>
      <c r="I15" s="78">
        <f t="array" ref="I15">INDEX(Persons!$A:$A,SMALL(IF(Persons!$O:$O=G15,ROW(Persons!$A:$A)-ROW(Persons!$A$1)+1),COUNTIF(G$12:G15,G15)))</f>
        <v>29</v>
      </c>
      <c r="J15" s="78" t="str">
        <f>INDEX(Persons!$B:$B,MATCH(I15,Persons!$A:$A,0))</f>
        <v>Magnus B</v>
      </c>
      <c r="K15" s="79">
        <f>INDEX(Persons!$N:$N,MATCH(I15,Persons!$A:$A,0))</f>
        <v>-2.5416851543041465</v>
      </c>
      <c r="L15" s="81">
        <f>SMALL(Persons!$J:$J,1+ROW(L15)-ROW(L$12))</f>
        <v>4</v>
      </c>
      <c r="M15" s="110">
        <f>IFERROR(INDEX(AB$37:AB$41,MATCH(O15,AE$37:AE$41,0))-L15,6-L15)</f>
        <v>0</v>
      </c>
      <c r="N15" s="81">
        <f t="array" ref="N15">INDEX(Persons!$A:$A,SMALL(IF(Persons!$J:$J=L15,ROW(Persons!$A:$A)-ROW(Persons!$A$1)+1),COUNTIF(L$12:L15,L15)))</f>
        <v>15</v>
      </c>
      <c r="O15" s="81" t="str">
        <f>INDEX(Persons!$B:$B,MATCH(N15,Persons!$A:$A,0))</f>
        <v>Yngvar</v>
      </c>
      <c r="P15" s="81">
        <f>INDEX(Persons!$I:$I,MATCH(N15,Persons!$A:$A,0))</f>
        <v>6</v>
      </c>
      <c r="R15" s="114">
        <v>4</v>
      </c>
      <c r="S15" s="115">
        <v>2</v>
      </c>
      <c r="T15" s="115">
        <v>32</v>
      </c>
      <c r="U15" s="115" t="s">
        <v>38</v>
      </c>
      <c r="V15" s="115">
        <v>1.6091980020774379</v>
      </c>
      <c r="W15" s="115">
        <v>29</v>
      </c>
      <c r="X15" s="115">
        <v>0</v>
      </c>
      <c r="Y15" s="115">
        <v>35</v>
      </c>
      <c r="Z15" s="115" t="s">
        <v>46</v>
      </c>
      <c r="AA15" s="115">
        <v>-1.9792097455911128</v>
      </c>
      <c r="AB15" s="115">
        <v>4</v>
      </c>
      <c r="AC15" s="115">
        <v>2</v>
      </c>
      <c r="AD15" s="115">
        <v>32</v>
      </c>
      <c r="AE15" s="115" t="s">
        <v>38</v>
      </c>
      <c r="AF15" s="116">
        <v>6</v>
      </c>
      <c r="AJ15">
        <v>7</v>
      </c>
      <c r="AK15">
        <f t="shared" si="0"/>
        <v>128</v>
      </c>
      <c r="AL15">
        <v>0</v>
      </c>
      <c r="AN15" s="4" t="s">
        <v>112</v>
      </c>
      <c r="AO15" s="37"/>
    </row>
    <row r="16" spans="2:41" x14ac:dyDescent="0.3">
      <c r="B16" s="70">
        <f>SMALL(Persons!$O:$O,1+ROW(B16)-ROW(B$12))</f>
        <v>5</v>
      </c>
      <c r="C16" s="103">
        <f>IFERROR(INDEX(R$37:R$41,MATCH(E16,U$37:U$41,0))-B16,6-B16)</f>
        <v>-1</v>
      </c>
      <c r="D16" s="70">
        <f t="array" ref="D16">INDEX(Persons!$A:$A,SMALL(IF(Persons!$O:$O=B16,ROW(Persons!$A:$A)-ROW(Persons!$A$1)+1),COUNTIF(B$12:B16,B16)))</f>
        <v>46</v>
      </c>
      <c r="E16" s="70" t="str">
        <f>INDEX(Persons!$B:$B,MATCH(D16,Persons!$A:$A,0))</f>
        <v>Ciaran</v>
      </c>
      <c r="F16" s="71">
        <f>INDEX(Persons!$N:$N,MATCH(D16,Persons!$A:$A,0))</f>
        <v>1.6918553545497481</v>
      </c>
      <c r="G16" s="78">
        <f>LARGE(Persons!$O:$O,1+ROW(G16)-ROW(G$12))</f>
        <v>29</v>
      </c>
      <c r="H16" s="106">
        <f>IFERROR(INDEX(W$37:W$41,MATCH(J16,Z$37:Z$41,0))-G16,$G$12-5-G16)</f>
        <v>0</v>
      </c>
      <c r="I16" s="78">
        <f t="array" ref="I16">INDEX(Persons!$A:$A,SMALL(IF(Persons!$O:$O=G16,ROW(Persons!$A:$A)-ROW(Persons!$A$1)+1),COUNTIF(G$12:G16,G16)))</f>
        <v>35</v>
      </c>
      <c r="J16" s="78" t="str">
        <f>INDEX(Persons!$B:$B,MATCH(I16,Persons!$A:$A,0))</f>
        <v>Mathias</v>
      </c>
      <c r="K16" s="79">
        <f>INDEX(Persons!$N:$N,MATCH(I16,Persons!$A:$A,0))</f>
        <v>-2.5212612769474569</v>
      </c>
      <c r="L16" s="81">
        <f>SMALL(Persons!$J:$J,1+ROW(L16)-ROW(L$12))</f>
        <v>4</v>
      </c>
      <c r="M16" s="110">
        <f>IFERROR(INDEX(AB$37:AB$41,MATCH(O16,AE$37:AE$41,0))-L16,6-L16)</f>
        <v>2</v>
      </c>
      <c r="N16" s="81">
        <f t="array" ref="N16">INDEX(Persons!$A:$A,SMALL(IF(Persons!$J:$J=L16,ROW(Persons!$A:$A)-ROW(Persons!$A$1)+1),COUNTIF(L$12:L16,L16)))</f>
        <v>20</v>
      </c>
      <c r="O16" s="81" t="str">
        <f>INDEX(Persons!$B:$B,MATCH(N16,Persons!$A:$A,0))</f>
        <v>Kyrre</v>
      </c>
      <c r="P16" s="81">
        <f>INDEX(Persons!$I:$I,MATCH(N16,Persons!$A:$A,0))</f>
        <v>6</v>
      </c>
      <c r="R16" s="114">
        <v>5</v>
      </c>
      <c r="S16" s="115">
        <v>-3</v>
      </c>
      <c r="T16" s="115">
        <v>48</v>
      </c>
      <c r="U16" s="115" t="s">
        <v>100</v>
      </c>
      <c r="V16" s="115">
        <v>1.3551764073920212</v>
      </c>
      <c r="W16" s="115">
        <v>28</v>
      </c>
      <c r="X16" s="115">
        <v>-1</v>
      </c>
      <c r="Y16" s="115">
        <v>47</v>
      </c>
      <c r="Z16" s="115" t="s">
        <v>7</v>
      </c>
      <c r="AA16" s="115">
        <v>-1.975786479492849</v>
      </c>
      <c r="AB16" s="115">
        <v>4</v>
      </c>
      <c r="AC16" s="115">
        <v>2</v>
      </c>
      <c r="AD16" s="115">
        <v>52</v>
      </c>
      <c r="AE16" s="115" t="s">
        <v>126</v>
      </c>
      <c r="AF16" s="116">
        <v>6</v>
      </c>
      <c r="AJ16">
        <v>8</v>
      </c>
      <c r="AK16">
        <f t="shared" si="0"/>
        <v>256</v>
      </c>
      <c r="AL16">
        <v>0</v>
      </c>
      <c r="AN16" s="4" t="s">
        <v>56</v>
      </c>
      <c r="AO16" s="39"/>
    </row>
    <row r="17" spans="2:49" x14ac:dyDescent="0.3">
      <c r="R17" s="114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6"/>
      <c r="AJ17">
        <v>9</v>
      </c>
      <c r="AK17">
        <f t="shared" si="0"/>
        <v>512</v>
      </c>
      <c r="AL17">
        <v>0</v>
      </c>
      <c r="AN17" s="4" t="s">
        <v>56</v>
      </c>
      <c r="AO17" s="38"/>
    </row>
    <row r="18" spans="2:49" x14ac:dyDescent="0.3">
      <c r="B18" s="134" t="s">
        <v>118</v>
      </c>
      <c r="C18" s="134"/>
      <c r="D18" s="134"/>
      <c r="E18" s="134"/>
      <c r="F18" s="134"/>
      <c r="G18" s="137" t="s">
        <v>119</v>
      </c>
      <c r="H18" s="137"/>
      <c r="I18" s="137"/>
      <c r="J18" s="137"/>
      <c r="K18" s="137"/>
      <c r="L18" s="138" t="s">
        <v>42</v>
      </c>
      <c r="M18" s="138"/>
      <c r="N18" s="138"/>
      <c r="O18" s="138"/>
      <c r="P18" s="138"/>
      <c r="R18" s="114" t="s">
        <v>118</v>
      </c>
      <c r="S18" s="115"/>
      <c r="T18" s="115"/>
      <c r="U18" s="115"/>
      <c r="V18" s="115"/>
      <c r="W18" s="115" t="s">
        <v>119</v>
      </c>
      <c r="X18" s="115"/>
      <c r="Y18" s="115"/>
      <c r="Z18" s="115"/>
      <c r="AA18" s="115"/>
      <c r="AB18" s="115" t="s">
        <v>42</v>
      </c>
      <c r="AC18" s="115"/>
      <c r="AD18" s="115"/>
      <c r="AE18" s="115"/>
      <c r="AF18" s="116"/>
    </row>
    <row r="19" spans="2:49" x14ac:dyDescent="0.3">
      <c r="B19" s="92" t="s">
        <v>41</v>
      </c>
      <c r="C19" s="102"/>
      <c r="D19" s="72" t="s">
        <v>19</v>
      </c>
      <c r="E19" s="72" t="s">
        <v>1</v>
      </c>
      <c r="F19" s="92" t="s">
        <v>56</v>
      </c>
      <c r="G19" s="93" t="s">
        <v>41</v>
      </c>
      <c r="H19" s="82"/>
      <c r="I19" s="82" t="s">
        <v>19</v>
      </c>
      <c r="J19" s="82" t="s">
        <v>1</v>
      </c>
      <c r="K19" s="93" t="s">
        <v>56</v>
      </c>
      <c r="L19" s="94" t="s">
        <v>41</v>
      </c>
      <c r="M19" s="87"/>
      <c r="N19" s="87" t="s">
        <v>19</v>
      </c>
      <c r="O19" s="87" t="s">
        <v>1</v>
      </c>
      <c r="P19" s="94" t="s">
        <v>20</v>
      </c>
      <c r="R19" s="114" t="s">
        <v>41</v>
      </c>
      <c r="S19" s="115"/>
      <c r="T19" s="115" t="s">
        <v>19</v>
      </c>
      <c r="U19" s="115" t="s">
        <v>1</v>
      </c>
      <c r="V19" s="115" t="s">
        <v>56</v>
      </c>
      <c r="W19" s="115" t="s">
        <v>41</v>
      </c>
      <c r="X19" s="115"/>
      <c r="Y19" s="115" t="s">
        <v>19</v>
      </c>
      <c r="Z19" s="115" t="s">
        <v>1</v>
      </c>
      <c r="AA19" s="115" t="s">
        <v>56</v>
      </c>
      <c r="AB19" s="115" t="s">
        <v>41</v>
      </c>
      <c r="AC19" s="115"/>
      <c r="AD19" s="115" t="s">
        <v>19</v>
      </c>
      <c r="AE19" s="115" t="s">
        <v>1</v>
      </c>
      <c r="AF19" s="116" t="s">
        <v>20</v>
      </c>
      <c r="AJ19" s="56" t="s">
        <v>41</v>
      </c>
      <c r="AK19" s="56" t="s">
        <v>157</v>
      </c>
      <c r="AL19" s="56" t="s">
        <v>149</v>
      </c>
      <c r="AM19" s="56" t="s">
        <v>150</v>
      </c>
      <c r="AN19" s="56" t="s">
        <v>151</v>
      </c>
      <c r="AO19" s="56" t="s">
        <v>152</v>
      </c>
      <c r="AP19" s="56" t="s">
        <v>153</v>
      </c>
      <c r="AQ19" s="56" t="s">
        <v>154</v>
      </c>
      <c r="AR19" s="56" t="s">
        <v>155</v>
      </c>
      <c r="AS19" s="56" t="s">
        <v>156</v>
      </c>
      <c r="AT19" s="56" t="s">
        <v>158</v>
      </c>
      <c r="AU19" s="56" t="s">
        <v>159</v>
      </c>
      <c r="AV19" s="56" t="s">
        <v>160</v>
      </c>
    </row>
    <row r="20" spans="2:49" x14ac:dyDescent="0.3">
      <c r="B20" s="73">
        <f>SMALL(Persons!$U:$U,1+ROW(B20)-ROW(B$20))</f>
        <v>1</v>
      </c>
      <c r="C20" s="104">
        <f>IFERROR(INDEX(R$45:R$49,MATCH(E20,U$45:U$49,0))-B20,6-B20)</f>
        <v>5</v>
      </c>
      <c r="D20" s="73">
        <f t="array" ref="D20">INDEX(Persons!$A:$A,SMALL(IF(Persons!$U:$U=B20,ROW(Persons!$A:$A)-ROW(Persons!$A$1)+1),COUNTIF(B$20:B20,B20)))</f>
        <v>64</v>
      </c>
      <c r="E20" s="73" t="str">
        <f>INDEX(Persons!$B:$B,MATCH(D20,Persons!$A:$A,0))</f>
        <v>Øystein</v>
      </c>
      <c r="F20" s="74">
        <f>INDEX(Persons!$T:$T,MATCH(D20,Persons!$A:$A,0))</f>
        <v>170</v>
      </c>
      <c r="G20" s="83">
        <f>LARGE(Persons!$U:$U,1+ROW(G20)-ROW(G$20))</f>
        <v>33</v>
      </c>
      <c r="H20" s="105">
        <f>IFERROR(INDEX(W$45:W$49,MATCH(J20,Z$45:Z$49,0))-G20,$G$20-5-G20)</f>
        <v>-5</v>
      </c>
      <c r="I20" s="83">
        <f t="array" ref="I20">INDEX(Persons!$A:$A,SMALL(IF(Persons!$U:$U=G20,ROW(Persons!$A:$A)-ROW(Persons!$A$1)+1),COUNTIF(G$20:G20,G20)))</f>
        <v>58</v>
      </c>
      <c r="J20" s="83" t="str">
        <f>INDEX(Persons!$B:$B,MATCH(I20,Persons!$A:$A,0))</f>
        <v>Eli</v>
      </c>
      <c r="K20" s="84">
        <f>INDEX(Persons!$T:$T,MATCH(I20,Persons!$A:$A,0))</f>
        <v>310.40280210157619</v>
      </c>
      <c r="L20" s="88">
        <f>SMALL(Persons!$H:$H,1+ROW(L20)-ROW(L$20))</f>
        <v>1</v>
      </c>
      <c r="M20" s="109">
        <f>IFERROR(INDEX(AB$45:AB$49,MATCH(O20,AE$45:AE$49,0))-L20,6-L20)</f>
        <v>0</v>
      </c>
      <c r="N20" s="88">
        <f t="array" ref="N20">INDEX(Persons!$A:$A,SMALL(IF(Persons!$H:$H=L20,ROW(Persons!$A:$A)-ROW(Persons!$A$1)+1),COUNTIF(L$20:L20,L20)))</f>
        <v>10</v>
      </c>
      <c r="O20" s="88" t="str">
        <f>INDEX(Persons!$B:$B,MATCH(N20,Persons!$A:$A,0))</f>
        <v>Odd</v>
      </c>
      <c r="P20" s="89">
        <f>INDEX(Persons!$G:$G,MATCH(N20,Persons!$A:$A,0))</f>
        <v>230</v>
      </c>
      <c r="R20" s="114">
        <v>1</v>
      </c>
      <c r="S20" s="115">
        <v>0</v>
      </c>
      <c r="T20" s="115">
        <v>63</v>
      </c>
      <c r="U20" s="115" t="s">
        <v>148</v>
      </c>
      <c r="V20" s="115">
        <v>174.28571428571428</v>
      </c>
      <c r="W20" s="115">
        <v>32</v>
      </c>
      <c r="X20" s="115">
        <v>0</v>
      </c>
      <c r="Y20" s="115">
        <v>52</v>
      </c>
      <c r="Z20" s="115" t="s">
        <v>126</v>
      </c>
      <c r="AA20" s="115">
        <v>285.82190412653893</v>
      </c>
      <c r="AB20" s="115">
        <v>1</v>
      </c>
      <c r="AC20" s="115">
        <v>0</v>
      </c>
      <c r="AD20" s="115">
        <v>10</v>
      </c>
      <c r="AE20" s="115" t="s">
        <v>11</v>
      </c>
      <c r="AF20" s="116">
        <v>210</v>
      </c>
      <c r="AJ20">
        <v>1</v>
      </c>
      <c r="AK20">
        <v>0</v>
      </c>
      <c r="AL20" s="55">
        <v>0.3</v>
      </c>
      <c r="AM20" s="55">
        <v>1</v>
      </c>
      <c r="AN20" s="57">
        <f>AL20*AM20</f>
        <v>0.3</v>
      </c>
      <c r="AO20" s="49">
        <f>AN20*(1-ABS(MOD(AK20/60,2)-1))</f>
        <v>0</v>
      </c>
      <c r="AP20" s="57">
        <f>AM20-AN20</f>
        <v>0.7</v>
      </c>
      <c r="AQ20" s="49">
        <f>IF(OR(AND(AK20&gt;=0,AK20&lt;60),AND(AK20&gt;=300,AK20&lt;360)),AN20,IF(OR(AND(AK20&gt;=60,AK20&lt;120),AND(AK20&gt;=240,AK20&lt;300)),AO20,0))</f>
        <v>0.3</v>
      </c>
      <c r="AR20" s="49">
        <f>IF(OR(AND(AK20&gt;=60,AK20&lt;120),AND(AK20&gt;=120,AK20&lt;180)),AN20,IF(OR(AND(AK20&gt;=0,AK20&lt;60),AND(AK20&gt;=180,AK20&lt;240)),AO20,0))</f>
        <v>0</v>
      </c>
      <c r="AS20" s="49">
        <f>IF(OR(AND(AK20&gt;=180,AK20&lt;240),AND(AK20&gt;=240,AK20&lt;300)),AN20,IF(OR(AND(AK20&gt;=120,AK20&lt;180),AND(AK20&gt;=300,AK20&lt;360)),AO20,0))</f>
        <v>0</v>
      </c>
      <c r="AT20" s="25">
        <f>($AP20+AQ20)*255</f>
        <v>255</v>
      </c>
      <c r="AU20" s="25">
        <f>($AP20+AR20)*255</f>
        <v>178.5</v>
      </c>
      <c r="AV20" s="25">
        <f>($AP20+AS20)*255</f>
        <v>178.5</v>
      </c>
      <c r="AW20" s="58"/>
    </row>
    <row r="21" spans="2:49" x14ac:dyDescent="0.3">
      <c r="B21" s="73">
        <f>SMALL(Persons!$U:$U,1+ROW(B21)-ROW(B$20))</f>
        <v>1</v>
      </c>
      <c r="C21" s="104">
        <f>IFERROR(INDEX(R$45:R$49,MATCH(E21,U$45:U$49,0))-B21,6-B21)</f>
        <v>5</v>
      </c>
      <c r="D21" s="73">
        <f t="array" ref="D21">INDEX(Persons!$A:$A,SMALL(IF(Persons!$U:$U=B21,ROW(Persons!$A:$A)-ROW(Persons!$A$1)+1),COUNTIF(B$20:B21,B21)))</f>
        <v>65</v>
      </c>
      <c r="E21" s="73" t="str">
        <f>INDEX(Persons!$B:$B,MATCH(D21,Persons!$A:$A,0))</f>
        <v>Johan</v>
      </c>
      <c r="F21" s="74">
        <f>INDEX(Persons!$T:$T,MATCH(D21,Persons!$A:$A,0))</f>
        <v>170</v>
      </c>
      <c r="G21" s="83">
        <f>LARGE(Persons!$U:$U,1+ROW(G21)-ROW(G$20))</f>
        <v>32</v>
      </c>
      <c r="H21" s="105">
        <f>IFERROR(INDEX(W$45:W$49,MATCH(J21,Z$45:Z$49,0))-G21,$G$20-5-G21)</f>
        <v>-1</v>
      </c>
      <c r="I21" s="83">
        <f t="array" ref="I21">INDEX(Persons!$A:$A,SMALL(IF(Persons!$U:$U=G21,ROW(Persons!$A:$A)-ROW(Persons!$A$1)+1),COUNTIF(G$20:G21,G21)))</f>
        <v>24</v>
      </c>
      <c r="J21" s="83" t="str">
        <f>INDEX(Persons!$B:$B,MATCH(I21,Persons!$A:$A,0))</f>
        <v>Terje</v>
      </c>
      <c r="K21" s="84">
        <f>INDEX(Persons!$T:$T,MATCH(I21,Persons!$A:$A,0))</f>
        <v>252.63240374096256</v>
      </c>
      <c r="L21" s="88">
        <f>SMALL(Persons!$H:$H,1+ROW(L21)-ROW(L$20))</f>
        <v>2</v>
      </c>
      <c r="M21" s="109">
        <f>IFERROR(INDEX(AB$45:AB$49,MATCH(O21,AE$45:AE$49,0))-L21,6-L21)</f>
        <v>0</v>
      </c>
      <c r="N21" s="88">
        <f t="array" ref="N21">INDEX(Persons!$A:$A,SMALL(IF(Persons!$H:$H=L21,ROW(Persons!$A:$A)-ROW(Persons!$A$1)+1),COUNTIF(L$20:L21,L21)))</f>
        <v>33</v>
      </c>
      <c r="O21" s="88" t="str">
        <f>INDEX(Persons!$B:$B,MATCH(N21,Persons!$A:$A,0))</f>
        <v>Anders A</v>
      </c>
      <c r="P21" s="89">
        <f>INDEX(Persons!$G:$G,MATCH(N21,Persons!$A:$A,0))</f>
        <v>212</v>
      </c>
      <c r="R21" s="114">
        <v>2</v>
      </c>
      <c r="S21" s="115">
        <v>2</v>
      </c>
      <c r="T21" s="115">
        <v>27</v>
      </c>
      <c r="U21" s="115" t="s">
        <v>142</v>
      </c>
      <c r="V21" s="115">
        <v>199.43598420755782</v>
      </c>
      <c r="W21" s="115">
        <v>31</v>
      </c>
      <c r="X21" s="115">
        <v>-4</v>
      </c>
      <c r="Y21" s="115">
        <v>32</v>
      </c>
      <c r="Z21" s="115" t="s">
        <v>38</v>
      </c>
      <c r="AA21" s="115">
        <v>255.0786850625262</v>
      </c>
      <c r="AB21" s="115">
        <v>2</v>
      </c>
      <c r="AC21" s="115">
        <v>0</v>
      </c>
      <c r="AD21" s="115">
        <v>33</v>
      </c>
      <c r="AE21" s="115" t="s">
        <v>75</v>
      </c>
      <c r="AF21" s="116">
        <v>192</v>
      </c>
      <c r="AJ21">
        <v>2</v>
      </c>
      <c r="AK21">
        <f>AK20+360/9</f>
        <v>40</v>
      </c>
      <c r="AL21" s="55">
        <v>0.3</v>
      </c>
      <c r="AM21" s="55">
        <v>1</v>
      </c>
      <c r="AN21" s="57">
        <f t="shared" ref="AN21:AN28" si="1">AL21*AM21</f>
        <v>0.3</v>
      </c>
      <c r="AO21" s="49">
        <f t="shared" ref="AO21:AO28" si="2">AN21*(1-ABS(MOD(AK21/60,2)-1))</f>
        <v>0.19999999999999998</v>
      </c>
      <c r="AP21" s="57">
        <f t="shared" ref="AP21:AP28" si="3">AM21-AN21</f>
        <v>0.7</v>
      </c>
      <c r="AQ21" s="49">
        <f t="shared" ref="AQ21:AQ28" si="4">IF(OR(AND(AK21&gt;=0,AK21&lt;60),AND(AK21&gt;=300,AK21&lt;360)),AN21,IF(OR(AND(AK21&gt;=60,AK21&lt;120),AND(AK21&gt;=240,AK21&lt;300)),AO21,0))</f>
        <v>0.3</v>
      </c>
      <c r="AR21" s="49">
        <f t="shared" ref="AR21:AR28" si="5">IF(OR(AND(AK21&gt;=60,AK21&lt;120),AND(AK21&gt;=120,AK21&lt;180)),AN21,IF(OR(AND(AK21&gt;=0,AK21&lt;60),AND(AK21&gt;=180,AK21&lt;240)),AO21,0))</f>
        <v>0.19999999999999998</v>
      </c>
      <c r="AS21" s="49">
        <f t="shared" ref="AS21:AS28" si="6">IF(OR(AND(AK21&gt;=180,AK21&lt;240),AND(AK21&gt;=240,AK21&lt;300)),AN21,IF(OR(AND(AK21&gt;=120,AK21&lt;180),AND(AK21&gt;=300,AK21&lt;360)),AO21,0))</f>
        <v>0</v>
      </c>
      <c r="AT21" s="25">
        <f t="shared" ref="AT21:AV26" si="7">($AP21+AQ21)*255</f>
        <v>255</v>
      </c>
      <c r="AU21" s="25">
        <f t="shared" si="7"/>
        <v>229.49999999999997</v>
      </c>
      <c r="AV21" s="25">
        <f t="shared" si="7"/>
        <v>178.5</v>
      </c>
      <c r="AW21" s="59"/>
    </row>
    <row r="22" spans="2:49" x14ac:dyDescent="0.3">
      <c r="B22" s="73">
        <f>SMALL(Persons!$U:$U,1+ROW(B22)-ROW(B$20))</f>
        <v>3</v>
      </c>
      <c r="C22" s="104">
        <f>IFERROR(INDEX(R$45:R$49,MATCH(E22,U$45:U$49,0))-B22,6-B22)</f>
        <v>-2</v>
      </c>
      <c r="D22" s="73">
        <f t="array" ref="D22">INDEX(Persons!$A:$A,SMALL(IF(Persons!$U:$U=B22,ROW(Persons!$A:$A)-ROW(Persons!$A$1)+1),COUNTIF(B$20:B22,B22)))</f>
        <v>63</v>
      </c>
      <c r="E22" s="73" t="str">
        <f>INDEX(Persons!$B:$B,MATCH(D22,Persons!$A:$A,0))</f>
        <v>Håkon</v>
      </c>
      <c r="F22" s="74">
        <f>INDEX(Persons!$T:$T,MATCH(D22,Persons!$A:$A,0))</f>
        <v>180.63948020039544</v>
      </c>
      <c r="G22" s="83">
        <f>LARGE(Persons!$U:$U,1+ROW(G22)-ROW(G$20))</f>
        <v>31</v>
      </c>
      <c r="H22" s="105">
        <f>IFERROR(INDEX(W$45:W$49,MATCH(J22,Z$45:Z$49,0))-G22,$G$20-5-G22)</f>
        <v>-3</v>
      </c>
      <c r="I22" s="83">
        <f t="array" ref="I22">INDEX(Persons!$A:$A,SMALL(IF(Persons!$U:$U=G22,ROW(Persons!$A:$A)-ROW(Persons!$A$1)+1),COUNTIF(G$20:G22,G22)))</f>
        <v>60</v>
      </c>
      <c r="J22" s="83" t="str">
        <f>INDEX(Persons!$B:$B,MATCH(I22,Persons!$A:$A,0))</f>
        <v>Kristin G</v>
      </c>
      <c r="K22" s="84">
        <f>INDEX(Persons!$T:$T,MATCH(I22,Persons!$A:$A,0))</f>
        <v>247.13398402839397</v>
      </c>
      <c r="L22" s="88">
        <f>SMALL(Persons!$H:$H,1+ROW(L22)-ROW(L$20))</f>
        <v>3</v>
      </c>
      <c r="M22" s="109">
        <f>IFERROR(INDEX(AB$45:AB$49,MATCH(O22,AE$45:AE$49,0))-L22,6-L22)</f>
        <v>0</v>
      </c>
      <c r="N22" s="88">
        <f t="array" ref="N22">INDEX(Persons!$A:$A,SMALL(IF(Persons!$H:$H=L22,ROW(Persons!$A:$A)-ROW(Persons!$A$1)+1),COUNTIF(L$20:L22,L22)))</f>
        <v>37</v>
      </c>
      <c r="O22" s="88" t="str">
        <f>INDEX(Persons!$B:$B,MATCH(N22,Persons!$A:$A,0))</f>
        <v>Ruben O</v>
      </c>
      <c r="P22" s="89">
        <f>INDEX(Persons!$G:$G,MATCH(N22,Persons!$A:$A,0))</f>
        <v>201</v>
      </c>
      <c r="R22" s="114">
        <v>3</v>
      </c>
      <c r="S22" s="115">
        <v>2</v>
      </c>
      <c r="T22" s="115">
        <v>44</v>
      </c>
      <c r="U22" s="115" t="s">
        <v>82</v>
      </c>
      <c r="V22" s="115">
        <v>209.96943899925887</v>
      </c>
      <c r="W22" s="115">
        <v>30</v>
      </c>
      <c r="X22" s="115">
        <v>-3</v>
      </c>
      <c r="Y22" s="115">
        <v>47</v>
      </c>
      <c r="Z22" s="115" t="s">
        <v>7</v>
      </c>
      <c r="AA22" s="115">
        <v>253.06378254412468</v>
      </c>
      <c r="AB22" s="115">
        <v>3</v>
      </c>
      <c r="AC22" s="115">
        <v>0</v>
      </c>
      <c r="AD22" s="115">
        <v>37</v>
      </c>
      <c r="AE22" s="115" t="s">
        <v>79</v>
      </c>
      <c r="AF22" s="116">
        <v>181</v>
      </c>
      <c r="AJ22">
        <v>3</v>
      </c>
      <c r="AK22">
        <f>AK21+360/9</f>
        <v>80</v>
      </c>
      <c r="AL22" s="55">
        <v>0.3</v>
      </c>
      <c r="AM22" s="55">
        <v>1</v>
      </c>
      <c r="AN22" s="57">
        <f t="shared" si="1"/>
        <v>0.3</v>
      </c>
      <c r="AO22" s="49">
        <f t="shared" si="2"/>
        <v>0.2</v>
      </c>
      <c r="AP22" s="57">
        <f t="shared" si="3"/>
        <v>0.7</v>
      </c>
      <c r="AQ22" s="49">
        <f t="shared" si="4"/>
        <v>0.2</v>
      </c>
      <c r="AR22" s="49">
        <f t="shared" si="5"/>
        <v>0.3</v>
      </c>
      <c r="AS22" s="49">
        <f t="shared" si="6"/>
        <v>0</v>
      </c>
      <c r="AT22" s="25">
        <f t="shared" si="7"/>
        <v>229.49999999999997</v>
      </c>
      <c r="AU22" s="25">
        <f t="shared" si="7"/>
        <v>255</v>
      </c>
      <c r="AV22" s="25">
        <f t="shared" si="7"/>
        <v>178.5</v>
      </c>
      <c r="AW22" s="60"/>
    </row>
    <row r="23" spans="2:49" x14ac:dyDescent="0.3">
      <c r="B23" s="73">
        <f>SMALL(Persons!$U:$U,1+ROW(B23)-ROW(B$20))</f>
        <v>4</v>
      </c>
      <c r="C23" s="104">
        <f>IFERROR(INDEX(R$45:R$49,MATCH(E23,U$45:U$49,0))-B23,6-B23)</f>
        <v>2</v>
      </c>
      <c r="D23" s="73">
        <f t="array" ref="D23">INDEX(Persons!$A:$A,SMALL(IF(Persons!$U:$U=B23,ROW(Persons!$A:$A)-ROW(Persons!$A$1)+1),COUNTIF(B$20:B23,B23)))</f>
        <v>66</v>
      </c>
      <c r="E23" s="73" t="str">
        <f>INDEX(Persons!$B:$B,MATCH(D23,Persons!$A:$A,0))</f>
        <v>Gaute</v>
      </c>
      <c r="F23" s="74">
        <f>INDEX(Persons!$T:$T,MATCH(D23,Persons!$A:$A,0))</f>
        <v>184.48430493273543</v>
      </c>
      <c r="G23" s="83">
        <f>LARGE(Persons!$U:$U,1+ROW(G23)-ROW(G$20))</f>
        <v>30</v>
      </c>
      <c r="H23" s="105">
        <f>IFERROR(INDEX(W$45:W$49,MATCH(J23,Z$45:Z$49,0))-G23,$G$20-5-G23)</f>
        <v>-1</v>
      </c>
      <c r="I23" s="83">
        <f t="array" ref="I23">INDEX(Persons!$A:$A,SMALL(IF(Persons!$U:$U=G23,ROW(Persons!$A:$A)-ROW(Persons!$A$1)+1),COUNTIF(G$20:G23,G23)))</f>
        <v>17</v>
      </c>
      <c r="J23" s="83" t="str">
        <f>INDEX(Persons!$B:$B,MATCH(I23,Persons!$A:$A,0))</f>
        <v>Hanne</v>
      </c>
      <c r="K23" s="84">
        <f>INDEX(Persons!$T:$T,MATCH(I23,Persons!$A:$A,0))</f>
        <v>245.46125885069893</v>
      </c>
      <c r="L23" s="88">
        <f>SMALL(Persons!$H:$H,1+ROW(L23)-ROW(L$20))</f>
        <v>4</v>
      </c>
      <c r="M23" s="109">
        <f>IFERROR(INDEX(AB$45:AB$49,MATCH(O23,AE$45:AE$49,0))-L23,6-L23)</f>
        <v>0</v>
      </c>
      <c r="N23" s="88">
        <f t="array" ref="N23">INDEX(Persons!$A:$A,SMALL(IF(Persons!$H:$H=L23,ROW(Persons!$A:$A)-ROW(Persons!$A$1)+1),COUNTIF(L$20:L23,L23)))</f>
        <v>29</v>
      </c>
      <c r="O23" s="88" t="str">
        <f>INDEX(Persons!$B:$B,MATCH(N23,Persons!$A:$A,0))</f>
        <v>Magnus B</v>
      </c>
      <c r="P23" s="89">
        <f>INDEX(Persons!$G:$G,MATCH(N23,Persons!$A:$A,0))</f>
        <v>151</v>
      </c>
      <c r="R23" s="114">
        <v>4</v>
      </c>
      <c r="S23" s="115">
        <v>2</v>
      </c>
      <c r="T23" s="115">
        <v>43</v>
      </c>
      <c r="U23" s="115" t="s">
        <v>81</v>
      </c>
      <c r="V23" s="115">
        <v>212.40896207491642</v>
      </c>
      <c r="W23" s="115">
        <v>29</v>
      </c>
      <c r="X23" s="115">
        <v>2</v>
      </c>
      <c r="Y23" s="115">
        <v>24</v>
      </c>
      <c r="Z23" s="115" t="s">
        <v>31</v>
      </c>
      <c r="AA23" s="115">
        <v>252.63240374096256</v>
      </c>
      <c r="AB23" s="115">
        <v>4</v>
      </c>
      <c r="AC23" s="115">
        <v>2</v>
      </c>
      <c r="AD23" s="115">
        <v>52</v>
      </c>
      <c r="AE23" s="115" t="s">
        <v>126</v>
      </c>
      <c r="AF23" s="116">
        <v>146</v>
      </c>
      <c r="AJ23">
        <v>4</v>
      </c>
      <c r="AK23">
        <f t="shared" ref="AK23:AK28" si="8">AK22+360/9</f>
        <v>120</v>
      </c>
      <c r="AL23" s="55">
        <v>0.3</v>
      </c>
      <c r="AM23" s="55">
        <v>1</v>
      </c>
      <c r="AN23" s="57">
        <f t="shared" si="1"/>
        <v>0.3</v>
      </c>
      <c r="AO23" s="49">
        <f t="shared" si="2"/>
        <v>0</v>
      </c>
      <c r="AP23" s="57">
        <f t="shared" si="3"/>
        <v>0.7</v>
      </c>
      <c r="AQ23" s="49">
        <f t="shared" si="4"/>
        <v>0</v>
      </c>
      <c r="AR23" s="49">
        <f t="shared" si="5"/>
        <v>0.3</v>
      </c>
      <c r="AS23" s="49">
        <f t="shared" si="6"/>
        <v>0</v>
      </c>
      <c r="AT23" s="25">
        <f t="shared" si="7"/>
        <v>178.5</v>
      </c>
      <c r="AU23" s="25">
        <f t="shared" si="7"/>
        <v>255</v>
      </c>
      <c r="AV23" s="25">
        <f t="shared" si="7"/>
        <v>178.5</v>
      </c>
      <c r="AW23" s="61"/>
    </row>
    <row r="24" spans="2:49" ht="15" thickBot="1" x14ac:dyDescent="0.35">
      <c r="B24" s="73">
        <f>SMALL(Persons!$U:$U,1+ROW(B24)-ROW(B$20))</f>
        <v>5</v>
      </c>
      <c r="C24" s="104">
        <f>IFERROR(INDEX(R$45:R$49,MATCH(E24,U$45:U$49,0))-B24,6-B24)</f>
        <v>1</v>
      </c>
      <c r="D24" s="73">
        <f t="array" ref="D24">INDEX(Persons!$A:$A,SMALL(IF(Persons!$U:$U=B24,ROW(Persons!$A:$A)-ROW(Persons!$A$1)+1),COUNTIF(B$20:B24,B24)))</f>
        <v>59</v>
      </c>
      <c r="E24" s="73" t="str">
        <f>INDEX(Persons!$B:$B,MATCH(D24,Persons!$A:$A,0))</f>
        <v>Jøran</v>
      </c>
      <c r="F24" s="74">
        <f>INDEX(Persons!$T:$T,MATCH(D24,Persons!$A:$A,0))</f>
        <v>188.30769230769229</v>
      </c>
      <c r="G24" s="83">
        <f>LARGE(Persons!$U:$U,1+ROW(G24)-ROW(G$20))</f>
        <v>29</v>
      </c>
      <c r="H24" s="105">
        <f>IFERROR(INDEX(W$45:W$49,MATCH(J24,Z$45:Z$49,0))-G24,$G$20-5-G24)</f>
        <v>-1</v>
      </c>
      <c r="I24" s="83">
        <f t="array" ref="I24">INDEX(Persons!$A:$A,SMALL(IF(Persons!$U:$U=G24,ROW(Persons!$A:$A)-ROW(Persons!$A$1)+1),COUNTIF(G$20:G24,G24)))</f>
        <v>2</v>
      </c>
      <c r="J24" s="83" t="str">
        <f>INDEX(Persons!$B:$B,MATCH(I24,Persons!$A:$A,0))</f>
        <v>Erik B</v>
      </c>
      <c r="K24" s="84">
        <f>INDEX(Persons!$T:$T,MATCH(I24,Persons!$A:$A,0))</f>
        <v>243.90443880516364</v>
      </c>
      <c r="L24" s="88">
        <f>SMALL(Persons!$H:$H,1+ROW(L24)-ROW(L$20))</f>
        <v>5</v>
      </c>
      <c r="M24" s="109">
        <f>IFERROR(INDEX(AB$45:AB$49,MATCH(O24,AE$45:AE$49,0))-L24,6-L24)</f>
        <v>0</v>
      </c>
      <c r="N24" s="88">
        <f t="array" ref="N24">INDEX(Persons!$A:$A,SMALL(IF(Persons!$H:$H=L24,ROW(Persons!$A:$A)-ROW(Persons!$A$1)+1),COUNTIF(L$20:L24,L24)))</f>
        <v>14</v>
      </c>
      <c r="O24" s="88" t="str">
        <f>INDEX(Persons!$B:$B,MATCH(N24,Persons!$A:$A,0))</f>
        <v>Truls</v>
      </c>
      <c r="P24" s="89">
        <f>INDEX(Persons!$G:$G,MATCH(N24,Persons!$A:$A,0))</f>
        <v>128</v>
      </c>
      <c r="R24" s="117">
        <v>5</v>
      </c>
      <c r="S24" s="118">
        <v>-2</v>
      </c>
      <c r="T24" s="118">
        <v>53</v>
      </c>
      <c r="U24" s="118" t="s">
        <v>132</v>
      </c>
      <c r="V24" s="118">
        <v>213.57940233973241</v>
      </c>
      <c r="W24" s="118">
        <v>28</v>
      </c>
      <c r="X24" s="118">
        <v>-1</v>
      </c>
      <c r="Y24" s="118">
        <v>60</v>
      </c>
      <c r="Z24" s="118" t="s">
        <v>141</v>
      </c>
      <c r="AA24" s="118">
        <v>247.13398402839397</v>
      </c>
      <c r="AB24" s="118">
        <v>5</v>
      </c>
      <c r="AC24" s="118">
        <v>-1</v>
      </c>
      <c r="AD24" s="118">
        <v>29</v>
      </c>
      <c r="AE24" s="118" t="s">
        <v>131</v>
      </c>
      <c r="AF24" s="119">
        <v>141</v>
      </c>
      <c r="AJ24">
        <v>5</v>
      </c>
      <c r="AK24">
        <f t="shared" si="8"/>
        <v>160</v>
      </c>
      <c r="AL24" s="55">
        <v>0.3</v>
      </c>
      <c r="AM24" s="55">
        <v>1</v>
      </c>
      <c r="AN24" s="57">
        <f t="shared" si="1"/>
        <v>0.3</v>
      </c>
      <c r="AO24" s="49">
        <f t="shared" si="2"/>
        <v>0.19999999999999996</v>
      </c>
      <c r="AP24" s="57">
        <f t="shared" si="3"/>
        <v>0.7</v>
      </c>
      <c r="AQ24" s="49">
        <f t="shared" si="4"/>
        <v>0</v>
      </c>
      <c r="AR24" s="49">
        <f t="shared" si="5"/>
        <v>0.3</v>
      </c>
      <c r="AS24" s="49">
        <f t="shared" si="6"/>
        <v>0.19999999999999996</v>
      </c>
      <c r="AT24" s="25">
        <f t="shared" si="7"/>
        <v>178.5</v>
      </c>
      <c r="AU24" s="25">
        <f t="shared" si="7"/>
        <v>255</v>
      </c>
      <c r="AV24" s="25">
        <f t="shared" si="7"/>
        <v>229.49999999999997</v>
      </c>
      <c r="AW24" s="62"/>
    </row>
    <row r="25" spans="2:49" x14ac:dyDescent="0.3">
      <c r="AJ25">
        <v>6</v>
      </c>
      <c r="AK25">
        <f t="shared" si="8"/>
        <v>200</v>
      </c>
      <c r="AL25" s="55">
        <v>0.3</v>
      </c>
      <c r="AM25" s="55">
        <v>1</v>
      </c>
      <c r="AN25" s="57">
        <f t="shared" si="1"/>
        <v>0.3</v>
      </c>
      <c r="AO25" s="49">
        <f t="shared" si="2"/>
        <v>0.19999999999999996</v>
      </c>
      <c r="AP25" s="57">
        <f t="shared" si="3"/>
        <v>0.7</v>
      </c>
      <c r="AQ25" s="49">
        <f t="shared" si="4"/>
        <v>0</v>
      </c>
      <c r="AR25" s="49">
        <f t="shared" si="5"/>
        <v>0.19999999999999996</v>
      </c>
      <c r="AS25" s="49">
        <f t="shared" si="6"/>
        <v>0.3</v>
      </c>
      <c r="AT25" s="25">
        <f t="shared" si="7"/>
        <v>178.5</v>
      </c>
      <c r="AU25" s="25">
        <f t="shared" si="7"/>
        <v>229.49999999999997</v>
      </c>
      <c r="AV25" s="25">
        <f t="shared" si="7"/>
        <v>255</v>
      </c>
      <c r="AW25" s="63"/>
    </row>
    <row r="26" spans="2:49" ht="15" thickBot="1" x14ac:dyDescent="0.35">
      <c r="R26" s="130" t="s">
        <v>185</v>
      </c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H26" s="42" t="s">
        <v>123</v>
      </c>
      <c r="AI26" t="s">
        <v>120</v>
      </c>
      <c r="AJ26">
        <v>7</v>
      </c>
      <c r="AK26">
        <f t="shared" si="8"/>
        <v>240</v>
      </c>
      <c r="AL26" s="55">
        <v>0.3</v>
      </c>
      <c r="AM26" s="55">
        <v>1</v>
      </c>
      <c r="AN26" s="57">
        <f t="shared" si="1"/>
        <v>0.3</v>
      </c>
      <c r="AO26" s="49">
        <f t="shared" si="2"/>
        <v>0</v>
      </c>
      <c r="AP26" s="57">
        <f t="shared" si="3"/>
        <v>0.7</v>
      </c>
      <c r="AQ26" s="49">
        <f t="shared" si="4"/>
        <v>0</v>
      </c>
      <c r="AR26" s="49">
        <f t="shared" si="5"/>
        <v>0</v>
      </c>
      <c r="AS26" s="49">
        <f t="shared" si="6"/>
        <v>0.3</v>
      </c>
      <c r="AT26" s="25">
        <f t="shared" si="7"/>
        <v>178.5</v>
      </c>
      <c r="AU26" s="25">
        <f t="shared" si="7"/>
        <v>178.5</v>
      </c>
      <c r="AV26" s="25">
        <f t="shared" si="7"/>
        <v>255</v>
      </c>
      <c r="AW26" s="64"/>
    </row>
    <row r="27" spans="2:49" x14ac:dyDescent="0.3">
      <c r="R27" s="111" t="s">
        <v>40</v>
      </c>
      <c r="S27" s="112"/>
      <c r="T27" s="112"/>
      <c r="U27" s="112"/>
      <c r="V27" s="112"/>
      <c r="W27" s="112" t="s">
        <v>39</v>
      </c>
      <c r="X27" s="112"/>
      <c r="Y27" s="112"/>
      <c r="Z27" s="112"/>
      <c r="AA27" s="112"/>
      <c r="AB27" s="112" t="s">
        <v>161</v>
      </c>
      <c r="AC27" s="112"/>
      <c r="AD27" s="112"/>
      <c r="AE27" s="112"/>
      <c r="AF27" s="113"/>
      <c r="AH27" s="42" t="s">
        <v>124</v>
      </c>
      <c r="AI27" t="s">
        <v>121</v>
      </c>
      <c r="AJ27">
        <v>8</v>
      </c>
      <c r="AK27">
        <f>AK26+360/9</f>
        <v>280</v>
      </c>
      <c r="AL27" s="55">
        <v>0.3</v>
      </c>
      <c r="AM27" s="55">
        <v>1</v>
      </c>
      <c r="AN27" s="57">
        <f t="shared" si="1"/>
        <v>0.3</v>
      </c>
      <c r="AO27" s="49">
        <f t="shared" si="2"/>
        <v>0.20000000000000009</v>
      </c>
      <c r="AP27" s="57">
        <f t="shared" si="3"/>
        <v>0.7</v>
      </c>
      <c r="AQ27" s="49">
        <f t="shared" si="4"/>
        <v>0.20000000000000009</v>
      </c>
      <c r="AR27" s="49">
        <f t="shared" si="5"/>
        <v>0</v>
      </c>
      <c r="AS27" s="49">
        <f t="shared" si="6"/>
        <v>0.3</v>
      </c>
      <c r="AT27" s="25">
        <f t="shared" ref="AT27:AV28" si="9">($AP27+AQ27)*255</f>
        <v>229.5</v>
      </c>
      <c r="AU27" s="25">
        <f t="shared" si="9"/>
        <v>178.5</v>
      </c>
      <c r="AV27" s="25">
        <f t="shared" si="9"/>
        <v>255</v>
      </c>
      <c r="AW27" s="65"/>
    </row>
    <row r="28" spans="2:49" x14ac:dyDescent="0.3">
      <c r="R28" s="114" t="s">
        <v>41</v>
      </c>
      <c r="S28" s="115"/>
      <c r="T28" s="115" t="s">
        <v>19</v>
      </c>
      <c r="U28" s="115" t="s">
        <v>1</v>
      </c>
      <c r="V28" s="115" t="s">
        <v>105</v>
      </c>
      <c r="W28" s="115" t="s">
        <v>41</v>
      </c>
      <c r="X28" s="115"/>
      <c r="Y28" s="115" t="s">
        <v>19</v>
      </c>
      <c r="Z28" s="115" t="s">
        <v>1</v>
      </c>
      <c r="AA28" s="115" t="s">
        <v>105</v>
      </c>
      <c r="AB28" s="115" t="s">
        <v>41</v>
      </c>
      <c r="AC28" s="115"/>
      <c r="AD28" s="115" t="s">
        <v>19</v>
      </c>
      <c r="AE28" s="115" t="s">
        <v>1</v>
      </c>
      <c r="AF28" s="116" t="s">
        <v>83</v>
      </c>
      <c r="AJ28">
        <v>9</v>
      </c>
      <c r="AK28">
        <f t="shared" si="8"/>
        <v>320</v>
      </c>
      <c r="AL28" s="55">
        <v>0.3</v>
      </c>
      <c r="AM28" s="55">
        <v>1</v>
      </c>
      <c r="AN28" s="57">
        <f t="shared" si="1"/>
        <v>0.3</v>
      </c>
      <c r="AO28" s="49">
        <f t="shared" si="2"/>
        <v>0.20000000000000009</v>
      </c>
      <c r="AP28" s="57">
        <f t="shared" si="3"/>
        <v>0.7</v>
      </c>
      <c r="AQ28" s="49">
        <f t="shared" si="4"/>
        <v>0.3</v>
      </c>
      <c r="AR28" s="49">
        <f t="shared" si="5"/>
        <v>0</v>
      </c>
      <c r="AS28" s="49">
        <f t="shared" si="6"/>
        <v>0.20000000000000009</v>
      </c>
      <c r="AT28" s="25">
        <f t="shared" si="9"/>
        <v>255</v>
      </c>
      <c r="AU28" s="25">
        <f t="shared" si="9"/>
        <v>178.5</v>
      </c>
      <c r="AV28" s="25">
        <f t="shared" si="9"/>
        <v>229.5</v>
      </c>
      <c r="AW28" s="66"/>
    </row>
    <row r="29" spans="2:49" x14ac:dyDescent="0.3">
      <c r="R29" s="114">
        <v>1</v>
      </c>
      <c r="S29" s="115"/>
      <c r="T29" s="115"/>
      <c r="U29" s="115" t="s">
        <v>100</v>
      </c>
      <c r="V29" s="115">
        <v>9.9000000000000005E-2</v>
      </c>
      <c r="W29" s="115">
        <v>32</v>
      </c>
      <c r="X29" s="115"/>
      <c r="Y29" s="115"/>
      <c r="Z29" s="115" t="s">
        <v>12</v>
      </c>
      <c r="AA29" s="115">
        <v>3.9E-2</v>
      </c>
      <c r="AB29" s="115">
        <v>1</v>
      </c>
      <c r="AC29" s="115"/>
      <c r="AD29" s="115"/>
      <c r="AE29" s="115" t="s">
        <v>11</v>
      </c>
      <c r="AF29" s="116">
        <v>9</v>
      </c>
    </row>
    <row r="30" spans="2:49" x14ac:dyDescent="0.3">
      <c r="R30" s="114">
        <v>2</v>
      </c>
      <c r="S30" s="115"/>
      <c r="T30" s="115"/>
      <c r="U30" s="115" t="s">
        <v>15</v>
      </c>
      <c r="V30" s="115">
        <v>0.104</v>
      </c>
      <c r="W30" s="115">
        <v>31</v>
      </c>
      <c r="X30" s="115"/>
      <c r="Y30" s="115"/>
      <c r="Z30" s="115" t="s">
        <v>31</v>
      </c>
      <c r="AA30" s="115">
        <v>8.4000000000000005E-2</v>
      </c>
      <c r="AB30" s="115">
        <v>2</v>
      </c>
      <c r="AC30" s="115"/>
      <c r="AD30" s="115"/>
      <c r="AE30" s="115" t="s">
        <v>75</v>
      </c>
      <c r="AF30" s="116">
        <v>8.1999999999999993</v>
      </c>
    </row>
    <row r="31" spans="2:49" x14ac:dyDescent="0.3">
      <c r="R31" s="114">
        <v>3</v>
      </c>
      <c r="S31" s="115"/>
      <c r="T31" s="115"/>
      <c r="U31" s="115" t="s">
        <v>141</v>
      </c>
      <c r="V31" s="115">
        <v>0.17199999999999999</v>
      </c>
      <c r="W31" s="115">
        <v>30</v>
      </c>
      <c r="X31" s="115"/>
      <c r="Y31" s="115"/>
      <c r="Z31" s="115" t="s">
        <v>7</v>
      </c>
      <c r="AA31" s="115">
        <v>9.5000000000000001E-2</v>
      </c>
      <c r="AB31" s="115">
        <v>3</v>
      </c>
      <c r="AC31" s="115"/>
      <c r="AD31" s="115"/>
      <c r="AE31" s="115" t="s">
        <v>79</v>
      </c>
      <c r="AF31" s="116">
        <v>7.8</v>
      </c>
    </row>
    <row r="32" spans="2:49" x14ac:dyDescent="0.3">
      <c r="R32" s="114">
        <v>4</v>
      </c>
      <c r="S32" s="115"/>
      <c r="T32" s="115"/>
      <c r="U32" s="115" t="s">
        <v>97</v>
      </c>
      <c r="V32" s="115">
        <v>0.20200000000000001</v>
      </c>
      <c r="W32" s="115">
        <v>29</v>
      </c>
      <c r="X32" s="115"/>
      <c r="Y32" s="115"/>
      <c r="Z32" s="115" t="s">
        <v>96</v>
      </c>
      <c r="AA32" s="115">
        <v>0.127</v>
      </c>
      <c r="AB32" s="115">
        <v>4</v>
      </c>
      <c r="AC32" s="115"/>
      <c r="AD32" s="115"/>
      <c r="AE32" s="115" t="s">
        <v>131</v>
      </c>
      <c r="AF32" s="116">
        <v>5.7</v>
      </c>
    </row>
    <row r="33" spans="18:32" x14ac:dyDescent="0.3">
      <c r="R33" s="114">
        <v>5</v>
      </c>
      <c r="S33" s="115"/>
      <c r="T33" s="115"/>
      <c r="U33" s="115" t="s">
        <v>14</v>
      </c>
      <c r="V33" s="115">
        <v>0.26</v>
      </c>
      <c r="W33" s="115">
        <v>28</v>
      </c>
      <c r="X33" s="115"/>
      <c r="Y33" s="115"/>
      <c r="Z33" s="115" t="s">
        <v>23</v>
      </c>
      <c r="AA33" s="115">
        <v>0.13900000000000001</v>
      </c>
      <c r="AB33" s="115">
        <v>5</v>
      </c>
      <c r="AC33" s="115"/>
      <c r="AD33" s="115"/>
      <c r="AE33" s="115" t="s">
        <v>15</v>
      </c>
      <c r="AF33" s="116">
        <v>5.3</v>
      </c>
    </row>
    <row r="34" spans="18:32" x14ac:dyDescent="0.3">
      <c r="R34" s="114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6"/>
    </row>
    <row r="35" spans="18:32" x14ac:dyDescent="0.3">
      <c r="R35" s="114" t="s">
        <v>116</v>
      </c>
      <c r="S35" s="115"/>
      <c r="T35" s="115"/>
      <c r="U35" s="115"/>
      <c r="V35" s="115"/>
      <c r="W35" s="115" t="s">
        <v>117</v>
      </c>
      <c r="X35" s="115"/>
      <c r="Y35" s="115"/>
      <c r="Z35" s="115"/>
      <c r="AA35" s="115"/>
      <c r="AB35" s="115" t="s">
        <v>43</v>
      </c>
      <c r="AC35" s="115"/>
      <c r="AD35" s="115"/>
      <c r="AE35" s="115"/>
      <c r="AF35" s="116"/>
    </row>
    <row r="36" spans="18:32" x14ac:dyDescent="0.3">
      <c r="R36" s="114" t="s">
        <v>41</v>
      </c>
      <c r="S36" s="115"/>
      <c r="T36" s="115" t="s">
        <v>19</v>
      </c>
      <c r="U36" s="115" t="s">
        <v>1</v>
      </c>
      <c r="V36" s="115" t="s">
        <v>110</v>
      </c>
      <c r="W36" s="115" t="s">
        <v>41</v>
      </c>
      <c r="X36" s="115"/>
      <c r="Y36" s="115" t="s">
        <v>19</v>
      </c>
      <c r="Z36" s="115" t="s">
        <v>1</v>
      </c>
      <c r="AA36" s="115" t="s">
        <v>110</v>
      </c>
      <c r="AB36" s="115" t="s">
        <v>41</v>
      </c>
      <c r="AC36" s="115"/>
      <c r="AD36" s="115" t="s">
        <v>19</v>
      </c>
      <c r="AE36" s="115" t="s">
        <v>1</v>
      </c>
      <c r="AF36" s="116" t="s">
        <v>21</v>
      </c>
    </row>
    <row r="37" spans="18:32" x14ac:dyDescent="0.3">
      <c r="R37" s="114">
        <v>1</v>
      </c>
      <c r="S37" s="115"/>
      <c r="T37" s="115"/>
      <c r="U37" s="115" t="s">
        <v>15</v>
      </c>
      <c r="V37" s="115">
        <v>2.7</v>
      </c>
      <c r="W37" s="115">
        <v>32</v>
      </c>
      <c r="X37" s="115"/>
      <c r="Y37" s="115"/>
      <c r="Z37" s="115" t="s">
        <v>79</v>
      </c>
      <c r="AA37" s="115">
        <v>-2.8</v>
      </c>
      <c r="AB37" s="115">
        <v>1</v>
      </c>
      <c r="AC37" s="115"/>
      <c r="AD37" s="115"/>
      <c r="AE37" s="115" t="s">
        <v>11</v>
      </c>
      <c r="AF37" s="116">
        <v>10</v>
      </c>
    </row>
    <row r="38" spans="18:32" x14ac:dyDescent="0.3">
      <c r="R38" s="114">
        <v>2</v>
      </c>
      <c r="S38" s="115"/>
      <c r="T38" s="115"/>
      <c r="U38" s="115" t="s">
        <v>100</v>
      </c>
      <c r="V38" s="115">
        <v>1.5</v>
      </c>
      <c r="W38" s="115">
        <v>31</v>
      </c>
      <c r="X38" s="115"/>
      <c r="Y38" s="115"/>
      <c r="Z38" s="115" t="s">
        <v>12</v>
      </c>
      <c r="AA38" s="115">
        <v>-2.8</v>
      </c>
      <c r="AB38" s="115">
        <v>2</v>
      </c>
      <c r="AC38" s="115"/>
      <c r="AD38" s="115"/>
      <c r="AE38" s="115" t="s">
        <v>15</v>
      </c>
      <c r="AF38" s="116">
        <v>8</v>
      </c>
    </row>
    <row r="39" spans="18:32" x14ac:dyDescent="0.3">
      <c r="R39" s="114">
        <v>3</v>
      </c>
      <c r="S39" s="115"/>
      <c r="T39" s="115"/>
      <c r="U39" s="115" t="s">
        <v>14</v>
      </c>
      <c r="V39" s="115">
        <v>1.2</v>
      </c>
      <c r="W39" s="115">
        <v>30</v>
      </c>
      <c r="X39" s="115"/>
      <c r="Y39" s="115"/>
      <c r="Z39" s="115" t="s">
        <v>31</v>
      </c>
      <c r="AA39" s="115">
        <v>-2.4</v>
      </c>
      <c r="AB39" s="115">
        <v>3</v>
      </c>
      <c r="AC39" s="115"/>
      <c r="AD39" s="115"/>
      <c r="AE39" s="115" t="s">
        <v>75</v>
      </c>
      <c r="AF39" s="116">
        <v>7</v>
      </c>
    </row>
    <row r="40" spans="18:32" x14ac:dyDescent="0.3">
      <c r="R40" s="114">
        <v>4</v>
      </c>
      <c r="S40" s="115"/>
      <c r="T40" s="115"/>
      <c r="U40" s="115" t="s">
        <v>97</v>
      </c>
      <c r="V40" s="115">
        <v>1.1000000000000001</v>
      </c>
      <c r="W40" s="115">
        <v>29</v>
      </c>
      <c r="X40" s="115"/>
      <c r="Y40" s="115"/>
      <c r="Z40" s="115" t="s">
        <v>46</v>
      </c>
      <c r="AA40" s="115">
        <v>-1.8</v>
      </c>
      <c r="AB40" s="115">
        <v>4</v>
      </c>
      <c r="AC40" s="115"/>
      <c r="AD40" s="115"/>
      <c r="AE40" s="115" t="s">
        <v>16</v>
      </c>
      <c r="AF40" s="116">
        <v>6</v>
      </c>
    </row>
    <row r="41" spans="18:32" x14ac:dyDescent="0.3">
      <c r="R41" s="114">
        <v>5</v>
      </c>
      <c r="S41" s="115"/>
      <c r="T41" s="115"/>
      <c r="U41" s="115" t="s">
        <v>82</v>
      </c>
      <c r="V41" s="115">
        <v>1</v>
      </c>
      <c r="W41" s="115">
        <v>28</v>
      </c>
      <c r="X41" s="115"/>
      <c r="Y41" s="115"/>
      <c r="Z41" s="115" t="s">
        <v>131</v>
      </c>
      <c r="AA41" s="115">
        <v>-1.7</v>
      </c>
      <c r="AB41" s="115">
        <v>5</v>
      </c>
      <c r="AC41" s="115"/>
      <c r="AD41" s="115"/>
      <c r="AE41" s="115" t="s">
        <v>79</v>
      </c>
      <c r="AF41" s="116">
        <v>5</v>
      </c>
    </row>
    <row r="42" spans="18:32" x14ac:dyDescent="0.3">
      <c r="R42" s="114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6"/>
    </row>
    <row r="43" spans="18:32" x14ac:dyDescent="0.3">
      <c r="R43" s="114" t="s">
        <v>118</v>
      </c>
      <c r="S43" s="115"/>
      <c r="T43" s="115"/>
      <c r="U43" s="115"/>
      <c r="V43" s="115"/>
      <c r="W43" s="115" t="s">
        <v>119</v>
      </c>
      <c r="X43" s="115"/>
      <c r="Y43" s="115"/>
      <c r="Z43" s="115"/>
      <c r="AA43" s="115"/>
      <c r="AB43" s="115" t="s">
        <v>42</v>
      </c>
      <c r="AC43" s="115"/>
      <c r="AD43" s="115"/>
      <c r="AE43" s="115"/>
      <c r="AF43" s="116"/>
    </row>
    <row r="44" spans="18:32" x14ac:dyDescent="0.3">
      <c r="R44" s="114" t="s">
        <v>41</v>
      </c>
      <c r="S44" s="115"/>
      <c r="T44" s="115" t="s">
        <v>19</v>
      </c>
      <c r="U44" s="115" t="s">
        <v>1</v>
      </c>
      <c r="V44" s="115" t="s">
        <v>56</v>
      </c>
      <c r="W44" s="115" t="s">
        <v>41</v>
      </c>
      <c r="X44" s="115"/>
      <c r="Y44" s="115" t="s">
        <v>19</v>
      </c>
      <c r="Z44" s="115" t="s">
        <v>1</v>
      </c>
      <c r="AA44" s="115" t="s">
        <v>56</v>
      </c>
      <c r="AB44" s="115" t="s">
        <v>41</v>
      </c>
      <c r="AC44" s="115"/>
      <c r="AD44" s="115" t="s">
        <v>19</v>
      </c>
      <c r="AE44" s="115" t="s">
        <v>1</v>
      </c>
      <c r="AF44" s="116" t="s">
        <v>20</v>
      </c>
    </row>
    <row r="45" spans="18:32" x14ac:dyDescent="0.3">
      <c r="R45" s="114">
        <v>1</v>
      </c>
      <c r="S45" s="115"/>
      <c r="T45" s="115"/>
      <c r="U45" s="115" t="s">
        <v>146</v>
      </c>
      <c r="V45" s="115">
        <v>174</v>
      </c>
      <c r="W45" s="115">
        <v>32</v>
      </c>
      <c r="X45" s="115"/>
      <c r="Y45" s="115"/>
      <c r="Z45" s="115" t="s">
        <v>126</v>
      </c>
      <c r="AA45" s="115">
        <v>266</v>
      </c>
      <c r="AB45" s="115">
        <v>1</v>
      </c>
      <c r="AC45" s="115"/>
      <c r="AD45" s="115"/>
      <c r="AE45" s="115" t="s">
        <v>11</v>
      </c>
      <c r="AF45" s="116">
        <v>200</v>
      </c>
    </row>
    <row r="46" spans="18:32" x14ac:dyDescent="0.3">
      <c r="R46" s="114">
        <v>1</v>
      </c>
      <c r="S46" s="115"/>
      <c r="T46" s="115"/>
      <c r="U46" s="115" t="s">
        <v>148</v>
      </c>
      <c r="V46" s="115">
        <v>174</v>
      </c>
      <c r="W46" s="115">
        <v>31</v>
      </c>
      <c r="X46" s="115"/>
      <c r="Y46" s="115"/>
      <c r="Z46" s="115" t="s">
        <v>31</v>
      </c>
      <c r="AA46" s="115">
        <v>249</v>
      </c>
      <c r="AB46" s="115">
        <v>2</v>
      </c>
      <c r="AC46" s="115"/>
      <c r="AD46" s="115"/>
      <c r="AE46" s="115" t="s">
        <v>75</v>
      </c>
      <c r="AF46" s="116">
        <v>182</v>
      </c>
    </row>
    <row r="47" spans="18:32" x14ac:dyDescent="0.3">
      <c r="R47" s="114">
        <v>3</v>
      </c>
      <c r="S47" s="115"/>
      <c r="T47" s="115"/>
      <c r="U47" s="115" t="s">
        <v>132</v>
      </c>
      <c r="V47" s="115">
        <v>198</v>
      </c>
      <c r="W47" s="115">
        <v>30</v>
      </c>
      <c r="X47" s="115"/>
      <c r="Y47" s="115"/>
      <c r="Z47" s="115" t="s">
        <v>23</v>
      </c>
      <c r="AA47" s="115">
        <v>246</v>
      </c>
      <c r="AB47" s="115">
        <v>3</v>
      </c>
      <c r="AC47" s="115"/>
      <c r="AD47" s="115"/>
      <c r="AE47" s="115" t="s">
        <v>79</v>
      </c>
      <c r="AF47" s="116">
        <v>171</v>
      </c>
    </row>
    <row r="48" spans="18:32" x14ac:dyDescent="0.3">
      <c r="R48" s="114">
        <v>4</v>
      </c>
      <c r="S48" s="115"/>
      <c r="T48" s="115"/>
      <c r="U48" s="115" t="s">
        <v>142</v>
      </c>
      <c r="V48" s="115">
        <v>199</v>
      </c>
      <c r="W48" s="115">
        <v>29</v>
      </c>
      <c r="X48" s="115"/>
      <c r="Y48" s="115"/>
      <c r="Z48" s="115" t="s">
        <v>24</v>
      </c>
      <c r="AA48" s="115">
        <v>245</v>
      </c>
      <c r="AB48" s="115">
        <v>4</v>
      </c>
      <c r="AC48" s="115"/>
      <c r="AD48" s="115"/>
      <c r="AE48" s="115" t="s">
        <v>131</v>
      </c>
      <c r="AF48" s="116">
        <v>131</v>
      </c>
    </row>
    <row r="49" spans="18:32" ht="15" thickBot="1" x14ac:dyDescent="0.35">
      <c r="R49" s="117">
        <v>5</v>
      </c>
      <c r="S49" s="118"/>
      <c r="T49" s="118"/>
      <c r="U49" s="118" t="s">
        <v>82</v>
      </c>
      <c r="V49" s="118">
        <v>203</v>
      </c>
      <c r="W49" s="118">
        <v>28</v>
      </c>
      <c r="X49" s="118"/>
      <c r="Y49" s="118"/>
      <c r="Z49" s="118" t="s">
        <v>3</v>
      </c>
      <c r="AA49" s="118">
        <v>244</v>
      </c>
      <c r="AB49" s="118">
        <v>5</v>
      </c>
      <c r="AC49" s="118"/>
      <c r="AD49" s="118"/>
      <c r="AE49" s="118" t="s">
        <v>15</v>
      </c>
      <c r="AF49" s="119">
        <v>113</v>
      </c>
    </row>
  </sheetData>
  <mergeCells count="11">
    <mergeCell ref="R1:AF1"/>
    <mergeCell ref="R26:AF26"/>
    <mergeCell ref="B2:F2"/>
    <mergeCell ref="G2:K2"/>
    <mergeCell ref="B10:F10"/>
    <mergeCell ref="B18:F18"/>
    <mergeCell ref="L2:P2"/>
    <mergeCell ref="G10:K10"/>
    <mergeCell ref="G18:K18"/>
    <mergeCell ref="L18:P18"/>
    <mergeCell ref="L10:P10"/>
  </mergeCells>
  <pageMargins left="0.25" right="0.25" top="0.75" bottom="0.75" header="0.3" footer="0.3"/>
  <pageSetup paperSize="9" scale="8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68BE614-E819-4D39-9764-9432F9CA3407}">
            <x14:iconSet iconSet="5Arrows" showValue="0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Arrows" iconId="0"/>
              <x14:cfIcon iconSet="3Triangles" iconId="0"/>
              <x14:cfIcon iconSet="NoIcons" iconId="0"/>
              <x14:cfIcon iconSet="3Triangles" iconId="2"/>
              <x14:cfIcon iconSet="3Arrows" iconId="2"/>
            </x14:iconSet>
          </x14:cfRule>
          <xm:sqref>C4:C8 C12:C16 C20:C24 H4:H8 H12:H16 H20:H24 M4:M8 M12:M16 M20:M24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72"/>
  <sheetViews>
    <sheetView showGridLines="0" workbookViewId="0">
      <pane ySplit="1" topLeftCell="A26" activePane="bottomLeft" state="frozen"/>
      <selection pane="bottomLeft" activeCell="C58" sqref="C58"/>
    </sheetView>
  </sheetViews>
  <sheetFormatPr defaultColWidth="8.88671875" defaultRowHeight="14.4" x14ac:dyDescent="0.3"/>
  <cols>
    <col min="1" max="1" width="8.88671875" style="4"/>
    <col min="2" max="2" width="10.88671875" style="4" bestFit="1" customWidth="1"/>
    <col min="3" max="4" width="8.88671875" style="4"/>
    <col min="7" max="10" width="8.88671875" style="4"/>
    <col min="11" max="15" width="8.88671875" style="5"/>
    <col min="16" max="19" width="8.88671875" style="4"/>
    <col min="23" max="23" width="8.88671875" style="4"/>
    <col min="24" max="24" width="8.88671875" style="6"/>
    <col min="26" max="16384" width="8.88671875" style="4"/>
  </cols>
  <sheetData>
    <row r="1" spans="1:30" ht="15.6" x14ac:dyDescent="0.35">
      <c r="A1" s="18" t="s">
        <v>0</v>
      </c>
      <c r="B1" s="18" t="s">
        <v>1</v>
      </c>
      <c r="C1" s="18" t="s">
        <v>136</v>
      </c>
      <c r="D1" s="50" t="s">
        <v>113</v>
      </c>
      <c r="E1" s="50" t="s">
        <v>49</v>
      </c>
      <c r="F1" s="50" t="s">
        <v>107</v>
      </c>
      <c r="G1" s="51" t="s">
        <v>20</v>
      </c>
      <c r="H1" s="51" t="s">
        <v>104</v>
      </c>
      <c r="I1" s="51" t="s">
        <v>21</v>
      </c>
      <c r="J1" s="51" t="s">
        <v>103</v>
      </c>
      <c r="K1" s="52" t="s">
        <v>22</v>
      </c>
      <c r="L1" s="52" t="s">
        <v>102</v>
      </c>
      <c r="M1" s="53" t="s">
        <v>90</v>
      </c>
      <c r="N1" s="53" t="s">
        <v>110</v>
      </c>
      <c r="O1" s="53" t="s">
        <v>115</v>
      </c>
      <c r="P1" s="51" t="s">
        <v>109</v>
      </c>
      <c r="Q1" s="51" t="s">
        <v>111</v>
      </c>
      <c r="R1" s="51" t="s">
        <v>105</v>
      </c>
      <c r="S1" s="51" t="s">
        <v>106</v>
      </c>
      <c r="T1" s="54" t="s">
        <v>56</v>
      </c>
      <c r="U1" s="51" t="s">
        <v>108</v>
      </c>
      <c r="V1" s="4"/>
      <c r="W1" s="4" t="s">
        <v>58</v>
      </c>
      <c r="X1" s="12">
        <f>INDEX(E:E,MATCH(0,A:A,0))</f>
        <v>100</v>
      </c>
      <c r="Y1" s="4"/>
      <c r="AA1" s="4" t="s">
        <v>183</v>
      </c>
      <c r="AB1" s="4" t="s">
        <v>184</v>
      </c>
    </row>
    <row r="2" spans="1:30" x14ac:dyDescent="0.3">
      <c r="A2" s="4">
        <v>10</v>
      </c>
      <c r="B2" s="4" t="s">
        <v>11</v>
      </c>
      <c r="C2" s="4">
        <v>1</v>
      </c>
      <c r="D2" s="4">
        <f t="array" ref="D2">MAX(IF(Sales!B:B=A2,Sales!C:C))</f>
        <v>27</v>
      </c>
      <c r="E2" s="4">
        <f>SUMIF(Sales!B:B,A2,Sales!E:E)</f>
        <v>2400</v>
      </c>
      <c r="F2" s="6">
        <f>IF($C2=0," ",COUNTIFS($C:$C,1,E:E,"&gt;"&amp;E2)+1)</f>
        <v>1</v>
      </c>
      <c r="G2" s="4">
        <f>SUMIF(Sales!B:B,A2,Sales!D:D)</f>
        <v>230</v>
      </c>
      <c r="H2" s="4">
        <f>IF($C2=0," ",COUNTIFS($C:$C,1,G:G,"&gt;"&amp;G2)+1)</f>
        <v>1</v>
      </c>
      <c r="I2" s="4">
        <f>SUMIF(Prizes!B:B,A2,Prizes!D:D)</f>
        <v>11</v>
      </c>
      <c r="J2" s="4">
        <f>IF($C2=0," ",COUNTIFS($C:$C,1,I:I,"&gt;"&amp;I2)+1)</f>
        <v>1</v>
      </c>
      <c r="K2" s="5">
        <f>SUMIF(Sales!B:B,A2,Sales!F:F)</f>
        <v>10.413020401542852</v>
      </c>
      <c r="L2" s="6">
        <f>IF($C2=0," ",COUNTIFS($C:$C,1,K:K,"&gt;"&amp;K2)+1)</f>
        <v>1</v>
      </c>
      <c r="M2" s="5">
        <f>SQRT(SUMIF(Sales!B:B,A2,Sales!G:G))</f>
        <v>3.0369382220261789</v>
      </c>
      <c r="N2" s="5">
        <f>I2-K2</f>
        <v>0.5869795984571482</v>
      </c>
      <c r="O2" s="6">
        <f>IF($C2=0," ",COUNTIFS($C:$C,1,N:N,"&gt;"&amp;N2)+1)</f>
        <v>10</v>
      </c>
      <c r="P2" s="5">
        <f>N2/M2</f>
        <v>0.19328005890930774</v>
      </c>
      <c r="Q2" s="4">
        <f>IF($C2=0," ",COUNTIFS($C:$C,1,P:P,"&gt;"&amp;P2)+1)</f>
        <v>11</v>
      </c>
      <c r="R2" s="16">
        <f>IF(I2&gt;K2,1-_xlfn.NORM.DIST(I2,K2,M2,1),_xlfn.NORM.DIST(I2,K2,M2,1))</f>
        <v>0.42336982127778078</v>
      </c>
      <c r="S2" s="30">
        <f>IF($C2=0," ",COUNTIFS($C:$C,1,R:R,"&gt;"&amp;R2)+1)</f>
        <v>4</v>
      </c>
      <c r="T2" s="6">
        <f>E2/K2</f>
        <v>230.48067779108572</v>
      </c>
      <c r="U2" s="4">
        <f>IF($C2=0," ",COUNTIFS($C:$C,1,T:T,"&lt;"&amp;T2)+1)</f>
        <v>26</v>
      </c>
      <c r="X2" s="4"/>
      <c r="Y2" s="4"/>
      <c r="AA2" s="4">
        <v>2</v>
      </c>
      <c r="AC2" s="4">
        <f>COUNTIFS(P:P,"&gt;"&amp;AA2,C:C,1)</f>
        <v>2</v>
      </c>
      <c r="AD2" s="16">
        <f t="shared" ref="AD2:AD7" si="0">AC2/AC$9</f>
        <v>6.0606060606060608E-2</v>
      </c>
    </row>
    <row r="3" spans="1:30" x14ac:dyDescent="0.3">
      <c r="A3" s="4">
        <v>12</v>
      </c>
      <c r="B3" s="4" t="s">
        <v>13</v>
      </c>
      <c r="C3" s="4">
        <v>1</v>
      </c>
      <c r="D3" s="4">
        <f t="array" ref="D3">MAX(IF(Sales!B:B=A3,Sales!C:C))</f>
        <v>27</v>
      </c>
      <c r="E3" s="4">
        <f>SUMIF(Sales!B:B,A3,Sales!E:E)</f>
        <v>580</v>
      </c>
      <c r="F3" s="6">
        <f>IF($C3=0," ",COUNTIFS($C:$C,1,E:E,"&gt;"&amp;E3)+1)</f>
        <v>15</v>
      </c>
      <c r="G3" s="4">
        <f>SUMIF(Sales!B:B,A3,Sales!D:D)</f>
        <v>53</v>
      </c>
      <c r="H3" s="4">
        <f>IF($C3=0," ",COUNTIFS($C:$C,1,G:G,"&gt;"&amp;G3)+1)</f>
        <v>16</v>
      </c>
      <c r="I3" s="4">
        <f>SUMIF(Prizes!B:B,A3,Prizes!D:D)</f>
        <v>3</v>
      </c>
      <c r="J3" s="4">
        <f>IF($C3=0," ",COUNTIFS($C:$C,1,I:I,"&gt;"&amp;I3)+1)</f>
        <v>11</v>
      </c>
      <c r="K3" s="5">
        <f>SUMIF(Sales!B:B,A3,Sales!F:F)</f>
        <v>2.4124504949731458</v>
      </c>
      <c r="L3" s="6">
        <f>IF($C3=0," ",COUNTIFS($C:$C,1,K:K,"&gt;"&amp;K3)+1)</f>
        <v>16</v>
      </c>
      <c r="M3" s="5">
        <f>SQRT(SUMIF(Sales!B:B,A3,Sales!G:G))</f>
        <v>1.4759243004093037</v>
      </c>
      <c r="N3" s="5">
        <f>I3-K3</f>
        <v>0.58754950502685421</v>
      </c>
      <c r="O3" s="6">
        <f>IF($C3=0," ",COUNTIFS($C:$C,1,N:N,"&gt;"&amp;N3)+1)</f>
        <v>9</v>
      </c>
      <c r="P3" s="5">
        <f>N3/M3</f>
        <v>0.39808918713779212</v>
      </c>
      <c r="Q3" s="4">
        <f>IF($C3=0," ",COUNTIFS($C:$C,1,P:P,"&gt;"&amp;P3)+1)</f>
        <v>10</v>
      </c>
      <c r="R3" s="16">
        <f>IF(I3&gt;K3,1-_xlfn.NORM.DIST(I3,K3,M3,1),_xlfn.NORM.DIST(I3,K3,M3,1))</f>
        <v>0.34528222227660921</v>
      </c>
      <c r="S3" s="30">
        <f>IF($C3=0," ",COUNTIFS($C:$C,1,R:R,"&gt;"&amp;R3)+1)</f>
        <v>7</v>
      </c>
      <c r="T3" s="6">
        <f>E3/K3</f>
        <v>240.41944123145885</v>
      </c>
      <c r="U3" s="4">
        <f>IF($C3=0," ",COUNTIFS($C:$C,1,T:T,"&lt;"&amp;T3)+1)</f>
        <v>27</v>
      </c>
      <c r="V3" s="4"/>
      <c r="X3" s="4"/>
      <c r="Y3" s="4"/>
      <c r="AA3" s="4">
        <v>1</v>
      </c>
      <c r="AB3" s="4">
        <v>2</v>
      </c>
      <c r="AC3" s="4">
        <f>COUNTIFS(P:P,"&gt;"&amp;AA3,P:P,"&lt;="&amp;AB3,C:C,1)</f>
        <v>4</v>
      </c>
      <c r="AD3" s="16">
        <f t="shared" si="0"/>
        <v>0.12121212121212122</v>
      </c>
    </row>
    <row r="4" spans="1:30" x14ac:dyDescent="0.3">
      <c r="A4" s="4">
        <v>15</v>
      </c>
      <c r="B4" s="4" t="s">
        <v>16</v>
      </c>
      <c r="C4" s="4">
        <v>1</v>
      </c>
      <c r="D4" s="4">
        <f t="array" ref="D4">MAX(IF(Sales!B:B=A4,Sales!C:C))</f>
        <v>27</v>
      </c>
      <c r="E4" s="4">
        <f>SUMIF(Sales!B:B,A4,Sales!E:E)</f>
        <v>1260</v>
      </c>
      <c r="F4" s="6">
        <f>IF($C4=0," ",COUNTIFS($C:$C,1,E:E,"&gt;"&amp;E4)+1)</f>
        <v>6</v>
      </c>
      <c r="G4" s="4">
        <f>SUMIF(Sales!B:B,A4,Sales!D:D)</f>
        <v>116</v>
      </c>
      <c r="H4" s="4">
        <f>IF($C4=0," ",COUNTIFS($C:$C,1,G:G,"&gt;"&amp;G4)+1)</f>
        <v>6</v>
      </c>
      <c r="I4" s="4">
        <f>SUMIF(Prizes!B:B,A4,Prizes!D:D)</f>
        <v>6</v>
      </c>
      <c r="J4" s="4">
        <f>IF($C4=0," ",COUNTIFS($C:$C,1,I:I,"&gt;"&amp;I4)+1)</f>
        <v>4</v>
      </c>
      <c r="K4" s="5">
        <f>SUMIF(Sales!B:B,A4,Sales!F:F)</f>
        <v>5.908156928662323</v>
      </c>
      <c r="L4" s="6">
        <f>IF($C4=0," ",COUNTIFS($C:$C,1,K:K,"&gt;"&amp;K4)+1)</f>
        <v>6</v>
      </c>
      <c r="M4" s="5">
        <f>SQRT(SUMIF(Sales!B:B,A4,Sales!G:G))</f>
        <v>2.2926817043208523</v>
      </c>
      <c r="N4" s="5">
        <f>I4-K4</f>
        <v>9.1843071337676996E-2</v>
      </c>
      <c r="O4" s="6">
        <f>IF($C4=0," ",COUNTIFS($C:$C,1,N:N,"&gt;"&amp;N4)+1)</f>
        <v>12</v>
      </c>
      <c r="P4" s="5">
        <f>N4/M4</f>
        <v>4.0059233326888322E-2</v>
      </c>
      <c r="Q4" s="4">
        <f>IF($C4=0," ",COUNTIFS($C:$C,1,P:P,"&gt;"&amp;P4)+1)</f>
        <v>12</v>
      </c>
      <c r="R4" s="16">
        <f>IF(I4&gt;K4,1-_xlfn.NORM.DIST(I4,K4,M4,1),_xlfn.NORM.DIST(I4,K4,M4,1))</f>
        <v>0.48402295139363349</v>
      </c>
      <c r="S4" s="30">
        <f>IF($C4=0," ",COUNTIFS($C:$C,1,R:R,"&gt;"&amp;R4)+1)</f>
        <v>1</v>
      </c>
      <c r="T4" s="6">
        <f>E4/K4</f>
        <v>213.26447743582176</v>
      </c>
      <c r="U4" s="4">
        <f>IF($C4=0," ",COUNTIFS($C:$C,1,T:T,"&lt;"&amp;T4)+1)</f>
        <v>14</v>
      </c>
      <c r="V4" s="4"/>
      <c r="X4" s="4"/>
      <c r="Y4" s="4"/>
      <c r="AA4" s="4">
        <v>0</v>
      </c>
      <c r="AB4" s="4">
        <v>1</v>
      </c>
      <c r="AC4" s="4">
        <f t="shared" ref="AC4:AC6" si="1">COUNTIFS(P:P,"&gt;"&amp;AA4,P:P,"&lt;="&amp;AB4,C:C,1)</f>
        <v>6</v>
      </c>
      <c r="AD4" s="16">
        <f t="shared" si="0"/>
        <v>0.18181818181818182</v>
      </c>
    </row>
    <row r="5" spans="1:30" x14ac:dyDescent="0.3">
      <c r="A5" s="4">
        <v>27</v>
      </c>
      <c r="B5" s="4" t="s">
        <v>142</v>
      </c>
      <c r="C5" s="4">
        <v>1</v>
      </c>
      <c r="D5" s="4">
        <f t="array" ref="D5">MAX(IF(Sales!B:B=A5,Sales!C:C))</f>
        <v>27</v>
      </c>
      <c r="E5" s="4">
        <f>SUMIF(Sales!B:B,A5,Sales!E:E)</f>
        <v>300</v>
      </c>
      <c r="F5" s="6">
        <f>IF($C5=0," ",COUNTIFS($C:$C,1,E:E,"&gt;"&amp;E5)+1)</f>
        <v>21</v>
      </c>
      <c r="G5" s="4">
        <f>SUMIF(Sales!B:B,A5,Sales!D:D)</f>
        <v>31</v>
      </c>
      <c r="H5" s="4">
        <f>IF($C5=0," ",COUNTIFS($C:$C,1,G:G,"&gt;"&amp;G5)+1)</f>
        <v>21</v>
      </c>
      <c r="I5" s="4">
        <f>SUMIF(Prizes!B:B,A5,Prizes!D:D)</f>
        <v>0</v>
      </c>
      <c r="J5" s="4">
        <f>IF($C5=0," ",COUNTIFS($C:$C,1,I:I,"&gt;"&amp;I5)+1)</f>
        <v>25</v>
      </c>
      <c r="K5" s="5">
        <f>SUMIF(Sales!B:B,A5,Sales!F:F)</f>
        <v>1.498695822893684</v>
      </c>
      <c r="L5" s="6">
        <f>IF($C5=0," ",COUNTIFS($C:$C,1,K:K,"&gt;"&amp;K5)+1)</f>
        <v>21</v>
      </c>
      <c r="M5" s="5">
        <f>SQRT(SUMIF(Sales!B:B,A5,Sales!G:G))</f>
        <v>1.1516228793139285</v>
      </c>
      <c r="N5" s="5">
        <f>I5-K5</f>
        <v>-1.498695822893684</v>
      </c>
      <c r="O5" s="6">
        <f>IF($C5=0," ",COUNTIFS($C:$C,1,N:N,"&gt;"&amp;N5)+1)</f>
        <v>27</v>
      </c>
      <c r="P5" s="5">
        <f>N5/M5</f>
        <v>-1.3013772562303745</v>
      </c>
      <c r="Q5" s="4">
        <f>IF($C5=0," ",COUNTIFS($C:$C,1,P:P,"&gt;"&amp;P5)+1)</f>
        <v>30</v>
      </c>
      <c r="R5" s="16">
        <f>IF(I5&gt;K5,1-_xlfn.NORM.DIST(I5,K5,M5,1),_xlfn.NORM.DIST(I5,K5,M5,1))</f>
        <v>9.6564677360626544E-2</v>
      </c>
      <c r="S5" s="30">
        <f>IF($C5=0," ",COUNTIFS($C:$C,1,R:R,"&gt;"&amp;R5)+1)</f>
        <v>27</v>
      </c>
      <c r="T5" s="6">
        <f>E5/K5</f>
        <v>200.17404160155701</v>
      </c>
      <c r="U5" s="4">
        <f>IF($C5=0," ",COUNTIFS($C:$C,1,T:T,"&lt;"&amp;T5)+1)</f>
        <v>6</v>
      </c>
      <c r="V5" s="4"/>
      <c r="X5" s="4"/>
      <c r="Y5" s="4"/>
      <c r="AA5" s="4">
        <v>-1</v>
      </c>
      <c r="AB5" s="4">
        <v>0</v>
      </c>
      <c r="AC5" s="4">
        <f t="shared" si="1"/>
        <v>15</v>
      </c>
      <c r="AD5" s="16">
        <f t="shared" si="0"/>
        <v>0.45454545454545453</v>
      </c>
    </row>
    <row r="6" spans="1:30" x14ac:dyDescent="0.3">
      <c r="A6" s="4">
        <v>33</v>
      </c>
      <c r="B6" s="4" t="s">
        <v>75</v>
      </c>
      <c r="C6" s="4">
        <v>1</v>
      </c>
      <c r="D6" s="4">
        <f t="array" ref="D6">MAX(IF(Sales!B:B=A6,Sales!C:C))</f>
        <v>27</v>
      </c>
      <c r="E6" s="4">
        <f>SUMIF(Sales!B:B,A6,Sales!E:E)</f>
        <v>2110</v>
      </c>
      <c r="F6" s="6">
        <f>IF($C6=0," ",COUNTIFS($C:$C,1,E:E,"&gt;"&amp;E6)+1)</f>
        <v>2</v>
      </c>
      <c r="G6" s="4">
        <f>SUMIF(Sales!B:B,A6,Sales!D:D)</f>
        <v>212</v>
      </c>
      <c r="H6" s="4">
        <f>IF($C6=0," ",COUNTIFS($C:$C,1,G:G,"&gt;"&amp;G6)+1)</f>
        <v>2</v>
      </c>
      <c r="I6" s="4">
        <f>SUMIF(Prizes!B:B,A6,Prizes!D:D)</f>
        <v>8</v>
      </c>
      <c r="J6" s="4">
        <f>IF($C6=0," ",COUNTIFS($C:$C,1,I:I,"&gt;"&amp;I6)+1)</f>
        <v>3</v>
      </c>
      <c r="K6" s="5">
        <f>SUMIF(Sales!B:B,A6,Sales!F:F)</f>
        <v>9.6182407984986078</v>
      </c>
      <c r="L6" s="6">
        <f>IF($C6=0," ",COUNTIFS($C:$C,1,K:K,"&gt;"&amp;K6)+1)</f>
        <v>2</v>
      </c>
      <c r="M6" s="5">
        <f>SQRT(SUMIF(Sales!B:B,A6,Sales!G:G))</f>
        <v>2.9118965244650763</v>
      </c>
      <c r="N6" s="5">
        <f>I6-K6</f>
        <v>-1.6182407984986078</v>
      </c>
      <c r="O6" s="6">
        <f>IF($C6=0," ",COUNTIFS($C:$C,1,N:N,"&gt;"&amp;N6)+1)</f>
        <v>28</v>
      </c>
      <c r="P6" s="5">
        <f>N6/M6</f>
        <v>-0.55573430748741437</v>
      </c>
      <c r="Q6" s="4">
        <f>IF($C6=0," ",COUNTIFS($C:$C,1,P:P,"&gt;"&amp;P6)+1)</f>
        <v>19</v>
      </c>
      <c r="R6" s="16">
        <f>IF(I6&gt;K6,1-_xlfn.NORM.DIST(I6,K6,M6,1),_xlfn.NORM.DIST(I6,K6,M6,1))</f>
        <v>0.28919624988063525</v>
      </c>
      <c r="S6" s="30">
        <f>IF($C6=0," ",COUNTIFS($C:$C,1,R:R,"&gt;"&amp;R6)+1)</f>
        <v>11</v>
      </c>
      <c r="T6" s="6">
        <f>E6/K6</f>
        <v>219.37483623090074</v>
      </c>
      <c r="U6" s="4">
        <f>IF($C6=0," ",COUNTIFS($C:$C,1,T:T,"&lt;"&amp;T6)+1)</f>
        <v>18</v>
      </c>
      <c r="V6" s="4"/>
      <c r="X6" s="4"/>
      <c r="Y6" s="4"/>
      <c r="AA6" s="4">
        <v>-2</v>
      </c>
      <c r="AB6" s="4">
        <v>-1</v>
      </c>
      <c r="AC6" s="4">
        <f t="shared" si="1"/>
        <v>6</v>
      </c>
      <c r="AD6" s="16">
        <f t="shared" si="0"/>
        <v>0.18181818181818182</v>
      </c>
    </row>
    <row r="7" spans="1:30" x14ac:dyDescent="0.3">
      <c r="A7" s="4">
        <v>35</v>
      </c>
      <c r="B7" s="4" t="s">
        <v>46</v>
      </c>
      <c r="C7" s="4">
        <v>1</v>
      </c>
      <c r="D7" s="4">
        <f t="array" ref="D7">MAX(IF(Sales!B:B=A7,Sales!C:C))</f>
        <v>27</v>
      </c>
      <c r="E7" s="4">
        <f>SUMIF(Sales!B:B,A7,Sales!E:E)</f>
        <v>950</v>
      </c>
      <c r="F7" s="6">
        <f>IF($C7=0," ",COUNTIFS($C:$C,1,E:E,"&gt;"&amp;E7)+1)</f>
        <v>8</v>
      </c>
      <c r="G7" s="4">
        <f>SUMIF(Sales!B:B,A7,Sales!D:D)</f>
        <v>96</v>
      </c>
      <c r="H7" s="4">
        <f>IF($C7=0," ",COUNTIFS($C:$C,1,G:G,"&gt;"&amp;G7)+1)</f>
        <v>8</v>
      </c>
      <c r="I7" s="4">
        <f>SUMIF(Prizes!B:B,A7,Prizes!D:D)</f>
        <v>2</v>
      </c>
      <c r="J7" s="4">
        <f>IF($C7=0," ",COUNTIFS($C:$C,1,I:I,"&gt;"&amp;I7)+1)</f>
        <v>13</v>
      </c>
      <c r="K7" s="5">
        <f>SUMIF(Sales!B:B,A7,Sales!F:F)</f>
        <v>4.5212612769474569</v>
      </c>
      <c r="L7" s="6">
        <f>IF($C7=0," ",COUNTIFS($C:$C,1,K:K,"&gt;"&amp;K7)+1)</f>
        <v>7</v>
      </c>
      <c r="M7" s="5">
        <f>SQRT(SUMIF(Sales!B:B,A7,Sales!G:G))</f>
        <v>2.0323974192131122</v>
      </c>
      <c r="N7" s="5">
        <f>I7-K7</f>
        <v>-2.5212612769474569</v>
      </c>
      <c r="O7" s="6">
        <f>IF($C7=0," ",COUNTIFS($C:$C,1,N:N,"&gt;"&amp;N7)+1)</f>
        <v>29</v>
      </c>
      <c r="P7" s="5">
        <f>N7/M7</f>
        <v>-1.2405355631299804</v>
      </c>
      <c r="Q7" s="4">
        <f>IF($C7=0," ",COUNTIFS($C:$C,1,P:P,"&gt;"&amp;P7)+1)</f>
        <v>29</v>
      </c>
      <c r="R7" s="16">
        <f>IF(I7&gt;K7,1-_xlfn.NORM.DIST(I7,K7,M7,1),_xlfn.NORM.DIST(I7,K7,M7,1))</f>
        <v>0.10738868437100026</v>
      </c>
      <c r="S7" s="30">
        <f>IF($C7=0," ",COUNTIFS($C:$C,1,R:R,"&gt;"&amp;R7)+1)</f>
        <v>26</v>
      </c>
      <c r="T7" s="6">
        <f>E7/K7</f>
        <v>210.11835897291814</v>
      </c>
      <c r="U7" s="4">
        <f>IF($C7=0," ",COUNTIFS($C:$C,1,T:T,"&lt;"&amp;T7)+1)</f>
        <v>12</v>
      </c>
      <c r="V7" s="4"/>
      <c r="X7" s="4"/>
      <c r="Y7" s="4"/>
      <c r="AB7" s="4">
        <v>-2</v>
      </c>
      <c r="AC7" s="4">
        <f>COUNTIFS(P:P,"&lt;"&amp;AB7,C:C,1)</f>
        <v>0</v>
      </c>
      <c r="AD7" s="16">
        <f t="shared" si="0"/>
        <v>0</v>
      </c>
    </row>
    <row r="8" spans="1:30" x14ac:dyDescent="0.3">
      <c r="A8" s="4">
        <v>37</v>
      </c>
      <c r="B8" s="4" t="s">
        <v>79</v>
      </c>
      <c r="C8" s="4">
        <v>1</v>
      </c>
      <c r="D8" s="4">
        <f t="array" ref="D8">MAX(IF(Sales!B:B=A8,Sales!C:C))</f>
        <v>27</v>
      </c>
      <c r="E8" s="4">
        <f>SUMIF(Sales!B:B,A8,Sales!E:E)</f>
        <v>2000</v>
      </c>
      <c r="F8" s="6">
        <f>IF($C8=0," ",COUNTIFS($C:$C,1,E:E,"&gt;"&amp;E8)+1)</f>
        <v>3</v>
      </c>
      <c r="G8" s="4">
        <f>SUMIF(Sales!B:B,A8,Sales!D:D)</f>
        <v>201</v>
      </c>
      <c r="H8" s="4">
        <f>IF($C8=0," ",COUNTIFS($C:$C,1,G:G,"&gt;"&amp;G8)+1)</f>
        <v>3</v>
      </c>
      <c r="I8" s="4">
        <f>SUMIF(Prizes!B:B,A8,Prizes!D:D)</f>
        <v>5</v>
      </c>
      <c r="J8" s="4">
        <f>IF($C8=0," ",COUNTIFS($C:$C,1,I:I,"&gt;"&amp;I8)+1)</f>
        <v>6</v>
      </c>
      <c r="K8" s="5">
        <f>SUMIF(Sales!B:B,A8,Sales!F:F)</f>
        <v>9.1878520049022665</v>
      </c>
      <c r="L8" s="6">
        <f>IF($C8=0," ",COUNTIFS($C:$C,1,K:K,"&gt;"&amp;K8)+1)</f>
        <v>3</v>
      </c>
      <c r="M8" s="5">
        <f>SQRT(SUMIF(Sales!B:B,A8,Sales!G:G))</f>
        <v>2.844540922857965</v>
      </c>
      <c r="N8" s="5">
        <f>I8-K8</f>
        <v>-4.1878520049022665</v>
      </c>
      <c r="O8" s="6">
        <f>IF($C8=0," ",COUNTIFS($C:$C,1,N:N,"&gt;"&amp;N8)+1)</f>
        <v>33</v>
      </c>
      <c r="P8" s="5">
        <f>N8/M8</f>
        <v>-1.4722417846935565</v>
      </c>
      <c r="Q8" s="4">
        <f>IF($C8=0," ",COUNTIFS($C:$C,1,P:P,"&gt;"&amp;P8)+1)</f>
        <v>32</v>
      </c>
      <c r="R8" s="16">
        <f>IF(I8&gt;K8,1-_xlfn.NORM.DIST(I8,K8,M8,1),_xlfn.NORM.DIST(I8,K8,M8,1))</f>
        <v>7.047779876791653E-2</v>
      </c>
      <c r="S8" s="30">
        <f>IF($C8=0," ",COUNTIFS($C:$C,1,R:R,"&gt;"&amp;R8)+1)</f>
        <v>29</v>
      </c>
      <c r="T8" s="6">
        <f>E8/K8</f>
        <v>217.67873480470527</v>
      </c>
      <c r="U8" s="4">
        <f>IF($C8=0," ",COUNTIFS($C:$C,1,T:T,"&lt;"&amp;T8)+1)</f>
        <v>17</v>
      </c>
      <c r="V8" s="4"/>
      <c r="X8" s="4"/>
      <c r="Y8" s="4"/>
    </row>
    <row r="9" spans="1:30" x14ac:dyDescent="0.3">
      <c r="A9" s="4">
        <v>43</v>
      </c>
      <c r="B9" s="4" t="s">
        <v>81</v>
      </c>
      <c r="C9" s="4">
        <v>1</v>
      </c>
      <c r="D9" s="4">
        <f t="array" ref="D9">MAX(IF(Sales!B:B=A9,Sales!C:C))</f>
        <v>27</v>
      </c>
      <c r="E9" s="8">
        <f>SUMIF(Sales!B:B,A9,Sales!E:E)</f>
        <v>450</v>
      </c>
      <c r="F9" s="28">
        <f>IF($C9=0," ",COUNTIFS($C:$C,1,E:E,"&gt;"&amp;E9)+1)</f>
        <v>18</v>
      </c>
      <c r="G9" s="8">
        <f>SUMIF(Sales!B:B,A9,Sales!D:D)</f>
        <v>45</v>
      </c>
      <c r="H9" s="8">
        <f>IF($C9=0," ",COUNTIFS($C:$C,1,G:G,"&gt;"&amp;G9)+1)</f>
        <v>18</v>
      </c>
      <c r="I9" s="8">
        <f>SUMIF(Prizes!B:B,A9,Prizes!D:D)</f>
        <v>2</v>
      </c>
      <c r="J9" s="8">
        <f>IF($C9=0," ",COUNTIFS($C:$C,1,I:I,"&gt;"&amp;I9)+1)</f>
        <v>13</v>
      </c>
      <c r="K9" s="9">
        <f>SUMIF(Sales!B:B,A9,Sales!F:F)</f>
        <v>2.1310935970168003</v>
      </c>
      <c r="L9" s="28">
        <f>IF($C9=0," ",COUNTIFS($C:$C,1,K:K,"&gt;"&amp;K9)+1)</f>
        <v>18</v>
      </c>
      <c r="M9" s="9">
        <f>SQRT(SUMIF(Sales!B:B,A9,Sales!G:G))</f>
        <v>1.4019473186337896</v>
      </c>
      <c r="N9" s="9">
        <f>I9-K9</f>
        <v>-0.13109359701680035</v>
      </c>
      <c r="O9" s="28">
        <f>IF($C9=0," ",COUNTIFS($C:$C,1,N:N,"&gt;"&amp;N9)+1)</f>
        <v>14</v>
      </c>
      <c r="P9" s="5">
        <f>N9/M9</f>
        <v>-9.3508219085259386E-2</v>
      </c>
      <c r="Q9" s="10">
        <f>IF($C9=0," ",COUNTIFS($C:$C,1,P:P,"&gt;"&amp;P9)+1)</f>
        <v>13</v>
      </c>
      <c r="R9" s="16">
        <f>IF(I9&gt;K9,1-_xlfn.NORM.DIST(I9,K9,M9,1),_xlfn.NORM.DIST(I9,K9,M9,1))</f>
        <v>0.46274991020997108</v>
      </c>
      <c r="S9" s="30">
        <f>IF($C9=0," ",COUNTIFS($C:$C,1,R:R,"&gt;"&amp;R9)+1)</f>
        <v>2</v>
      </c>
      <c r="T9" s="6">
        <f>E9/K9</f>
        <v>211.15919105098436</v>
      </c>
      <c r="U9" s="4">
        <f>IF($C9=0," ",COUNTIFS($C:$C,1,T:T,"&lt;"&amp;T9)+1)</f>
        <v>13</v>
      </c>
      <c r="V9" s="4"/>
      <c r="X9" s="4"/>
      <c r="Y9" s="4"/>
      <c r="AC9" s="4">
        <f>SUM(AC2:AC7)</f>
        <v>33</v>
      </c>
    </row>
    <row r="10" spans="1:30" x14ac:dyDescent="0.3">
      <c r="A10" s="4">
        <v>45</v>
      </c>
      <c r="B10" s="4" t="s">
        <v>96</v>
      </c>
      <c r="C10" s="4">
        <v>1</v>
      </c>
      <c r="D10" s="4">
        <f t="array" ref="D10">MAX(IF(Sales!B:B=A10,Sales!C:C))</f>
        <v>27</v>
      </c>
      <c r="E10" s="10">
        <f>SUMIF(Sales!B:B,A10,Sales!E:E)</f>
        <v>550</v>
      </c>
      <c r="F10" s="6">
        <f>IF($C10=0," ",COUNTIFS($C:$C,1,E:E,"&gt;"&amp;E10)+1)</f>
        <v>16</v>
      </c>
      <c r="G10" s="10">
        <f>SUMIF(Sales!B:B,A10,Sales!D:D)</f>
        <v>55</v>
      </c>
      <c r="H10" s="10">
        <f>IF($C10=0," ",COUNTIFS($C:$C,1,G:G,"&gt;"&amp;G10)+1)</f>
        <v>15</v>
      </c>
      <c r="I10" s="10">
        <f>SUMIF(Prizes!B:B,A10,Prizes!D:D)</f>
        <v>0</v>
      </c>
      <c r="J10" s="10">
        <f>IF($C10=0," ",COUNTIFS($C:$C,1,I:I,"&gt;"&amp;I10)+1)</f>
        <v>25</v>
      </c>
      <c r="K10" s="5">
        <f>SUMIF(Sales!B:B,A10,Sales!F:F)</f>
        <v>2.5531355101689064</v>
      </c>
      <c r="L10" s="6">
        <f>IF($C10=0," ",COUNTIFS($C:$C,1,K:K,"&gt;"&amp;K10)+1)</f>
        <v>14</v>
      </c>
      <c r="M10" s="5">
        <f>SQRT(SUMIF(Sales!B:B,A10,Sales!G:G))</f>
        <v>1.5152118763201954</v>
      </c>
      <c r="N10" s="5">
        <f>I10-K10</f>
        <v>-2.5531355101689064</v>
      </c>
      <c r="O10" s="6">
        <f>IF($C10=0," ",COUNTIFS($C:$C,1,N:N,"&gt;"&amp;N10)+1)</f>
        <v>31</v>
      </c>
      <c r="P10" s="5">
        <f>N10/M10</f>
        <v>-1.6850023089638035</v>
      </c>
      <c r="Q10" s="10">
        <f>IF($C10=0," ",COUNTIFS($C:$C,1,P:P,"&gt;"&amp;P10)+1)</f>
        <v>33</v>
      </c>
      <c r="R10" s="16">
        <f>IF(I10&gt;K10,1-_xlfn.NORM.DIST(I10,K10,M10,1),_xlfn.NORM.DIST(I10,K10,M10,1))</f>
        <v>4.5994063011389245E-2</v>
      </c>
      <c r="S10" s="30">
        <f>IF($C10=0," ",COUNTIFS($C:$C,1,R:R,"&gt;"&amp;R10)+1)</f>
        <v>30</v>
      </c>
      <c r="T10" s="6">
        <f>E10/K10</f>
        <v>215.42138982024261</v>
      </c>
      <c r="U10" s="10">
        <f>IF($C10=0," ",COUNTIFS($C:$C,1,T:T,"&lt;"&amp;T10)+1)</f>
        <v>15</v>
      </c>
      <c r="V10" s="4"/>
      <c r="X10" s="4"/>
      <c r="Y10" s="4"/>
    </row>
    <row r="11" spans="1:30" x14ac:dyDescent="0.3">
      <c r="A11" s="4">
        <v>47</v>
      </c>
      <c r="B11" s="4" t="s">
        <v>7</v>
      </c>
      <c r="C11" s="4">
        <v>1</v>
      </c>
      <c r="D11" s="4">
        <f t="array" ref="D11">MAX(IF(Sales!B:B=A11,Sales!C:C))</f>
        <v>27</v>
      </c>
      <c r="E11" s="26">
        <f>SUMIF(Sales!B:B,A11,Sales!E:E)</f>
        <v>600</v>
      </c>
      <c r="F11" s="29">
        <f>IF($C11=0," ",COUNTIFS($C:$C,1,E:E,"&gt;"&amp;E11)+1)</f>
        <v>14</v>
      </c>
      <c r="G11" s="26">
        <f>SUMIF(Sales!B:B,A11,Sales!D:D)</f>
        <v>60</v>
      </c>
      <c r="H11" s="26">
        <f>IF($C11=0," ",COUNTIFS($C:$C,1,G:G,"&gt;"&amp;G11)+1)</f>
        <v>14</v>
      </c>
      <c r="I11" s="26">
        <f>SUMIF(Prizes!B:B,A11,Prizes!D:D)</f>
        <v>2</v>
      </c>
      <c r="J11" s="26">
        <f>IF($C11=0," ",COUNTIFS($C:$C,1,I:I,"&gt;"&amp;I11)+1)</f>
        <v>13</v>
      </c>
      <c r="K11" s="27">
        <f>SUMIF(Sales!B:B,A11,Sales!F:F)</f>
        <v>2.4716542480878902</v>
      </c>
      <c r="L11" s="29">
        <f>IF($C11=0," ",COUNTIFS($C:$C,1,K:K,"&gt;"&amp;K11)+1)</f>
        <v>15</v>
      </c>
      <c r="M11" s="27">
        <f>SQRT(SUMIF(Sales!B:B,A11,Sales!G:G))</f>
        <v>1.4893316251306001</v>
      </c>
      <c r="N11" s="27">
        <f>I11-K11</f>
        <v>-0.47165424808789025</v>
      </c>
      <c r="O11" s="29">
        <f>IF($C11=0," ",COUNTIFS($C:$C,1,N:N,"&gt;"&amp;N11)+1)</f>
        <v>18</v>
      </c>
      <c r="P11" s="5">
        <f>N11/M11</f>
        <v>-0.31668853338592784</v>
      </c>
      <c r="Q11" s="10">
        <f>IF($C11=0," ",COUNTIFS($C:$C,1,P:P,"&gt;"&amp;P11)+1)</f>
        <v>16</v>
      </c>
      <c r="R11" s="16">
        <f>IF(I11&gt;K11,1-_xlfn.NORM.DIST(I11,K11,M11,1),_xlfn.NORM.DIST(I11,K11,M11,1))</f>
        <v>0.37573997516928714</v>
      </c>
      <c r="S11" s="30">
        <f>IF($C11=0," ",COUNTIFS($C:$C,1,R:R,"&gt;"&amp;R11)+1)</f>
        <v>6</v>
      </c>
      <c r="T11" s="6">
        <f>E11/K11</f>
        <v>242.75239971940624</v>
      </c>
      <c r="U11" s="10">
        <f>IF($C11=0," ",COUNTIFS($C:$C,1,T:T,"&lt;"&amp;T11)+1)</f>
        <v>28</v>
      </c>
      <c r="V11" s="4"/>
      <c r="X11" s="4"/>
      <c r="Y11" s="4"/>
    </row>
    <row r="12" spans="1:30" x14ac:dyDescent="0.3">
      <c r="A12" s="4">
        <v>54</v>
      </c>
      <c r="B12" s="4" t="s">
        <v>134</v>
      </c>
      <c r="C12" s="4">
        <v>1</v>
      </c>
      <c r="D12" s="26">
        <f t="array" ref="D12">MAX(IF(Sales!B:B=A12,Sales!C:C))</f>
        <v>27</v>
      </c>
      <c r="E12" s="26">
        <f>SUMIF(Sales!B:B,A12,Sales!E:E)</f>
        <v>250</v>
      </c>
      <c r="F12" s="29">
        <f>IF($C12=0," ",COUNTIFS($C:$C,1,E:E,"&gt;"&amp;E12)+1)</f>
        <v>22</v>
      </c>
      <c r="G12" s="26">
        <f>SUMIF(Sales!B:B,A12,Sales!D:D)</f>
        <v>25</v>
      </c>
      <c r="H12" s="26">
        <f>IF($C12=0," ",COUNTIFS($C:$C,1,G:G,"&gt;"&amp;G12)+1)</f>
        <v>22</v>
      </c>
      <c r="I12" s="26">
        <f>SUMIF(Prizes!B:B,A12,Prizes!D:D)</f>
        <v>1</v>
      </c>
      <c r="J12" s="26">
        <f>IF($C12=0," ",COUNTIFS($C:$C,1,I:I,"&gt;"&amp;I12)+1)</f>
        <v>20</v>
      </c>
      <c r="K12" s="27">
        <f>SUMIF(Sales!B:B,A12,Sales!F:F)</f>
        <v>1.1328172680017672</v>
      </c>
      <c r="L12" s="29">
        <f>IF($C12=0," ",COUNTIFS($C:$C,1,K:K,"&gt;"&amp;K12)+1)</f>
        <v>22</v>
      </c>
      <c r="M12" s="27">
        <f>SQRT(SUMIF(Sales!B:B,A12,Sales!G:G))</f>
        <v>1.0232160127388246</v>
      </c>
      <c r="N12" s="27">
        <f>I12-K12</f>
        <v>-0.13281726800176719</v>
      </c>
      <c r="O12" s="29">
        <f>IF($C12=0," ",COUNTIFS($C:$C,1,N:N,"&gt;"&amp;N12)+1)</f>
        <v>15</v>
      </c>
      <c r="P12" s="27">
        <f>N12/M12</f>
        <v>-0.12980374265865671</v>
      </c>
      <c r="Q12" s="10">
        <f>IF($C12=0," ",COUNTIFS($C:$C,1,P:P,"&gt;"&amp;P12)+1)</f>
        <v>14</v>
      </c>
      <c r="R12" s="16">
        <f>IF(I12&gt;K12,1-_xlfn.NORM.DIST(I12,K12,M12,1),_xlfn.NORM.DIST(I12,K12,M12,1))</f>
        <v>0.44836085087830485</v>
      </c>
      <c r="S12" s="41">
        <f>IF($C12=0," ",COUNTIFS($C:$C,1,R:R,"&gt;"&amp;R12)+1)</f>
        <v>3</v>
      </c>
      <c r="T12" s="6">
        <f>E12/K12</f>
        <v>220.68872629474254</v>
      </c>
      <c r="U12" s="10">
        <f>IF($C12=0," ",COUNTIFS($C:$C,1,T:T,"&lt;"&amp;T12)+1)</f>
        <v>20</v>
      </c>
      <c r="V12" s="4"/>
      <c r="X12" s="4"/>
      <c r="Y12" s="4"/>
    </row>
    <row r="13" spans="1:30" x14ac:dyDescent="0.3">
      <c r="A13" s="4">
        <v>61</v>
      </c>
      <c r="B13" s="4" t="s">
        <v>146</v>
      </c>
      <c r="C13" s="4">
        <v>1</v>
      </c>
      <c r="D13" s="45">
        <f t="array" ref="D13">MAX(IF(Sales!B:B=A13,Sales!C:C))</f>
        <v>27</v>
      </c>
      <c r="E13" s="45">
        <f>SUMIF(Sales!B:B,A13,Sales!E:E)</f>
        <v>190</v>
      </c>
      <c r="F13" s="46">
        <f>IF($C13=0," ",COUNTIFS($C:$C,1,E:E,"&gt;"&amp;E13)+1)</f>
        <v>23</v>
      </c>
      <c r="G13" s="45">
        <f>SUMIF(Sales!B:B,A13,Sales!D:D)</f>
        <v>19</v>
      </c>
      <c r="H13" s="45">
        <f>IF($C13=0," ",COUNTIFS($C:$C,1,G:G,"&gt;"&amp;G13)+1)</f>
        <v>23</v>
      </c>
      <c r="I13" s="45">
        <f>SUMIF(Prizes!B:B,A13,Prizes!D:D)</f>
        <v>2</v>
      </c>
      <c r="J13" s="45">
        <f>IF($C13=0," ",COUNTIFS($C:$C,1,I:I,"&gt;"&amp;I13)+1)</f>
        <v>13</v>
      </c>
      <c r="K13" s="47">
        <f>SUMIF(Sales!B:B,A13,Sales!F:F)</f>
        <v>0.88190583217853002</v>
      </c>
      <c r="L13" s="46">
        <f>IF($C13=0," ",COUNTIFS($C:$C,1,K:K,"&gt;"&amp;K13)+1)</f>
        <v>23</v>
      </c>
      <c r="M13" s="47">
        <f>SQRT(SUMIF(Sales!B:B,A13,Sales!G:G))</f>
        <v>0.90261676172469207</v>
      </c>
      <c r="N13" s="47">
        <f>I13-K13</f>
        <v>1.11809416782147</v>
      </c>
      <c r="O13" s="46">
        <f>IF($C13=0," ",COUNTIFS($C:$C,1,N:N,"&gt;"&amp;N13)+1)</f>
        <v>7</v>
      </c>
      <c r="P13" s="47">
        <f>N13/M13</f>
        <v>1.2387252433525058</v>
      </c>
      <c r="Q13" s="10">
        <f>IF($C13=0," ",COUNTIFS($C:$C,1,P:P,"&gt;"&amp;P13)+1)</f>
        <v>4</v>
      </c>
      <c r="R13" s="16">
        <f>IF(I13&gt;K13,1-_xlfn.NORM.DIST(I13,K13,M13,1),_xlfn.NORM.DIST(I13,K13,M13,1))</f>
        <v>0.10772363346198055</v>
      </c>
      <c r="S13" s="48">
        <f>IF($C13=0," ",COUNTIFS($C:$C,1,R:R,"&gt;"&amp;R13)+1)</f>
        <v>25</v>
      </c>
      <c r="T13" s="6">
        <f>E13/K13</f>
        <v>215.44250311924125</v>
      </c>
      <c r="U13" s="10">
        <f>IF($C13=0," ",COUNTIFS($C:$C,1,T:T,"&lt;"&amp;T13)+1)</f>
        <v>16</v>
      </c>
      <c r="V13" s="4"/>
      <c r="X13" s="4"/>
      <c r="Y13" s="4"/>
    </row>
    <row r="14" spans="1:30" x14ac:dyDescent="0.3">
      <c r="A14" s="4">
        <v>63</v>
      </c>
      <c r="B14" s="4" t="s">
        <v>148</v>
      </c>
      <c r="C14" s="4">
        <v>1</v>
      </c>
      <c r="D14" s="45">
        <f t="array" ref="D14">MAX(IF(Sales!B:B=A14,Sales!C:C))</f>
        <v>27</v>
      </c>
      <c r="E14" s="45">
        <f>SUMIF(Sales!B:B,A14,Sales!E:E)</f>
        <v>150</v>
      </c>
      <c r="F14" s="46">
        <f>IF($C14=0," ",COUNTIFS($C:$C,1,E:E,"&gt;"&amp;E14)+1)</f>
        <v>24</v>
      </c>
      <c r="G14" s="45">
        <f>SUMIF(Sales!B:B,A14,Sales!D:D)</f>
        <v>15</v>
      </c>
      <c r="H14" s="45">
        <f>IF($C14=0," ",COUNTIFS($C:$C,1,G:G,"&gt;"&amp;G14)+1)</f>
        <v>24</v>
      </c>
      <c r="I14" s="45">
        <f>SUMIF(Prizes!B:B,A14,Prizes!D:D)</f>
        <v>0</v>
      </c>
      <c r="J14" s="45">
        <f>IF($C14=0," ",COUNTIFS($C:$C,1,I:I,"&gt;"&amp;I14)+1)</f>
        <v>25</v>
      </c>
      <c r="K14" s="47">
        <f>SUMIF(Sales!B:B,A14,Sales!F:F)</f>
        <v>0.83038325748942032</v>
      </c>
      <c r="L14" s="46">
        <f>IF($C14=0," ",COUNTIFS($C:$C,1,K:K,"&gt;"&amp;K14)+1)</f>
        <v>24</v>
      </c>
      <c r="M14" s="47">
        <f>SQRT(SUMIF(Sales!B:B,A14,Sales!G:G))</f>
        <v>0.87099819594189543</v>
      </c>
      <c r="N14" s="47">
        <f>I14-K14</f>
        <v>-0.83038325748942032</v>
      </c>
      <c r="O14" s="46">
        <f>IF($C14=0," ",COUNTIFS($C:$C,1,N:N,"&gt;"&amp;N14)+1)</f>
        <v>24</v>
      </c>
      <c r="P14" s="47">
        <f>N14/M14</f>
        <v>-0.95336966409149193</v>
      </c>
      <c r="Q14" s="10">
        <f>IF($C14=0," ",COUNTIFS($C:$C,1,P:P,"&gt;"&amp;P14)+1)</f>
        <v>27</v>
      </c>
      <c r="R14" s="16">
        <f>IF(I14&gt;K14,1-_xlfn.NORM.DIST(I14,K14,M14,1),_xlfn.NORM.DIST(I14,K14,M14,1))</f>
        <v>0.17020140303938389</v>
      </c>
      <c r="S14" s="48">
        <f>IF($C14=0," ",COUNTIFS($C:$C,1,R:R,"&gt;"&amp;R14)+1)</f>
        <v>21</v>
      </c>
      <c r="T14" s="6">
        <f>E14/K14</f>
        <v>180.63948020039544</v>
      </c>
      <c r="U14" s="10">
        <f>IF($C14=0," ",COUNTIFS($C:$C,1,T:T,"&lt;"&amp;T14)+1)</f>
        <v>3</v>
      </c>
      <c r="V14" s="4"/>
      <c r="X14" s="4"/>
      <c r="Y14" s="4"/>
    </row>
    <row r="15" spans="1:30" x14ac:dyDescent="0.3">
      <c r="A15" s="4">
        <v>66</v>
      </c>
      <c r="B15" s="4" t="s">
        <v>205</v>
      </c>
      <c r="C15" s="4">
        <v>1</v>
      </c>
      <c r="D15" s="45">
        <f t="array" ref="D15">MAX(IF(Sales!B:B=A15,Sales!C:C))</f>
        <v>27</v>
      </c>
      <c r="E15" s="45">
        <f>SUMIF(Sales!B:B,A15,Sales!E:E)</f>
        <v>100</v>
      </c>
      <c r="F15" s="46">
        <f>IF($C15=0," ",COUNTIFS($C:$C,1,E:E,"&gt;"&amp;E15)+1)</f>
        <v>28</v>
      </c>
      <c r="G15" s="45">
        <f>SUMIF(Sales!B:B,A15,Sales!D:D)</f>
        <v>10</v>
      </c>
      <c r="H15" s="45">
        <f>IF($C15=0," ",COUNTIFS($C:$C,1,G:G,"&gt;"&amp;G15)+1)</f>
        <v>28</v>
      </c>
      <c r="I15" s="45">
        <f>SUMIF(Prizes!B:B,A15,Prizes!D:D)</f>
        <v>0</v>
      </c>
      <c r="J15" s="45">
        <f>IF($C15=0," ",COUNTIFS($C:$C,1,I:I,"&gt;"&amp;I15)+1)</f>
        <v>25</v>
      </c>
      <c r="K15" s="47">
        <f>SUMIF(Sales!B:B,A15,Sales!F:F)</f>
        <v>0.54205153135634421</v>
      </c>
      <c r="L15" s="46">
        <f>IF($C15=0," ",COUNTIFS($C:$C,1,K:K,"&gt;"&amp;K15)+1)</f>
        <v>27</v>
      </c>
      <c r="M15" s="47">
        <f>SQRT(SUMIF(Sales!B:B,A15,Sales!G:G))</f>
        <v>0.70455633043844934</v>
      </c>
      <c r="N15" s="47">
        <f>I15-K15</f>
        <v>-0.54205153135634421</v>
      </c>
      <c r="O15" s="46">
        <f>IF($C15=0," ",COUNTIFS($C:$C,1,N:N,"&gt;"&amp;N15)+1)</f>
        <v>19</v>
      </c>
      <c r="P15" s="47">
        <f>N15/M15</f>
        <v>-0.76935158757146149</v>
      </c>
      <c r="Q15" s="10">
        <f>IF($C15=0," ",COUNTIFS($C:$C,1,P:P,"&gt;"&amp;P15)+1)</f>
        <v>24</v>
      </c>
      <c r="R15" s="16">
        <f>IF(I15&gt;K15,1-_xlfn.NORM.DIST(I15,K15,M15,1),_xlfn.NORM.DIST(I15,K15,M15,1))</f>
        <v>0.2208423100720007</v>
      </c>
      <c r="S15" s="48">
        <f>IF($C15=0," ",COUNTIFS($C:$C,1,R:R,"&gt;"&amp;R15)+1)</f>
        <v>17</v>
      </c>
      <c r="T15" s="6">
        <f>E15/K15</f>
        <v>184.48430493273543</v>
      </c>
      <c r="U15" s="10">
        <f>IF($C15=0," ",COUNTIFS($C:$C,1,T:T,"&lt;"&amp;T15)+1)</f>
        <v>4</v>
      </c>
      <c r="V15" s="4"/>
      <c r="X15" s="4"/>
      <c r="Y15" s="4"/>
    </row>
    <row r="16" spans="1:30" x14ac:dyDescent="0.3">
      <c r="A16" s="4">
        <v>67</v>
      </c>
      <c r="B16" s="4" t="s">
        <v>207</v>
      </c>
      <c r="C16" s="4">
        <v>1</v>
      </c>
      <c r="D16" s="45" cm="1">
        <f t="array" ref="D16">MAX(IF(Sales!B:B=A16,Sales!C:C))</f>
        <v>27</v>
      </c>
      <c r="E16" s="45">
        <f>SUMIF(Sales!B:B,A16,Sales!E:E)</f>
        <v>50</v>
      </c>
      <c r="F16" s="46">
        <f>IF($C16=0," ",COUNTIFS($C:$C,1,E:E,"&gt;"&amp;E16)+1)</f>
        <v>30</v>
      </c>
      <c r="G16" s="45">
        <f>SUMIF(Sales!B:B,A16,Sales!D:D)</f>
        <v>5</v>
      </c>
      <c r="H16" s="45">
        <f>IF($C16=0," ",COUNTIFS($C:$C,1,G:G,"&gt;"&amp;G16)+1)</f>
        <v>30</v>
      </c>
      <c r="I16" s="45">
        <f>SUMIF(Prizes!B:B,A16,Prizes!D:D)</f>
        <v>2</v>
      </c>
      <c r="J16" s="45">
        <f>IF($C16=0," ",COUNTIFS($C:$C,1,I:I,"&gt;"&amp;I16)+1)</f>
        <v>13</v>
      </c>
      <c r="K16" s="47">
        <f>SUMIF(Sales!B:B,A16,Sales!F:F)</f>
        <v>0.24793388429752067</v>
      </c>
      <c r="L16" s="46">
        <f>IF($C16=0," ",COUNTIFS($C:$C,1,K:K,"&gt;"&amp;K16)+1)</f>
        <v>30</v>
      </c>
      <c r="M16" s="47">
        <f>SQRT(SUMIF(Sales!B:B,A16,Sales!G:G))</f>
        <v>0.47726825513986476</v>
      </c>
      <c r="N16" s="47">
        <f>I16-K16</f>
        <v>1.7520661157024793</v>
      </c>
      <c r="O16" s="46">
        <f>IF($C16=0," ",COUNTIFS($C:$C,1,N:N,"&gt;"&amp;N16)+1)</f>
        <v>4</v>
      </c>
      <c r="P16" s="47">
        <f>N16/M16</f>
        <v>3.671030069219734</v>
      </c>
      <c r="Q16" s="10">
        <f>IF($C16=0," ",COUNTIFS($C:$C,1,P:P,"&gt;"&amp;P16)+1)</f>
        <v>2</v>
      </c>
      <c r="R16" s="16">
        <f>IF(I16&gt;K16,1-_xlfn.NORM.DIST(I16,K16,M16,1),_xlfn.NORM.DIST(I16,K16,M16,1))</f>
        <v>1.2078745731658458E-4</v>
      </c>
      <c r="S16" s="48">
        <f>IF($C16=0," ",COUNTIFS($C:$C,1,R:R,"&gt;"&amp;R16)+1)</f>
        <v>32</v>
      </c>
      <c r="T16" s="6">
        <f>E16/K16</f>
        <v>201.66666666666666</v>
      </c>
      <c r="U16" s="10">
        <f>IF($C16=0," ",COUNTIFS($C:$C,1,T:T,"&lt;"&amp;T16)+1)</f>
        <v>7</v>
      </c>
      <c r="V16" s="4"/>
      <c r="X16" s="4"/>
      <c r="Y16" s="4"/>
    </row>
    <row r="17" spans="1:25" x14ac:dyDescent="0.3">
      <c r="A17" s="4">
        <v>68</v>
      </c>
      <c r="B17" s="4" t="s">
        <v>208</v>
      </c>
      <c r="C17" s="4">
        <v>0</v>
      </c>
      <c r="D17" s="45" cm="1">
        <f t="array" ref="D17">MAX(IF(Sales!B:B=A17,Sales!C:C))</f>
        <v>27</v>
      </c>
      <c r="E17" s="45">
        <f>SUMIF(Sales!B:B,A17,Sales!E:E)</f>
        <v>50</v>
      </c>
      <c r="F17" s="46" t="str">
        <f>IF($C17=0," ",COUNTIFS($C:$C,1,E:E,"&gt;"&amp;E17)+1)</f>
        <v xml:space="preserve"> </v>
      </c>
      <c r="G17" s="45">
        <f>SUMIF(Sales!B:B,A17,Sales!D:D)</f>
        <v>5</v>
      </c>
      <c r="H17" s="45" t="str">
        <f>IF($C17=0," ",COUNTIFS($C:$C,1,G:G,"&gt;"&amp;G17)+1)</f>
        <v xml:space="preserve"> </v>
      </c>
      <c r="I17" s="45">
        <f>SUMIF(Prizes!B:B,A17,Prizes!D:D)</f>
        <v>0</v>
      </c>
      <c r="J17" s="45" t="str">
        <f>IF($C17=0," ",COUNTIFS($C:$C,1,I:I,"&gt;"&amp;I17)+1)</f>
        <v xml:space="preserve"> </v>
      </c>
      <c r="K17" s="47">
        <f>SUMIF(Sales!B:B,A17,Sales!F:F)</f>
        <v>0.24793388429752067</v>
      </c>
      <c r="L17" s="46" t="str">
        <f>IF($C17=0," ",COUNTIFS($C:$C,1,K:K,"&gt;"&amp;K17)+1)</f>
        <v xml:space="preserve"> </v>
      </c>
      <c r="M17" s="47">
        <f>SQRT(SUMIF(Sales!B:B,A17,Sales!G:G))</f>
        <v>0.47726825513986476</v>
      </c>
      <c r="N17" s="47">
        <f>I17-K17</f>
        <v>-0.24793388429752067</v>
      </c>
      <c r="O17" s="46" t="str">
        <f>IF($C17=0," ",COUNTIFS($C:$C,1,N:N,"&gt;"&amp;N17)+1)</f>
        <v xml:space="preserve"> </v>
      </c>
      <c r="P17" s="47">
        <f>N17/M17</f>
        <v>-0.51948538715373593</v>
      </c>
      <c r="Q17" s="10" t="str">
        <f>IF($C17=0," ",COUNTIFS($C:$C,1,P:P,"&gt;"&amp;P17)+1)</f>
        <v xml:space="preserve"> </v>
      </c>
      <c r="R17" s="16">
        <f>IF(I17&gt;K17,1-_xlfn.NORM.DIST(I17,K17,M17,1),_xlfn.NORM.DIST(I17,K17,M17,1))</f>
        <v>0.30171115026048501</v>
      </c>
      <c r="S17" s="48" t="str">
        <f>IF($C17=0," ",COUNTIFS($C:$C,1,R:R,"&gt;"&amp;R17)+1)</f>
        <v xml:space="preserve"> </v>
      </c>
      <c r="T17" s="6">
        <f>E17/K17</f>
        <v>201.66666666666666</v>
      </c>
      <c r="U17" s="10" t="str">
        <f>IF($C17=0," ",COUNTIFS($C:$C,1,T:T,"&lt;"&amp;T17)+1)</f>
        <v xml:space="preserve"> </v>
      </c>
      <c r="V17" s="4"/>
      <c r="X17" s="4"/>
      <c r="Y17" s="4"/>
    </row>
    <row r="18" spans="1:25" x14ac:dyDescent="0.3">
      <c r="A18" s="4">
        <v>69</v>
      </c>
      <c r="B18" s="4" t="s">
        <v>209</v>
      </c>
      <c r="C18" s="4">
        <v>1</v>
      </c>
      <c r="D18" s="45" cm="1">
        <f t="array" ref="D18">MAX(IF(Sales!B:B=A18,Sales!C:C))</f>
        <v>27</v>
      </c>
      <c r="E18" s="45">
        <f>SUMIF(Sales!B:B,A18,Sales!E:E)</f>
        <v>50</v>
      </c>
      <c r="F18" s="46">
        <f>IF($C18=0," ",COUNTIFS($C:$C,1,E:E,"&gt;"&amp;E18)+1)</f>
        <v>30</v>
      </c>
      <c r="G18" s="45">
        <f>SUMIF(Sales!B:B,A18,Sales!D:D)</f>
        <v>5</v>
      </c>
      <c r="H18" s="45">
        <f>IF($C18=0," ",COUNTIFS($C:$C,1,G:G,"&gt;"&amp;G18)+1)</f>
        <v>30</v>
      </c>
      <c r="I18" s="45">
        <f>SUMIF(Prizes!B:B,A18,Prizes!D:D)</f>
        <v>0</v>
      </c>
      <c r="J18" s="45">
        <f>IF($C18=0," ",COUNTIFS($C:$C,1,I:I,"&gt;"&amp;I18)+1)</f>
        <v>25</v>
      </c>
      <c r="K18" s="47">
        <f>SUMIF(Sales!B:B,A18,Sales!F:F)</f>
        <v>0.24793388429752067</v>
      </c>
      <c r="L18" s="46">
        <f>IF($C18=0," ",COUNTIFS($C:$C,1,K:K,"&gt;"&amp;K18)+1)</f>
        <v>30</v>
      </c>
      <c r="M18" s="47">
        <f>SQRT(SUMIF(Sales!B:B,A18,Sales!G:G))</f>
        <v>0.47726825513986476</v>
      </c>
      <c r="N18" s="47">
        <f>I18-K18</f>
        <v>-0.24793388429752067</v>
      </c>
      <c r="O18" s="46">
        <f>IF($C18=0," ",COUNTIFS($C:$C,1,N:N,"&gt;"&amp;N18)+1)</f>
        <v>16</v>
      </c>
      <c r="P18" s="47">
        <f>N18/M18</f>
        <v>-0.51948538715373593</v>
      </c>
      <c r="Q18" s="10">
        <f>IF($C18=0," ",COUNTIFS($C:$C,1,P:P,"&gt;"&amp;P18)+1)</f>
        <v>17</v>
      </c>
      <c r="R18" s="16">
        <f>IF(I18&gt;K18,1-_xlfn.NORM.DIST(I18,K18,M18,1),_xlfn.NORM.DIST(I18,K18,M18,1))</f>
        <v>0.30171115026048501</v>
      </c>
      <c r="S18" s="48">
        <f>IF($C18=0," ",COUNTIFS($C:$C,1,R:R,"&gt;"&amp;R18)+1)</f>
        <v>8</v>
      </c>
      <c r="T18" s="6">
        <f>E18/K18</f>
        <v>201.66666666666666</v>
      </c>
      <c r="U18" s="10">
        <f>IF($C18=0," ",COUNTIFS($C:$C,1,T:T,"&lt;"&amp;T18)+1)</f>
        <v>7</v>
      </c>
      <c r="V18" s="4"/>
      <c r="X18" s="4"/>
      <c r="Y18" s="4"/>
    </row>
    <row r="19" spans="1:25" x14ac:dyDescent="0.3">
      <c r="A19" s="4">
        <v>70</v>
      </c>
      <c r="B19" s="4" t="s">
        <v>210</v>
      </c>
      <c r="C19" s="4">
        <v>1</v>
      </c>
      <c r="D19" s="45" cm="1">
        <f t="array" ref="D19">MAX(IF(Sales!B:B=A19,Sales!C:C))</f>
        <v>27</v>
      </c>
      <c r="E19" s="45">
        <f>SUMIF(Sales!B:B,A19,Sales!E:E)</f>
        <v>10</v>
      </c>
      <c r="F19" s="46">
        <f>IF($C19=0," ",COUNTIFS($C:$C,1,E:E,"&gt;"&amp;E19)+1)</f>
        <v>33</v>
      </c>
      <c r="G19" s="45">
        <f>SUMIF(Sales!B:B,A19,Sales!D:D)</f>
        <v>1</v>
      </c>
      <c r="H19" s="45">
        <f>IF($C19=0," ",COUNTIFS($C:$C,1,G:G,"&gt;"&amp;G19)+1)</f>
        <v>33</v>
      </c>
      <c r="I19" s="45">
        <f>SUMIF(Prizes!B:B,A19,Prizes!D:D)</f>
        <v>0</v>
      </c>
      <c r="J19" s="45">
        <f>IF($C19=0," ",COUNTIFS($C:$C,1,I:I,"&gt;"&amp;I19)+1)</f>
        <v>25</v>
      </c>
      <c r="K19" s="47">
        <f>SUMIF(Sales!B:B,A19,Sales!F:F)</f>
        <v>4.9586776859504134E-2</v>
      </c>
      <c r="L19" s="46">
        <f>IF($C19=0," ",COUNTIFS($C:$C,1,K:K,"&gt;"&amp;K19)+1)</f>
        <v>33</v>
      </c>
      <c r="M19" s="47">
        <f>SQRT(SUMIF(Sales!B:B,A19,Sales!G:G))</f>
        <v>0.21708967829030903</v>
      </c>
      <c r="N19" s="47">
        <f>I19-K19</f>
        <v>-4.9586776859504134E-2</v>
      </c>
      <c r="O19" s="46">
        <f>IF($C19=0," ",COUNTIFS($C:$C,1,N:N,"&gt;"&amp;N19)+1)</f>
        <v>13</v>
      </c>
      <c r="P19" s="47">
        <f>N19/M19</f>
        <v>-0.22841609628806431</v>
      </c>
      <c r="Q19" s="10">
        <f>IF($C19=0," ",COUNTIFS($C:$C,1,P:P,"&gt;"&amp;P19)+1)</f>
        <v>15</v>
      </c>
      <c r="R19" s="16">
        <f>IF(I19&gt;K19,1-_xlfn.NORM.DIST(I19,K19,M19,1),_xlfn.NORM.DIST(I19,K19,M19,1))</f>
        <v>0.40966138857566942</v>
      </c>
      <c r="S19" s="48">
        <f>IF($C19=0," ",COUNTIFS($C:$C,1,R:R,"&gt;"&amp;R19)+1)</f>
        <v>5</v>
      </c>
      <c r="T19" s="6">
        <f>E19/K19</f>
        <v>201.66666666666666</v>
      </c>
      <c r="U19" s="10">
        <f>IF($C19=0," ",COUNTIFS($C:$C,1,T:T,"&lt;"&amp;T19)+1)</f>
        <v>7</v>
      </c>
      <c r="V19" s="4"/>
      <c r="X19" s="4"/>
      <c r="Y19" s="4"/>
    </row>
    <row r="20" spans="1:25" x14ac:dyDescent="0.3">
      <c r="A20" s="4">
        <v>14</v>
      </c>
      <c r="B20" s="4" t="s">
        <v>15</v>
      </c>
      <c r="C20" s="4">
        <v>1</v>
      </c>
      <c r="D20" s="4">
        <f t="array" ref="D20">MAX(IF(Sales!B:B=A20,Sales!C:C))</f>
        <v>26</v>
      </c>
      <c r="E20" s="4">
        <f>SUMIF(Sales!B:B,A20,Sales!E:E)</f>
        <v>1320</v>
      </c>
      <c r="F20" s="6">
        <f>IF($C20=0," ",COUNTIFS($C:$C,1,E:E,"&gt;"&amp;E20)+1)</f>
        <v>5</v>
      </c>
      <c r="G20" s="4">
        <f>SUMIF(Sales!B:B,A20,Sales!D:D)</f>
        <v>128</v>
      </c>
      <c r="H20" s="4">
        <f>IF($C20=0," ",COUNTIFS($C:$C,1,G:G,"&gt;"&amp;G20)+1)</f>
        <v>5</v>
      </c>
      <c r="I20" s="4">
        <f>SUMIF(Prizes!B:B,A20,Prizes!D:D)</f>
        <v>10</v>
      </c>
      <c r="J20" s="4">
        <f>IF($C20=0," ",COUNTIFS($C:$C,1,I:I,"&gt;"&amp;I20)+1)</f>
        <v>2</v>
      </c>
      <c r="K20" s="5">
        <f>SUMIF(Sales!B:B,A20,Sales!F:F)</f>
        <v>5.9946715092465954</v>
      </c>
      <c r="L20" s="6">
        <f>IF($C20=0," ",COUNTIFS($C:$C,1,K:K,"&gt;"&amp;K20)+1)</f>
        <v>5</v>
      </c>
      <c r="M20" s="5">
        <f>SQRT(SUMIF(Sales!B:B,A20,Sales!G:G))</f>
        <v>2.3183318060867322</v>
      </c>
      <c r="N20" s="5">
        <f>I20-K20</f>
        <v>4.0053284907534046</v>
      </c>
      <c r="O20" s="6">
        <f>IF($C20=0," ",COUNTIFS($C:$C,1,N:N,"&gt;"&amp;N20)+1)</f>
        <v>1</v>
      </c>
      <c r="P20" s="5">
        <f>N20/M20</f>
        <v>1.7276769788679505</v>
      </c>
      <c r="Q20" s="4">
        <f>IF($C20=0," ",COUNTIFS($C:$C,1,P:P,"&gt;"&amp;P20)+1)</f>
        <v>3</v>
      </c>
      <c r="R20" s="16">
        <f>IF(I20&gt;K20,1-_xlfn.NORM.DIST(I20,K20,M20,1),_xlfn.NORM.DIST(I20,K20,M20,1))</f>
        <v>4.2023076554305816E-2</v>
      </c>
      <c r="S20" s="30">
        <f>IF($C20=0," ",COUNTIFS($C:$C,1,R:R,"&gt;"&amp;R20)+1)</f>
        <v>31</v>
      </c>
      <c r="T20" s="6">
        <f>E20/K20</f>
        <v>220.19555166016033</v>
      </c>
      <c r="U20" s="4">
        <f>IF($C20=0," ",COUNTIFS($C:$C,1,T:T,"&lt;"&amp;T20)+1)</f>
        <v>19</v>
      </c>
      <c r="V20" s="4"/>
      <c r="X20" s="4"/>
      <c r="Y20" s="4"/>
    </row>
    <row r="21" spans="1:25" x14ac:dyDescent="0.3">
      <c r="A21" s="4">
        <v>29</v>
      </c>
      <c r="B21" s="4" t="s">
        <v>131</v>
      </c>
      <c r="C21" s="4">
        <v>1</v>
      </c>
      <c r="D21" s="4">
        <f t="array" ref="D21">MAX(IF(Sales!B:B=A21,Sales!C:C))</f>
        <v>26</v>
      </c>
      <c r="E21" s="4">
        <f>SUMIF(Sales!B:B,A21,Sales!E:E)</f>
        <v>1500</v>
      </c>
      <c r="F21" s="6">
        <f>IF($C21=0," ",COUNTIFS($C:$C,1,E:E,"&gt;"&amp;E21)+1)</f>
        <v>4</v>
      </c>
      <c r="G21" s="4">
        <f>SUMIF(Sales!B:B,A21,Sales!D:D)</f>
        <v>151</v>
      </c>
      <c r="H21" s="4">
        <f>IF($C21=0," ",COUNTIFS($C:$C,1,G:G,"&gt;"&amp;G21)+1)</f>
        <v>4</v>
      </c>
      <c r="I21" s="4">
        <f>SUMIF(Prizes!B:B,A21,Prizes!D:D)</f>
        <v>4</v>
      </c>
      <c r="J21" s="4">
        <f>IF($C21=0," ",COUNTIFS($C:$C,1,I:I,"&gt;"&amp;I21)+1)</f>
        <v>8</v>
      </c>
      <c r="K21" s="5">
        <f>SUMIF(Sales!B:B,A21,Sales!F:F)</f>
        <v>6.5416851543041465</v>
      </c>
      <c r="L21" s="6">
        <f>IF($C21=0," ",COUNTIFS($C:$C,1,K:K,"&gt;"&amp;K21)+1)</f>
        <v>4</v>
      </c>
      <c r="M21" s="5">
        <f>SQRT(SUMIF(Sales!B:B,A21,Sales!G:G))</f>
        <v>2.4156998589296634</v>
      </c>
      <c r="N21" s="5">
        <f>I21-K21</f>
        <v>-2.5416851543041465</v>
      </c>
      <c r="O21" s="6">
        <f>IF($C21=0," ",COUNTIFS($C:$C,1,N:N,"&gt;"&amp;N21)+1)</f>
        <v>30</v>
      </c>
      <c r="P21" s="5">
        <f>N21/M21</f>
        <v>-1.05215271049041</v>
      </c>
      <c r="Q21" s="4">
        <f>IF($C21=0," ",COUNTIFS($C:$C,1,P:P,"&gt;"&amp;P21)+1)</f>
        <v>28</v>
      </c>
      <c r="R21" s="16">
        <f>IF(I21&gt;K21,1-_xlfn.NORM.DIST(I21,K21,M21,1),_xlfn.NORM.DIST(I21,K21,M21,1))</f>
        <v>0.14636474592887255</v>
      </c>
      <c r="S21" s="30">
        <f>IF($C21=0," ",COUNTIFS($C:$C,1,R:R,"&gt;"&amp;R21)+1)</f>
        <v>22</v>
      </c>
      <c r="T21" s="6">
        <f>E21/K21</f>
        <v>229.29871502804821</v>
      </c>
      <c r="U21" s="4">
        <f>IF($C21=0," ",COUNTIFS($C:$C,1,T:T,"&lt;"&amp;T21)+1)</f>
        <v>25</v>
      </c>
      <c r="V21" s="4"/>
      <c r="X21" s="4"/>
      <c r="Y21" s="4"/>
    </row>
    <row r="22" spans="1:25" x14ac:dyDescent="0.3">
      <c r="A22" s="4">
        <v>32</v>
      </c>
      <c r="B22" s="4" t="s">
        <v>38</v>
      </c>
      <c r="C22" s="4">
        <v>0</v>
      </c>
      <c r="D22" s="4">
        <f t="array" ref="D22">MAX(IF(Sales!B:B=A22,Sales!C:C))</f>
        <v>26</v>
      </c>
      <c r="E22" s="4">
        <f>SUMIF(Sales!B:B,A22,Sales!E:E)</f>
        <v>1220</v>
      </c>
      <c r="F22" s="6" t="str">
        <f>IF($C22=0," ",COUNTIFS($C:$C,1,E:E,"&gt;"&amp;E22)+1)</f>
        <v xml:space="preserve"> </v>
      </c>
      <c r="G22" s="4">
        <f>SUMIF(Sales!B:B,A22,Sales!D:D)</f>
        <v>123</v>
      </c>
      <c r="H22" s="4" t="str">
        <f>IF($C22=0," ",COUNTIFS($C:$C,1,G:G,"&gt;"&amp;G22)+1)</f>
        <v xml:space="preserve"> </v>
      </c>
      <c r="I22" s="4">
        <f>SUMIF(Prizes!B:B,A22,Prizes!D:D)</f>
        <v>6</v>
      </c>
      <c r="J22" s="4" t="str">
        <f>IF($C22=0," ",COUNTIFS($C:$C,1,I:I,"&gt;"&amp;I22)+1)</f>
        <v xml:space="preserve"> </v>
      </c>
      <c r="K22" s="5">
        <f>SUMIF(Sales!B:B,A22,Sales!F:F)</f>
        <v>4.9790372920402088</v>
      </c>
      <c r="L22" s="6" t="str">
        <f>IF($C22=0," ",COUNTIFS($C:$C,1,K:K,"&gt;"&amp;K22)+1)</f>
        <v xml:space="preserve"> </v>
      </c>
      <c r="M22" s="5">
        <f>SQRT(SUMIF(Sales!B:B,A22,Sales!G:G))</f>
        <v>2.1078650290675003</v>
      </c>
      <c r="N22" s="5">
        <f>I22-K22</f>
        <v>1.0209627079597912</v>
      </c>
      <c r="O22" s="6" t="str">
        <f>IF($C22=0," ",COUNTIFS($C:$C,1,N:N,"&gt;"&amp;N22)+1)</f>
        <v xml:space="preserve"> </v>
      </c>
      <c r="P22" s="5">
        <f>N22/M22</f>
        <v>0.48435867281856065</v>
      </c>
      <c r="Q22" s="4" t="str">
        <f>IF($C22=0," ",COUNTIFS($C:$C,1,P:P,"&gt;"&amp;P22)+1)</f>
        <v xml:space="preserve"> </v>
      </c>
      <c r="R22" s="16">
        <f>IF(I22&gt;K22,1-_xlfn.NORM.DIST(I22,K22,M22,1),_xlfn.NORM.DIST(I22,K22,M22,1))</f>
        <v>0.31406567137732877</v>
      </c>
      <c r="S22" s="30" t="str">
        <f>IF($C22=0," ",COUNTIFS($C:$C,1,R:R,"&gt;"&amp;R22)+1)</f>
        <v xml:space="preserve"> </v>
      </c>
      <c r="T22" s="6">
        <f>E22/K22</f>
        <v>245.02728709229916</v>
      </c>
      <c r="U22" s="4" t="str">
        <f>IF($C22=0," ",COUNTIFS($C:$C,1,T:T,"&lt;"&amp;T22)+1)</f>
        <v xml:space="preserve"> </v>
      </c>
      <c r="V22" s="4"/>
      <c r="X22" s="4"/>
      <c r="Y22" s="4"/>
    </row>
    <row r="23" spans="1:25" x14ac:dyDescent="0.3">
      <c r="A23" s="4">
        <v>41</v>
      </c>
      <c r="B23" s="4" t="s">
        <v>78</v>
      </c>
      <c r="C23" s="4">
        <v>1</v>
      </c>
      <c r="D23" s="4">
        <f t="array" ref="D23">MAX(IF(Sales!B:B=A23,Sales!C:C))</f>
        <v>26</v>
      </c>
      <c r="E23" s="8">
        <f>SUMIF(Sales!B:B,A23,Sales!E:E)</f>
        <v>830</v>
      </c>
      <c r="F23" s="28">
        <f>IF($C23=0," ",COUNTIFS($C:$C,1,E:E,"&gt;"&amp;E23)+1)</f>
        <v>11</v>
      </c>
      <c r="G23" s="8">
        <f>SUMIF(Sales!B:B,A23,Sales!D:D)</f>
        <v>83</v>
      </c>
      <c r="H23" s="10">
        <f>IF($C23=0," ",COUNTIFS($C:$C,1,G:G,"&gt;"&amp;G23)+1)</f>
        <v>11</v>
      </c>
      <c r="I23" s="8">
        <f>SUMIF(Prizes!B:B,A23,Prizes!D:D)</f>
        <v>5</v>
      </c>
      <c r="J23" s="10">
        <f>IF($C23=0," ",COUNTIFS($C:$C,1,I:I,"&gt;"&amp;I23)+1)</f>
        <v>6</v>
      </c>
      <c r="K23" s="9">
        <f>SUMIF(Sales!B:B,A23,Sales!F:F)</f>
        <v>3.7348151257839586</v>
      </c>
      <c r="L23" s="28">
        <f>IF($C23=0," ",COUNTIFS($C:$C,1,K:K,"&gt;"&amp;K23)+1)</f>
        <v>10</v>
      </c>
      <c r="M23" s="9">
        <f>SQRT(SUMIF(Sales!B:B,A23,Sales!G:G))</f>
        <v>1.8441719152196041</v>
      </c>
      <c r="N23" s="9">
        <f>I23-K23</f>
        <v>1.2651848742160414</v>
      </c>
      <c r="O23" s="28">
        <f>IF($C23=0," ",COUNTIFS($C:$C,1,N:N,"&gt;"&amp;N23)+1)</f>
        <v>6</v>
      </c>
      <c r="P23" s="5">
        <f>N23/M23</f>
        <v>0.68604497431866762</v>
      </c>
      <c r="Q23" s="10">
        <f>IF($C23=0," ",COUNTIFS($C:$C,1,P:P,"&gt;"&amp;P23)+1)</f>
        <v>8</v>
      </c>
      <c r="R23" s="16">
        <f>IF(I23&gt;K23,1-_xlfn.NORM.DIST(I23,K23,M23,1),_xlfn.NORM.DIST(I23,K23,M23,1))</f>
        <v>0.24634237410081439</v>
      </c>
      <c r="S23" s="30">
        <f>IF($C23=0," ",COUNTIFS($C:$C,1,R:R,"&gt;"&amp;R23)+1)</f>
        <v>15</v>
      </c>
      <c r="T23" s="6">
        <f>E23/K23</f>
        <v>222.23322227382764</v>
      </c>
      <c r="U23" s="10">
        <f>IF($C23=0," ",COUNTIFS($C:$C,1,T:T,"&lt;"&amp;T23)+1)</f>
        <v>22</v>
      </c>
      <c r="V23" s="4"/>
      <c r="X23" s="4"/>
      <c r="Y23" s="4"/>
    </row>
    <row r="24" spans="1:25" x14ac:dyDescent="0.3">
      <c r="A24" s="4">
        <v>46</v>
      </c>
      <c r="B24" s="4" t="s">
        <v>97</v>
      </c>
      <c r="C24" s="4">
        <v>1</v>
      </c>
      <c r="D24" s="4">
        <f t="array" ref="D24">MAX(IF(Sales!B:B=A24,Sales!C:C))</f>
        <v>26</v>
      </c>
      <c r="E24" s="10">
        <f>SUMIF(Sales!B:B,A24,Sales!E:E)</f>
        <v>510</v>
      </c>
      <c r="F24" s="6">
        <f>IF($C24=0," ",COUNTIFS($C:$C,1,E:E,"&gt;"&amp;E24)+1)</f>
        <v>17</v>
      </c>
      <c r="G24" s="10">
        <f>SUMIF(Sales!B:B,A24,Sales!D:D)</f>
        <v>51</v>
      </c>
      <c r="H24" s="10">
        <f>IF($C24=0," ",COUNTIFS($C:$C,1,G:G,"&gt;"&amp;G24)+1)</f>
        <v>17</v>
      </c>
      <c r="I24" s="10">
        <f>SUMIF(Prizes!B:B,A24,Prizes!D:D)</f>
        <v>4</v>
      </c>
      <c r="J24" s="10">
        <f>IF($C24=0," ",COUNTIFS($C:$C,1,I:I,"&gt;"&amp;I24)+1)</f>
        <v>8</v>
      </c>
      <c r="K24" s="5">
        <f>SUMIF(Sales!B:B,A24,Sales!F:F)</f>
        <v>2.3081446454502519</v>
      </c>
      <c r="L24" s="6">
        <f>IF($C24=0," ",COUNTIFS($C:$C,1,K:K,"&gt;"&amp;K24)+1)</f>
        <v>17</v>
      </c>
      <c r="M24" s="5">
        <f>SQRT(SUMIF(Sales!B:B,A24,Sales!G:G))</f>
        <v>1.4525331112498971</v>
      </c>
      <c r="N24" s="5">
        <f>I24-K24</f>
        <v>1.6918553545497481</v>
      </c>
      <c r="O24" s="6">
        <f>IF($C24=0," ",COUNTIFS($C:$C,1,N:N,"&gt;"&amp;N24)+1)</f>
        <v>5</v>
      </c>
      <c r="P24" s="5">
        <f>N24/M24</f>
        <v>1.1647619881752063</v>
      </c>
      <c r="Q24" s="10">
        <f>IF($C24=0," ",COUNTIFS($C:$C,1,P:P,"&gt;"&amp;P24)+1)</f>
        <v>6</v>
      </c>
      <c r="R24" s="16">
        <f>IF(I24&gt;K24,1-_xlfn.NORM.DIST(I24,K24,M24,1),_xlfn.NORM.DIST(I24,K24,M24,1))</f>
        <v>0.12205767468285544</v>
      </c>
      <c r="S24" s="30">
        <f>IF($C24=0," ",COUNTIFS($C:$C,1,R:R,"&gt;"&amp;R24)+1)</f>
        <v>23</v>
      </c>
      <c r="T24" s="6">
        <f>E24/K24</f>
        <v>220.95668961011489</v>
      </c>
      <c r="U24" s="10">
        <f>IF($C24=0," ",COUNTIFS($C:$C,1,T:T,"&lt;"&amp;T24)+1)</f>
        <v>21</v>
      </c>
      <c r="V24" s="4"/>
      <c r="X24" s="4"/>
      <c r="Y24" s="4"/>
    </row>
    <row r="25" spans="1:25" x14ac:dyDescent="0.3">
      <c r="A25" s="4">
        <v>48</v>
      </c>
      <c r="B25" s="4" t="s">
        <v>100</v>
      </c>
      <c r="C25" s="4">
        <v>0</v>
      </c>
      <c r="D25" s="4">
        <f t="array" ref="D25">MAX(IF(Sales!B:B=A25,Sales!C:C))</f>
        <v>26</v>
      </c>
      <c r="E25" s="26">
        <f>SUMIF(Sales!B:B,A25,Sales!E:E)</f>
        <v>440</v>
      </c>
      <c r="F25" s="29" t="str">
        <f>IF($C25=0," ",COUNTIFS($C:$C,1,E:E,"&gt;"&amp;E25)+1)</f>
        <v xml:space="preserve"> </v>
      </c>
      <c r="G25" s="26">
        <f>SUMIF(Sales!B:B,A25,Sales!D:D)</f>
        <v>44</v>
      </c>
      <c r="H25" s="26" t="str">
        <f>IF($C25=0," ",COUNTIFS($C:$C,1,G:G,"&gt;"&amp;G25)+1)</f>
        <v xml:space="preserve"> </v>
      </c>
      <c r="I25" s="26">
        <f>SUMIF(Prizes!B:B,A25,Prizes!D:D)</f>
        <v>4</v>
      </c>
      <c r="J25" s="26" t="str">
        <f>IF($C25=0," ",COUNTIFS($C:$C,1,I:I,"&gt;"&amp;I25)+1)</f>
        <v xml:space="preserve"> </v>
      </c>
      <c r="K25" s="27">
        <f>SUMIF(Sales!B:B,A25,Sales!F:F)</f>
        <v>1.9389412396668024</v>
      </c>
      <c r="L25" s="29" t="str">
        <f>IF($C25=0," ",COUNTIFS($C:$C,1,K:K,"&gt;"&amp;K25)+1)</f>
        <v xml:space="preserve"> </v>
      </c>
      <c r="M25" s="27">
        <f>SQRT(SUMIF(Sales!B:B,A25,Sales!G:G))</f>
        <v>1.3274025411749653</v>
      </c>
      <c r="N25" s="27">
        <f>I25-K25</f>
        <v>2.0610587603331973</v>
      </c>
      <c r="O25" s="29" t="str">
        <f>IF($C25=0," ",COUNTIFS($C:$C,1,N:N,"&gt;"&amp;N25)+1)</f>
        <v xml:space="preserve"> </v>
      </c>
      <c r="P25" s="5">
        <f>N25/M25</f>
        <v>1.5527006287850165</v>
      </c>
      <c r="Q25" s="10" t="str">
        <f>IF($C25=0," ",COUNTIFS($C:$C,1,P:P,"&gt;"&amp;P25)+1)</f>
        <v xml:space="preserve"> </v>
      </c>
      <c r="R25" s="16">
        <f>IF(I25&gt;K25,1-_xlfn.NORM.DIST(I25,K25,M25,1),_xlfn.NORM.DIST(I25,K25,M25,1))</f>
        <v>6.024733602422272E-2</v>
      </c>
      <c r="S25" s="30" t="str">
        <f>IF($C25=0," ",COUNTIFS($C:$C,1,R:R,"&gt;"&amp;R25)+1)</f>
        <v xml:space="preserve"> </v>
      </c>
      <c r="T25" s="6">
        <f>E25/K25</f>
        <v>226.92797027495885</v>
      </c>
      <c r="U25" s="10" t="str">
        <f>IF($C25=0," ",COUNTIFS($C:$C,1,T:T,"&lt;"&amp;T25)+1)</f>
        <v xml:space="preserve"> </v>
      </c>
      <c r="V25" s="4"/>
      <c r="X25" s="4"/>
      <c r="Y25" s="4"/>
    </row>
    <row r="26" spans="1:25" x14ac:dyDescent="0.3">
      <c r="A26" s="4">
        <v>53</v>
      </c>
      <c r="B26" s="4" t="s">
        <v>132</v>
      </c>
      <c r="C26" s="4">
        <v>1</v>
      </c>
      <c r="D26" s="26">
        <f t="array" ref="D26">MAX(IF(Sales!B:B=A26,Sales!C:C))</f>
        <v>26</v>
      </c>
      <c r="E26" s="26">
        <f>SUMIF(Sales!B:B,A26,Sales!E:E)</f>
        <v>350</v>
      </c>
      <c r="F26" s="29">
        <f>IF($C26=0," ",COUNTIFS($C:$C,1,E:E,"&gt;"&amp;E26)+1)</f>
        <v>20</v>
      </c>
      <c r="G26" s="26">
        <f>SUMIF(Sales!B:B,A26,Sales!D:D)</f>
        <v>35</v>
      </c>
      <c r="H26" s="26">
        <f>IF($C26=0," ",COUNTIFS($C:$C,1,G:G,"&gt;"&amp;G26)+1)</f>
        <v>20</v>
      </c>
      <c r="I26" s="26">
        <f>SUMIF(Prizes!B:B,A26,Prizes!D:D)</f>
        <v>1</v>
      </c>
      <c r="J26" s="26">
        <f>IF($C26=0," ",COUNTIFS($C:$C,1,I:I,"&gt;"&amp;I26)+1)</f>
        <v>20</v>
      </c>
      <c r="K26" s="27">
        <f>SUMIF(Sales!B:B,A26,Sales!F:F)</f>
        <v>1.6987474789318509</v>
      </c>
      <c r="L26" s="29">
        <f>IF($C26=0," ",COUNTIFS($C:$C,1,K:K,"&gt;"&amp;K26)+1)</f>
        <v>19</v>
      </c>
      <c r="M26" s="27">
        <f>SQRT(SUMIF(Sales!B:B,A26,Sales!G:G))</f>
        <v>1.2331989935092704</v>
      </c>
      <c r="N26" s="27">
        <f>I26-K26</f>
        <v>-0.69874747893185085</v>
      </c>
      <c r="O26" s="29">
        <f>IF($C26=0," ",COUNTIFS($C:$C,1,N:N,"&gt;"&amp;N26)+1)</f>
        <v>22</v>
      </c>
      <c r="P26" s="27">
        <f>N26/M26</f>
        <v>-0.56661372788137787</v>
      </c>
      <c r="Q26" s="10">
        <f>IF($C26=0," ",COUNTIFS($C:$C,1,P:P,"&gt;"&amp;P26)+1)</f>
        <v>20</v>
      </c>
      <c r="R26" s="16">
        <f>IF(I26&gt;K26,1-_xlfn.NORM.DIST(I26,K26,M26,1),_xlfn.NORM.DIST(I26,K26,M26,1))</f>
        <v>0.28548832304330563</v>
      </c>
      <c r="S26" s="41">
        <f>IF($C26=0," ",COUNTIFS($C:$C,1,R:R,"&gt;"&amp;R26)+1)</f>
        <v>12</v>
      </c>
      <c r="T26" s="6">
        <f>E26/K26</f>
        <v>206.03415418757544</v>
      </c>
      <c r="U26" s="10">
        <f>IF($C26=0," ",COUNTIFS($C:$C,1,T:T,"&lt;"&amp;T26)+1)</f>
        <v>10</v>
      </c>
      <c r="V26" s="4"/>
      <c r="X26" s="4"/>
      <c r="Y26" s="4"/>
    </row>
    <row r="27" spans="1:25" x14ac:dyDescent="0.3">
      <c r="A27" s="4">
        <v>57</v>
      </c>
      <c r="B27" s="4" t="s">
        <v>138</v>
      </c>
      <c r="C27" s="4">
        <v>0</v>
      </c>
      <c r="D27" s="45">
        <f t="array" ref="D27">MAX(IF(Sales!B:B=A27,Sales!C:C))</f>
        <v>26</v>
      </c>
      <c r="E27" s="45">
        <f>SUMIF(Sales!B:B,A27,Sales!E:E)</f>
        <v>120</v>
      </c>
      <c r="F27" s="46" t="str">
        <f>IF($C27=0," ",COUNTIFS($C:$C,1,E:E,"&gt;"&amp;E27)+1)</f>
        <v xml:space="preserve"> </v>
      </c>
      <c r="G27" s="45">
        <f>SUMIF(Sales!B:B,A27,Sales!D:D)</f>
        <v>12</v>
      </c>
      <c r="H27" s="45" t="str">
        <f>IF($C27=0," ",COUNTIFS($C:$C,1,G:G,"&gt;"&amp;G27)+1)</f>
        <v xml:space="preserve"> </v>
      </c>
      <c r="I27" s="45">
        <f>SUMIF(Prizes!B:B,A27,Prizes!D:D)</f>
        <v>1</v>
      </c>
      <c r="J27" s="45" t="str">
        <f>IF($C27=0," ",COUNTIFS($C:$C,1,I:I,"&gt;"&amp;I27)+1)</f>
        <v xml:space="preserve"> </v>
      </c>
      <c r="K27" s="47">
        <f>SUMIF(Sales!B:B,A27,Sales!F:F)</f>
        <v>0.58529411764705874</v>
      </c>
      <c r="L27" s="46" t="str">
        <f>IF($C27=0," ",COUNTIFS($C:$C,1,K:K,"&gt;"&amp;K27)+1)</f>
        <v xml:space="preserve"> </v>
      </c>
      <c r="M27" s="47">
        <f>SQRT(SUMIF(Sales!B:B,A27,Sales!G:G))</f>
        <v>0.73759426654100935</v>
      </c>
      <c r="N27" s="47">
        <f>I27-K27</f>
        <v>0.41470588235294126</v>
      </c>
      <c r="O27" s="46" t="str">
        <f>IF($C27=0," ",COUNTIFS($C:$C,1,N:N,"&gt;"&amp;N27)+1)</f>
        <v xml:space="preserve"> </v>
      </c>
      <c r="P27" s="47">
        <f>N27/M27</f>
        <v>0.56224119568842135</v>
      </c>
      <c r="Q27" s="10" t="str">
        <f>IF($C27=0," ",COUNTIFS($C:$C,1,P:P,"&gt;"&amp;P27)+1)</f>
        <v xml:space="preserve"> </v>
      </c>
      <c r="R27" s="16">
        <f>IF(I27&gt;K27,1-_xlfn.NORM.DIST(I27,K27,M27,1),_xlfn.NORM.DIST(I27,K27,M27,1))</f>
        <v>0.28697584859310987</v>
      </c>
      <c r="S27" s="48" t="str">
        <f>IF($C27=0," ",COUNTIFS($C:$C,1,R:R,"&gt;"&amp;R27)+1)</f>
        <v xml:space="preserve"> </v>
      </c>
      <c r="T27" s="6">
        <f>E27/K27</f>
        <v>205.02512562814073</v>
      </c>
      <c r="U27" s="10" t="str">
        <f>IF($C27=0," ",COUNTIFS($C:$C,1,T:T,"&lt;"&amp;T27)+1)</f>
        <v xml:space="preserve"> </v>
      </c>
      <c r="V27" s="4"/>
      <c r="X27" s="4"/>
      <c r="Y27" s="4"/>
    </row>
    <row r="28" spans="1:25" x14ac:dyDescent="0.3">
      <c r="A28" s="4">
        <v>59</v>
      </c>
      <c r="B28" s="4" t="s">
        <v>140</v>
      </c>
      <c r="C28" s="4">
        <v>1</v>
      </c>
      <c r="D28" s="45">
        <f t="array" ref="D28">MAX(IF(Sales!B:B=A28,Sales!C:C))</f>
        <v>26</v>
      </c>
      <c r="E28" s="45">
        <f>SUMIF(Sales!B:B,A28,Sales!E:E)</f>
        <v>150</v>
      </c>
      <c r="F28" s="46">
        <f>IF($C28=0," ",COUNTIFS($C:$C,1,E:E,"&gt;"&amp;E28)+1)</f>
        <v>24</v>
      </c>
      <c r="G28" s="45">
        <f>SUMIF(Sales!B:B,A28,Sales!D:D)</f>
        <v>15</v>
      </c>
      <c r="H28" s="45">
        <f>IF($C28=0," ",COUNTIFS($C:$C,1,G:G,"&gt;"&amp;G28)+1)</f>
        <v>24</v>
      </c>
      <c r="I28" s="45">
        <f>SUMIF(Prizes!B:B,A28,Prizes!D:D)</f>
        <v>0</v>
      </c>
      <c r="J28" s="45">
        <f>IF($C28=0," ",COUNTIFS($C:$C,1,I:I,"&gt;"&amp;I28)+1)</f>
        <v>25</v>
      </c>
      <c r="K28" s="47">
        <f>SUMIF(Sales!B:B,A28,Sales!F:F)</f>
        <v>0.79656862745098045</v>
      </c>
      <c r="L28" s="46">
        <f>IF($C28=0," ",COUNTIFS($C:$C,1,K:K,"&gt;"&amp;K28)+1)</f>
        <v>25</v>
      </c>
      <c r="M28" s="47">
        <f>SQRT(SUMIF(Sales!B:B,A28,Sales!G:G))</f>
        <v>0.84391700099328582</v>
      </c>
      <c r="N28" s="47">
        <f>I28-K28</f>
        <v>-0.79656862745098045</v>
      </c>
      <c r="O28" s="46">
        <f>IF($C28=0," ",COUNTIFS($C:$C,1,N:N,"&gt;"&amp;N28)+1)</f>
        <v>23</v>
      </c>
      <c r="P28" s="47">
        <f>N28/M28</f>
        <v>-0.94389451393137402</v>
      </c>
      <c r="Q28" s="10">
        <f>IF($C28=0," ",COUNTIFS($C:$C,1,P:P,"&gt;"&amp;P28)+1)</f>
        <v>26</v>
      </c>
      <c r="R28" s="16">
        <f>IF(I28&gt;K28,1-_xlfn.NORM.DIST(I28,K28,M28,1),_xlfn.NORM.DIST(I28,K28,M28,1))</f>
        <v>0.17261177788033752</v>
      </c>
      <c r="S28" s="48">
        <f>IF($C28=0," ",COUNTIFS($C:$C,1,R:R,"&gt;"&amp;R28)+1)</f>
        <v>20</v>
      </c>
      <c r="T28" s="6">
        <f>E28/K28</f>
        <v>188.30769230769229</v>
      </c>
      <c r="U28" s="10">
        <f>IF($C28=0," ",COUNTIFS($C:$C,1,T:T,"&lt;"&amp;T28)+1)</f>
        <v>5</v>
      </c>
      <c r="V28" s="4"/>
      <c r="X28" s="4"/>
      <c r="Y28" s="4"/>
    </row>
    <row r="29" spans="1:25" x14ac:dyDescent="0.3">
      <c r="A29" s="4">
        <v>64</v>
      </c>
      <c r="B29" s="4" t="s">
        <v>189</v>
      </c>
      <c r="C29" s="4">
        <v>1</v>
      </c>
      <c r="D29" s="45">
        <f t="array" ref="D29">MAX(IF(Sales!B:B=A29,Sales!C:C))</f>
        <v>26</v>
      </c>
      <c r="E29" s="45">
        <f>SUMIF(Sales!B:B,A29,Sales!E:E)</f>
        <v>40</v>
      </c>
      <c r="F29" s="46">
        <f>IF($C29=0," ",COUNTIFS($C:$C,1,E:E,"&gt;"&amp;E29)+1)</f>
        <v>32</v>
      </c>
      <c r="G29" s="45">
        <f>SUMIF(Sales!B:B,A29,Sales!D:D)</f>
        <v>4</v>
      </c>
      <c r="H29" s="45">
        <f>IF($C29=0," ",COUNTIFS($C:$C,1,G:G,"&gt;"&amp;G29)+1)</f>
        <v>32</v>
      </c>
      <c r="I29" s="45">
        <f>SUMIF(Prizes!B:B,A29,Prizes!D:D)</f>
        <v>2</v>
      </c>
      <c r="J29" s="45">
        <f>IF($C29=0," ",COUNTIFS($C:$C,1,I:I,"&gt;"&amp;I29)+1)</f>
        <v>13</v>
      </c>
      <c r="K29" s="47">
        <f>SUMIF(Sales!B:B,A29,Sales!F:F)</f>
        <v>0.23529411764705882</v>
      </c>
      <c r="L29" s="46">
        <f>IF($C29=0," ",COUNTIFS($C:$C,1,K:K,"&gt;"&amp;K29)+1)</f>
        <v>32</v>
      </c>
      <c r="M29" s="47">
        <f>SQRT(SUMIF(Sales!B:B,A29,Sales!G:G))</f>
        <v>0.46533010115110041</v>
      </c>
      <c r="N29" s="47">
        <f>I29-K29</f>
        <v>1.7647058823529411</v>
      </c>
      <c r="O29" s="46">
        <f>IF($C29=0," ",COUNTIFS($C:$C,1,N:N,"&gt;"&amp;N29)+1)</f>
        <v>3</v>
      </c>
      <c r="P29" s="47">
        <f>N29/M29</f>
        <v>3.792374226355737</v>
      </c>
      <c r="Q29" s="10">
        <f>IF($C29=0," ",COUNTIFS($C:$C,1,P:P,"&gt;"&amp;P29)+1)</f>
        <v>1</v>
      </c>
      <c r="R29" s="16">
        <f>IF(I29&gt;K29,1-_xlfn.NORM.DIST(I29,K29,M29,1),_xlfn.NORM.DIST(I29,K29,M29,1))</f>
        <v>7.460691399774344E-5</v>
      </c>
      <c r="S29" s="48">
        <f>IF($C29=0," ",COUNTIFS($C:$C,1,R:R,"&gt;"&amp;R29)+1)</f>
        <v>33</v>
      </c>
      <c r="T29" s="6">
        <f>E29/K29</f>
        <v>170</v>
      </c>
      <c r="U29" s="10">
        <f>IF($C29=0," ",COUNTIFS($C:$C,1,T:T,"&lt;"&amp;T29)+1)</f>
        <v>1</v>
      </c>
      <c r="V29" s="4"/>
      <c r="X29" s="4"/>
      <c r="Y29" s="4"/>
    </row>
    <row r="30" spans="1:25" x14ac:dyDescent="0.3">
      <c r="A30" s="4">
        <v>65</v>
      </c>
      <c r="B30" s="4" t="s">
        <v>204</v>
      </c>
      <c r="C30" s="4">
        <v>1</v>
      </c>
      <c r="D30" s="45">
        <f t="array" ref="D30">MAX(IF(Sales!B:B=A30,Sales!C:C))</f>
        <v>26</v>
      </c>
      <c r="E30" s="45">
        <f>SUMIF(Sales!B:B,A30,Sales!E:E)</f>
        <v>100</v>
      </c>
      <c r="F30" s="46">
        <f>IF($C30=0," ",COUNTIFS($C:$C,1,E:E,"&gt;"&amp;E30)+1)</f>
        <v>28</v>
      </c>
      <c r="G30" s="45">
        <f>SUMIF(Sales!B:B,A30,Sales!D:D)</f>
        <v>10</v>
      </c>
      <c r="H30" s="45">
        <f>IF($C30=0," ",COUNTIFS($C:$C,1,G:G,"&gt;"&amp;G30)+1)</f>
        <v>28</v>
      </c>
      <c r="I30" s="45">
        <f>SUMIF(Prizes!B:B,A30,Prizes!D:D)</f>
        <v>0</v>
      </c>
      <c r="J30" s="45">
        <f>IF($C30=0," ",COUNTIFS($C:$C,1,I:I,"&gt;"&amp;I30)+1)</f>
        <v>25</v>
      </c>
      <c r="K30" s="47">
        <f>SUMIF(Sales!B:B,A30,Sales!F:F)</f>
        <v>0.58823529411764708</v>
      </c>
      <c r="L30" s="46">
        <f>IF($C30=0," ",COUNTIFS($C:$C,1,K:K,"&gt;"&amp;K30)+1)</f>
        <v>26</v>
      </c>
      <c r="M30" s="47">
        <f>SQRT(SUMIF(Sales!B:B,A30,Sales!G:G))</f>
        <v>0.7188354031303279</v>
      </c>
      <c r="N30" s="47">
        <f>I30-K30</f>
        <v>-0.58823529411764708</v>
      </c>
      <c r="O30" s="46">
        <f>IF($C30=0," ",COUNTIFS($C:$C,1,N:N,"&gt;"&amp;N30)+1)</f>
        <v>20</v>
      </c>
      <c r="P30" s="47">
        <f>N30/M30</f>
        <v>-0.81831708838497141</v>
      </c>
      <c r="Q30" s="10">
        <f>IF($C30=0," ",COUNTIFS($C:$C,1,P:P,"&gt;"&amp;P30)+1)</f>
        <v>25</v>
      </c>
      <c r="R30" s="16">
        <f>IF(I30&gt;K30,1-_xlfn.NORM.DIST(I30,K30,M30,1),_xlfn.NORM.DIST(I30,K30,M30,1))</f>
        <v>0.20658807549365618</v>
      </c>
      <c r="S30" s="48">
        <f>IF($C30=0," ",COUNTIFS($C:$C,1,R:R,"&gt;"&amp;R30)+1)</f>
        <v>18</v>
      </c>
      <c r="T30" s="6">
        <f>E30/K30</f>
        <v>170</v>
      </c>
      <c r="U30" s="10">
        <f>IF($C30=0," ",COUNTIFS($C:$C,1,T:T,"&lt;"&amp;T30)+1)</f>
        <v>1</v>
      </c>
      <c r="V30" s="4"/>
      <c r="X30" s="4"/>
      <c r="Y30" s="4"/>
    </row>
    <row r="31" spans="1:25" x14ac:dyDescent="0.3">
      <c r="A31" s="4">
        <v>11</v>
      </c>
      <c r="B31" s="4" t="s">
        <v>12</v>
      </c>
      <c r="C31" s="4">
        <v>0</v>
      </c>
      <c r="D31" s="4">
        <f t="array" ref="D31">MAX(IF(Sales!B:B=A31,Sales!C:C))</f>
        <v>25</v>
      </c>
      <c r="E31" s="4">
        <f>SUMIF(Sales!B:B,A31,Sales!E:E)</f>
        <v>660</v>
      </c>
      <c r="F31" s="6" t="str">
        <f>IF($C31=0," ",COUNTIFS($C:$C,1,E:E,"&gt;"&amp;E31)+1)</f>
        <v xml:space="preserve"> </v>
      </c>
      <c r="G31" s="4">
        <f>SUMIF(Sales!B:B,A31,Sales!D:D)</f>
        <v>59</v>
      </c>
      <c r="H31" s="4" t="str">
        <f>IF($C31=0," ",COUNTIFS($C:$C,1,G:G,"&gt;"&amp;G31)+1)</f>
        <v xml:space="preserve"> </v>
      </c>
      <c r="I31" s="4">
        <f>SUMIF(Prizes!B:B,A31,Prizes!D:D)</f>
        <v>0</v>
      </c>
      <c r="J31" s="4" t="str">
        <f>IF($C31=0," ",COUNTIFS($C:$C,1,I:I,"&gt;"&amp;I31)+1)</f>
        <v xml:space="preserve"> </v>
      </c>
      <c r="K31" s="5">
        <f>SUMIF(Sales!B:B,A31,Sales!F:F)</f>
        <v>2.9277262781608777</v>
      </c>
      <c r="L31" s="6" t="str">
        <f>IF($C31=0," ",COUNTIFS($C:$C,1,K:K,"&gt;"&amp;K31)+1)</f>
        <v xml:space="preserve"> </v>
      </c>
      <c r="M31" s="5">
        <f>SQRT(SUMIF(Sales!B:B,A31,Sales!G:G))</f>
        <v>1.6227883388892295</v>
      </c>
      <c r="N31" s="5">
        <f>I31-K31</f>
        <v>-2.9277262781608777</v>
      </c>
      <c r="O31" s="6" t="str">
        <f>IF($C31=0," ",COUNTIFS($C:$C,1,N:N,"&gt;"&amp;N31)+1)</f>
        <v xml:space="preserve"> </v>
      </c>
      <c r="P31" s="5">
        <f>N31/M31</f>
        <v>-1.8041331749800813</v>
      </c>
      <c r="Q31" s="4" t="str">
        <f>IF($C31=0," ",COUNTIFS($C:$C,1,P:P,"&gt;"&amp;P31)+1)</f>
        <v xml:space="preserve"> </v>
      </c>
      <c r="R31" s="16">
        <f>IF(I31&gt;K31,1-_xlfn.NORM.DIST(I31,K31,M31,1),_xlfn.NORM.DIST(I31,K31,M31,1))</f>
        <v>3.5605216057864056E-2</v>
      </c>
      <c r="S31" s="30" t="str">
        <f>IF($C31=0," ",COUNTIFS($C:$C,1,R:R,"&gt;"&amp;R31)+1)</f>
        <v xml:space="preserve"> </v>
      </c>
      <c r="T31" s="6">
        <f>E31/K31</f>
        <v>225.43091030169495</v>
      </c>
      <c r="U31" s="4" t="str">
        <f>IF($C31=0," ",COUNTIFS($C:$C,1,T:T,"&lt;"&amp;T31)+1)</f>
        <v xml:space="preserve"> </v>
      </c>
      <c r="V31" s="4"/>
      <c r="X31" s="4"/>
      <c r="Y31" s="4"/>
    </row>
    <row r="32" spans="1:25" x14ac:dyDescent="0.3">
      <c r="A32" s="4">
        <v>13</v>
      </c>
      <c r="B32" s="4" t="s">
        <v>14</v>
      </c>
      <c r="C32" s="4">
        <v>0</v>
      </c>
      <c r="D32" s="4">
        <f t="array" ref="D32">MAX(IF(Sales!B:B=A32,Sales!C:C))</f>
        <v>25</v>
      </c>
      <c r="E32" s="4">
        <f>SUMIF(Sales!B:B,A32,Sales!E:E)</f>
        <v>920</v>
      </c>
      <c r="F32" s="6" t="str">
        <f>IF($C32=0," ",COUNTIFS($C:$C,1,E:E,"&gt;"&amp;E32)+1)</f>
        <v xml:space="preserve"> </v>
      </c>
      <c r="G32" s="4">
        <f>SUMIF(Sales!B:B,A32,Sales!D:D)</f>
        <v>88</v>
      </c>
      <c r="H32" s="4" t="str">
        <f>IF($C32=0," ",COUNTIFS($C:$C,1,G:G,"&gt;"&amp;G32)+1)</f>
        <v xml:space="preserve"> </v>
      </c>
      <c r="I32" s="4">
        <f>SUMIF(Prizes!B:B,A32,Prizes!D:D)</f>
        <v>5</v>
      </c>
      <c r="J32" s="4" t="str">
        <f>IF($C32=0," ",COUNTIFS($C:$C,1,I:I,"&gt;"&amp;I32)+1)</f>
        <v xml:space="preserve"> </v>
      </c>
      <c r="K32" s="5">
        <f>SUMIF(Sales!B:B,A32,Sales!F:F)</f>
        <v>4.1072450031524976</v>
      </c>
      <c r="L32" s="6" t="str">
        <f>IF($C32=0," ",COUNTIFS($C:$C,1,K:K,"&gt;"&amp;K32)+1)</f>
        <v xml:space="preserve"> </v>
      </c>
      <c r="M32" s="5">
        <f>SQRT(SUMIF(Sales!B:B,A32,Sales!G:G))</f>
        <v>1.9022018705055272</v>
      </c>
      <c r="N32" s="5">
        <f>I32-K32</f>
        <v>0.89275499684750237</v>
      </c>
      <c r="O32" s="6" t="str">
        <f>IF($C32=0," ",COUNTIFS($C:$C,1,N:N,"&gt;"&amp;N32)+1)</f>
        <v xml:space="preserve"> </v>
      </c>
      <c r="P32" s="5">
        <f>N32/M32</f>
        <v>0.46932715748525927</v>
      </c>
      <c r="Q32" s="4" t="str">
        <f>IF($C32=0," ",COUNTIFS($C:$C,1,P:P,"&gt;"&amp;P32)+1)</f>
        <v xml:space="preserve"> </v>
      </c>
      <c r="R32" s="16">
        <f>IF(I32&gt;K32,1-_xlfn.NORM.DIST(I32,K32,M32,1),_xlfn.NORM.DIST(I32,K32,M32,1))</f>
        <v>0.31941790315924523</v>
      </c>
      <c r="S32" s="30" t="str">
        <f>IF($C32=0," ",COUNTIFS($C:$C,1,R:R,"&gt;"&amp;R32)+1)</f>
        <v xml:space="preserve"> </v>
      </c>
      <c r="T32" s="6">
        <f>E32/K32</f>
        <v>223.99442918400487</v>
      </c>
      <c r="U32" s="4" t="str">
        <f>IF($C32=0," ",COUNTIFS($C:$C,1,T:T,"&lt;"&amp;T32)+1)</f>
        <v xml:space="preserve"> </v>
      </c>
      <c r="V32" s="4"/>
      <c r="X32" s="4"/>
      <c r="Y32" s="4"/>
    </row>
    <row r="33" spans="1:25" x14ac:dyDescent="0.3">
      <c r="A33" s="4">
        <v>24</v>
      </c>
      <c r="B33" s="4" t="s">
        <v>31</v>
      </c>
      <c r="C33" s="4">
        <v>1</v>
      </c>
      <c r="D33" s="4">
        <f t="array" ref="D33">MAX(IF(Sales!B:B=A33,Sales!C:C))</f>
        <v>25</v>
      </c>
      <c r="E33" s="4">
        <f>SUMIF(Sales!B:B,A33,Sales!E:E)</f>
        <v>900</v>
      </c>
      <c r="F33" s="6">
        <f>IF($C33=0," ",COUNTIFS($C:$C,1,E:E,"&gt;"&amp;E33)+1)</f>
        <v>9</v>
      </c>
      <c r="G33" s="4">
        <f>SUMIF(Sales!B:B,A33,Sales!D:D)</f>
        <v>86</v>
      </c>
      <c r="H33" s="4">
        <f>IF($C33=0," ",COUNTIFS($C:$C,1,G:G,"&gt;"&amp;G33)+1)</f>
        <v>9</v>
      </c>
      <c r="I33" s="4">
        <f>SUMIF(Prizes!B:B,A33,Prizes!D:D)</f>
        <v>1</v>
      </c>
      <c r="J33" s="4">
        <f>IF($C33=0," ",COUNTIFS($C:$C,1,I:I,"&gt;"&amp;I33)+1)</f>
        <v>20</v>
      </c>
      <c r="K33" s="5">
        <f>SUMIF(Sales!B:B,A33,Sales!F:F)</f>
        <v>3.562488369159555</v>
      </c>
      <c r="L33" s="6">
        <f>IF($C33=0," ",COUNTIFS($C:$C,1,K:K,"&gt;"&amp;K33)+1)</f>
        <v>11</v>
      </c>
      <c r="M33" s="5">
        <f>SQRT(SUMIF(Sales!B:B,A33,Sales!G:G))</f>
        <v>1.7935656079747917</v>
      </c>
      <c r="N33" s="5">
        <f>I33-K33</f>
        <v>-2.562488369159555</v>
      </c>
      <c r="O33" s="6">
        <f>IF($C33=0," ",COUNTIFS($C:$C,1,N:N,"&gt;"&amp;N33)+1)</f>
        <v>32</v>
      </c>
      <c r="P33" s="5">
        <f>N33/M33</f>
        <v>-1.4287118116927955</v>
      </c>
      <c r="Q33" s="4">
        <f>IF($C33=0," ",COUNTIFS($C:$C,1,P:P,"&gt;"&amp;P33)+1)</f>
        <v>31</v>
      </c>
      <c r="R33" s="16">
        <f>IF(I33&gt;K33,1-_xlfn.NORM.DIST(I33,K33,M33,1),_xlfn.NORM.DIST(I33,K33,M33,1))</f>
        <v>7.6543540741150745E-2</v>
      </c>
      <c r="S33" s="30">
        <f>IF($C33=0," ",COUNTIFS($C:$C,1,R:R,"&gt;"&amp;R33)+1)</f>
        <v>28</v>
      </c>
      <c r="T33" s="6">
        <f>E33/K33</f>
        <v>252.63240374096256</v>
      </c>
      <c r="U33" s="4">
        <f>IF($C33=0," ",COUNTIFS($C:$C,1,T:T,"&lt;"&amp;T33)+1)</f>
        <v>32</v>
      </c>
      <c r="V33" s="4"/>
      <c r="X33" s="4"/>
      <c r="Y33" s="4"/>
    </row>
    <row r="34" spans="1:25" x14ac:dyDescent="0.3">
      <c r="A34" s="4">
        <v>34</v>
      </c>
      <c r="B34" s="4" t="s">
        <v>45</v>
      </c>
      <c r="C34" s="4">
        <v>1</v>
      </c>
      <c r="D34" s="4">
        <f t="array" ref="D34">MAX(IF(Sales!B:B=A34,Sales!C:C))</f>
        <v>25</v>
      </c>
      <c r="E34" s="4">
        <f>SUMIF(Sales!B:B,A34,Sales!E:E)</f>
        <v>970</v>
      </c>
      <c r="F34" s="6">
        <f>IF($C34=0," ",COUNTIFS($C:$C,1,E:E,"&gt;"&amp;E34)+1)</f>
        <v>7</v>
      </c>
      <c r="G34" s="4">
        <f>SUMIF(Sales!B:B,A34,Sales!D:D)</f>
        <v>98</v>
      </c>
      <c r="H34" s="4">
        <f>IF($C34=0," ",COUNTIFS($C:$C,1,G:G,"&gt;"&amp;G34)+1)</f>
        <v>7</v>
      </c>
      <c r="I34" s="4">
        <f>SUMIF(Prizes!B:B,A34,Prizes!D:D)</f>
        <v>3</v>
      </c>
      <c r="J34" s="4">
        <f>IF($C34=0," ",COUNTIFS($C:$C,1,I:I,"&gt;"&amp;I34)+1)</f>
        <v>11</v>
      </c>
      <c r="K34" s="5">
        <f>SUMIF(Sales!B:B,A34,Sales!F:F)</f>
        <v>4.3534509198949252</v>
      </c>
      <c r="L34" s="6">
        <f>IF($C34=0," ",COUNTIFS($C:$C,1,K:K,"&gt;"&amp;K34)+1)</f>
        <v>8</v>
      </c>
      <c r="M34" s="5">
        <f>SQRT(SUMIF(Sales!B:B,A34,Sales!G:G))</f>
        <v>1.9945743168446053</v>
      </c>
      <c r="N34" s="5">
        <f>I34-K34</f>
        <v>-1.3534509198949252</v>
      </c>
      <c r="O34" s="6">
        <f>IF($C34=0," ",COUNTIFS($C:$C,1,N:N,"&gt;"&amp;N34)+1)</f>
        <v>26</v>
      </c>
      <c r="P34" s="5">
        <f>N34/M34</f>
        <v>-0.67856630282699604</v>
      </c>
      <c r="Q34" s="4">
        <f>IF($C34=0," ",COUNTIFS($C:$C,1,P:P,"&gt;"&amp;P34)+1)</f>
        <v>22</v>
      </c>
      <c r="R34" s="16">
        <f>IF(I34&gt;K34,1-_xlfn.NORM.DIST(I34,K34,M34,1),_xlfn.NORM.DIST(I34,K34,M34,1))</f>
        <v>0.24870634998260621</v>
      </c>
      <c r="S34" s="30">
        <f>IF($C34=0," ",COUNTIFS($C:$C,1,R:R,"&gt;"&amp;R34)+1)</f>
        <v>14</v>
      </c>
      <c r="T34" s="6">
        <f>E34/K34</f>
        <v>222.81174586514274</v>
      </c>
      <c r="U34" s="4">
        <f>IF($C34=0," ",COUNTIFS($C:$C,1,T:T,"&lt;"&amp;T34)+1)</f>
        <v>23</v>
      </c>
      <c r="V34" s="4"/>
      <c r="X34" s="4"/>
      <c r="Y34" s="4"/>
    </row>
    <row r="35" spans="1:25" x14ac:dyDescent="0.3">
      <c r="A35" s="4">
        <v>36</v>
      </c>
      <c r="B35" s="4" t="s">
        <v>47</v>
      </c>
      <c r="C35" s="4">
        <v>0</v>
      </c>
      <c r="D35" s="4">
        <f t="array" ref="D35">MAX(IF(Sales!B:B=A35,Sales!C:C))</f>
        <v>25</v>
      </c>
      <c r="E35" s="4">
        <f>SUMIF(Sales!B:B,A35,Sales!E:E)</f>
        <v>550</v>
      </c>
      <c r="F35" s="6" t="str">
        <f>IF($C35=0," ",COUNTIFS($C:$C,1,E:E,"&gt;"&amp;E35)+1)</f>
        <v xml:space="preserve"> </v>
      </c>
      <c r="G35" s="4">
        <f>SUMIF(Sales!B:B,A35,Sales!D:D)</f>
        <v>56</v>
      </c>
      <c r="H35" s="4" t="str">
        <f>IF($C35=0," ",COUNTIFS($C:$C,1,G:G,"&gt;"&amp;G35)+1)</f>
        <v xml:space="preserve"> </v>
      </c>
      <c r="I35" s="4">
        <f>SUMIF(Prizes!B:B,A35,Prizes!D:D)</f>
        <v>3</v>
      </c>
      <c r="J35" s="4" t="str">
        <f>IF($C35=0," ",COUNTIFS($C:$C,1,I:I,"&gt;"&amp;I35)+1)</f>
        <v xml:space="preserve"> </v>
      </c>
      <c r="K35" s="5">
        <f>SUMIF(Sales!B:B,A35,Sales!F:F)</f>
        <v>2.4859439060394397</v>
      </c>
      <c r="L35" s="6" t="str">
        <f>IF($C35=0," ",COUNTIFS($C:$C,1,K:K,"&gt;"&amp;K35)+1)</f>
        <v xml:space="preserve"> </v>
      </c>
      <c r="M35" s="5">
        <f>SQRT(SUMIF(Sales!B:B,A35,Sales!G:G))</f>
        <v>1.5068099169263773</v>
      </c>
      <c r="N35" s="5">
        <f>I35-K35</f>
        <v>0.51405609396056029</v>
      </c>
      <c r="O35" s="6" t="str">
        <f>IF($C35=0," ",COUNTIFS($C:$C,1,N:N,"&gt;"&amp;N35)+1)</f>
        <v xml:space="preserve"> </v>
      </c>
      <c r="P35" s="5">
        <f>N35/M35</f>
        <v>0.34115523675948639</v>
      </c>
      <c r="Q35" s="4" t="str">
        <f>IF($C35=0," ",COUNTIFS($C:$C,1,P:P,"&gt;"&amp;P35)+1)</f>
        <v xml:space="preserve"> </v>
      </c>
      <c r="R35" s="16">
        <f>IF(I35&gt;K35,1-_xlfn.NORM.DIST(I35,K35,M35,1),_xlfn.NORM.DIST(I35,K35,M35,1))</f>
        <v>0.36649335990656162</v>
      </c>
      <c r="S35" s="30" t="str">
        <f>IF($C35=0," ",COUNTIFS($C:$C,1,R:R,"&gt;"&amp;R35)+1)</f>
        <v xml:space="preserve"> </v>
      </c>
      <c r="T35" s="6">
        <f>E35/K35</f>
        <v>221.24393018837256</v>
      </c>
      <c r="U35" s="4" t="str">
        <f>IF($C35=0," ",COUNTIFS($C:$C,1,T:T,"&lt;"&amp;T35)+1)</f>
        <v xml:space="preserve"> </v>
      </c>
      <c r="V35" s="4"/>
      <c r="X35" s="4"/>
      <c r="Y35" s="4"/>
    </row>
    <row r="36" spans="1:25" x14ac:dyDescent="0.3">
      <c r="A36" s="4">
        <v>44</v>
      </c>
      <c r="B36" s="4" t="s">
        <v>82</v>
      </c>
      <c r="C36" s="4">
        <v>1</v>
      </c>
      <c r="D36" s="4">
        <f t="array" ref="D36">MAX(IF(Sales!B:B=A36,Sales!C:C))</f>
        <v>25</v>
      </c>
      <c r="E36" s="8">
        <f>SUMIF(Sales!B:B,A36,Sales!E:E)</f>
        <v>650</v>
      </c>
      <c r="F36" s="28">
        <f>IF($C36=0," ",COUNTIFS($C:$C,1,E:E,"&gt;"&amp;E36)+1)</f>
        <v>13</v>
      </c>
      <c r="G36" s="8">
        <f>SUMIF(Sales!B:B,A36,Sales!D:D)</f>
        <v>65</v>
      </c>
      <c r="H36" s="8">
        <f>IF($C36=0," ",COUNTIFS($C:$C,1,G:G,"&gt;"&amp;G36)+1)</f>
        <v>12</v>
      </c>
      <c r="I36" s="8">
        <f>SUMIF(Prizes!B:B,A36,Prizes!D:D)</f>
        <v>4</v>
      </c>
      <c r="J36" s="8">
        <f>IF($C36=0," ",COUNTIFS($C:$C,1,I:I,"&gt;"&amp;I36)+1)</f>
        <v>8</v>
      </c>
      <c r="K36" s="9">
        <f>SUMIF(Sales!B:B,A36,Sales!F:F)</f>
        <v>3.0956886063894959</v>
      </c>
      <c r="L36" s="28">
        <f>IF($C36=0," ",COUNTIFS($C:$C,1,K:K,"&gt;"&amp;K36)+1)</f>
        <v>12</v>
      </c>
      <c r="M36" s="9">
        <f>SQRT(SUMIF(Sales!B:B,A36,Sales!G:G))</f>
        <v>1.6717224598960152</v>
      </c>
      <c r="N36" s="9">
        <f>I36-K36</f>
        <v>0.90431139361050406</v>
      </c>
      <c r="O36" s="28">
        <f>IF($C36=0," ",COUNTIFS($C:$C,1,N:N,"&gt;"&amp;N36)+1)</f>
        <v>8</v>
      </c>
      <c r="P36" s="5">
        <f>N36/M36</f>
        <v>0.54094588982596681</v>
      </c>
      <c r="Q36" s="10">
        <f>IF($C36=0," ",COUNTIFS($C:$C,1,P:P,"&gt;"&amp;P36)+1)</f>
        <v>9</v>
      </c>
      <c r="R36" s="16">
        <f>IF(I36&gt;K36,1-_xlfn.NORM.DIST(I36,K36,M36,1),_xlfn.NORM.DIST(I36,K36,M36,1))</f>
        <v>0.29427243970880734</v>
      </c>
      <c r="S36" s="30">
        <f>IF($C36=0," ",COUNTIFS($C:$C,1,R:R,"&gt;"&amp;R36)+1)</f>
        <v>10</v>
      </c>
      <c r="T36" s="6">
        <f>E36/K36</f>
        <v>209.96943899925887</v>
      </c>
      <c r="U36" s="4">
        <f>IF($C36=0," ",COUNTIFS($C:$C,1,T:T,"&lt;"&amp;T36)+1)</f>
        <v>11</v>
      </c>
      <c r="V36" s="4"/>
      <c r="X36" s="4"/>
      <c r="Y36" s="4"/>
    </row>
    <row r="37" spans="1:25" x14ac:dyDescent="0.3">
      <c r="A37" s="4">
        <v>52</v>
      </c>
      <c r="B37" s="4" t="s">
        <v>126</v>
      </c>
      <c r="C37" s="4">
        <v>0</v>
      </c>
      <c r="D37" s="26">
        <f t="array" ref="D37">MAX(IF(Sales!B:B=A37,Sales!C:C))</f>
        <v>25</v>
      </c>
      <c r="E37" s="26">
        <f>SUMIF(Sales!B:B,A37,Sales!E:E)</f>
        <v>1460</v>
      </c>
      <c r="F37" s="29" t="str">
        <f>IF($C37=0," ",COUNTIFS($C:$C,1,E:E,"&gt;"&amp;E37)+1)</f>
        <v xml:space="preserve"> </v>
      </c>
      <c r="G37" s="26">
        <f>SUMIF(Sales!B:B,A37,Sales!D:D)</f>
        <v>146</v>
      </c>
      <c r="H37" s="26" t="str">
        <f>IF($C37=0," ",COUNTIFS($C:$C,1,G:G,"&gt;"&amp;G37)+1)</f>
        <v xml:space="preserve"> </v>
      </c>
      <c r="I37" s="26">
        <f>SUMIF(Prizes!B:B,A37,Prizes!D:D)</f>
        <v>6</v>
      </c>
      <c r="J37" s="26" t="str">
        <f>IF($C37=0," ",COUNTIFS($C:$C,1,I:I,"&gt;"&amp;I37)+1)</f>
        <v xml:space="preserve"> </v>
      </c>
      <c r="K37" s="27">
        <f>SUMIF(Sales!B:B,A37,Sales!F:F)</f>
        <v>5.1080759694107609</v>
      </c>
      <c r="L37" s="29" t="str">
        <f>IF($C37=0," ",COUNTIFS($C:$C,1,K:K,"&gt;"&amp;K37)+1)</f>
        <v xml:space="preserve"> </v>
      </c>
      <c r="M37" s="27">
        <f>SQRT(SUMIF(Sales!B:B,A37,Sales!G:G))</f>
        <v>2.0150443563942693</v>
      </c>
      <c r="N37" s="27">
        <f>I37-K37</f>
        <v>0.89192403058923908</v>
      </c>
      <c r="O37" s="29" t="str">
        <f>IF($C37=0," ",COUNTIFS($C:$C,1,N:N,"&gt;"&amp;N37)+1)</f>
        <v xml:space="preserve"> </v>
      </c>
      <c r="P37" s="27">
        <f>N37/M37</f>
        <v>0.44263245509158544</v>
      </c>
      <c r="Q37" s="10" t="str">
        <f>IF($C37=0," ",COUNTIFS($C:$C,1,P:P,"&gt;"&amp;P37)+1)</f>
        <v xml:space="preserve"> </v>
      </c>
      <c r="R37" s="16">
        <f>IF(I37&gt;K37,1-_xlfn.NORM.DIST(I37,K37,M37,1),_xlfn.NORM.DIST(I37,K37,M37,1))</f>
        <v>0.32901580282901155</v>
      </c>
      <c r="S37" s="41" t="str">
        <f>IF($C37=0," ",COUNTIFS($C:$C,1,R:R,"&gt;"&amp;R37)+1)</f>
        <v xml:space="preserve"> </v>
      </c>
      <c r="T37" s="6">
        <f>E37/K37</f>
        <v>285.82190412653893</v>
      </c>
      <c r="U37" s="10" t="str">
        <f>IF($C37=0," ",COUNTIFS($C:$C,1,T:T,"&lt;"&amp;T37)+1)</f>
        <v xml:space="preserve"> </v>
      </c>
      <c r="V37" s="4"/>
      <c r="X37" s="4"/>
      <c r="Y37" s="4"/>
    </row>
    <row r="38" spans="1:25" x14ac:dyDescent="0.3">
      <c r="A38" s="4">
        <v>58</v>
      </c>
      <c r="B38" s="4" t="s">
        <v>139</v>
      </c>
      <c r="C38" s="4">
        <v>1</v>
      </c>
      <c r="D38" s="45">
        <f t="array" ref="D38">MAX(IF(Sales!B:B=A38,Sales!C:C))</f>
        <v>25</v>
      </c>
      <c r="E38" s="45">
        <f>SUMIF(Sales!B:B,A38,Sales!E:E)</f>
        <v>140</v>
      </c>
      <c r="F38" s="46">
        <f>IF($C38=0," ",COUNTIFS($C:$C,1,E:E,"&gt;"&amp;E38)+1)</f>
        <v>26</v>
      </c>
      <c r="G38" s="45">
        <f>SUMIF(Sales!B:B,A38,Sales!D:D)</f>
        <v>14</v>
      </c>
      <c r="H38" s="45">
        <f>IF($C38=0," ",COUNTIFS($C:$C,1,G:G,"&gt;"&amp;G38)+1)</f>
        <v>26</v>
      </c>
      <c r="I38" s="45">
        <f>SUMIF(Prizes!B:B,A38,Prizes!D:D)</f>
        <v>0</v>
      </c>
      <c r="J38" s="45">
        <f>IF($C38=0," ",COUNTIFS($C:$C,1,I:I,"&gt;"&amp;I38)+1)</f>
        <v>25</v>
      </c>
      <c r="K38" s="47">
        <f>SUMIF(Sales!B:B,A38,Sales!F:F)</f>
        <v>0.45102685624012639</v>
      </c>
      <c r="L38" s="46">
        <f>IF($C38=0," ",COUNTIFS($C:$C,1,K:K,"&gt;"&amp;K38)+1)</f>
        <v>28</v>
      </c>
      <c r="M38" s="47">
        <f>SQRT(SUMIF(Sales!B:B,A38,Sales!G:G))</f>
        <v>0.64934374156921504</v>
      </c>
      <c r="N38" s="47">
        <f>I38-K38</f>
        <v>-0.45102685624012639</v>
      </c>
      <c r="O38" s="46">
        <f>IF($C38=0," ",COUNTIFS($C:$C,1,N:N,"&gt;"&amp;N38)+1)</f>
        <v>17</v>
      </c>
      <c r="P38" s="47">
        <f>N38/M38</f>
        <v>-0.69458874763336798</v>
      </c>
      <c r="Q38" s="10">
        <f>IF($C38=0," ",COUNTIFS($C:$C,1,P:P,"&gt;"&amp;P38)+1)</f>
        <v>23</v>
      </c>
      <c r="R38" s="16">
        <f>IF(I38&gt;K38,1-_xlfn.NORM.DIST(I38,K38,M38,1),_xlfn.NORM.DIST(I38,K38,M38,1))</f>
        <v>0.24365653299274614</v>
      </c>
      <c r="S38" s="48">
        <f>IF($C38=0," ",COUNTIFS($C:$C,1,R:R,"&gt;"&amp;R38)+1)</f>
        <v>16</v>
      </c>
      <c r="T38" s="6">
        <f>E38/K38</f>
        <v>310.40280210157619</v>
      </c>
      <c r="U38" s="10">
        <f>IF($C38=0," ",COUNTIFS($C:$C,1,T:T,"&lt;"&amp;T38)+1)</f>
        <v>33</v>
      </c>
      <c r="V38" s="4"/>
      <c r="X38" s="4"/>
      <c r="Y38" s="4"/>
    </row>
    <row r="39" spans="1:25" x14ac:dyDescent="0.3">
      <c r="A39" s="4">
        <v>60</v>
      </c>
      <c r="B39" s="4" t="s">
        <v>141</v>
      </c>
      <c r="C39" s="4">
        <v>1</v>
      </c>
      <c r="D39" s="45">
        <f t="array" ref="D39">MAX(IF(Sales!B:B=A39,Sales!C:C))</f>
        <v>25</v>
      </c>
      <c r="E39" s="45">
        <f>SUMIF(Sales!B:B,A39,Sales!E:E)</f>
        <v>110</v>
      </c>
      <c r="F39" s="46">
        <f>IF($C39=0," ",COUNTIFS($C:$C,1,E:E,"&gt;"&amp;E39)+1)</f>
        <v>27</v>
      </c>
      <c r="G39" s="45">
        <f>SUMIF(Sales!B:B,A39,Sales!D:D)</f>
        <v>11</v>
      </c>
      <c r="H39" s="45">
        <f>IF($C39=0," ",COUNTIFS($C:$C,1,G:G,"&gt;"&amp;G39)+1)</f>
        <v>27</v>
      </c>
      <c r="I39" s="45">
        <f>SUMIF(Prizes!B:B,A39,Prizes!D:D)</f>
        <v>1</v>
      </c>
      <c r="J39" s="45">
        <f>IF($C39=0," ",COUNTIFS($C:$C,1,I:I,"&gt;"&amp;I39)+1)</f>
        <v>20</v>
      </c>
      <c r="K39" s="47">
        <f>SUMIF(Sales!B:B,A39,Sales!F:F)</f>
        <v>0.44510268562401262</v>
      </c>
      <c r="L39" s="46">
        <f>IF($C39=0," ",COUNTIFS($C:$C,1,K:K,"&gt;"&amp;K39)+1)</f>
        <v>29</v>
      </c>
      <c r="M39" s="47">
        <f>SQRT(SUMIF(Sales!B:B,A39,Sales!G:G))</f>
        <v>0.63884076444179816</v>
      </c>
      <c r="N39" s="47">
        <f>I39-K39</f>
        <v>0.55489731437598744</v>
      </c>
      <c r="O39" s="46">
        <f>IF($C39=0," ",COUNTIFS($C:$C,1,N:N,"&gt;"&amp;N39)+1)</f>
        <v>11</v>
      </c>
      <c r="P39" s="47">
        <f>N39/M39</f>
        <v>0.86860035436348804</v>
      </c>
      <c r="Q39" s="10">
        <f>IF($C39=0," ",COUNTIFS($C:$C,1,P:P,"&gt;"&amp;P39)+1)</f>
        <v>7</v>
      </c>
      <c r="R39" s="16">
        <f>IF(I39&gt;K39,1-_xlfn.NORM.DIST(I39,K39,M39,1),_xlfn.NORM.DIST(I39,K39,M39,1))</f>
        <v>0.19253288029890714</v>
      </c>
      <c r="S39" s="48">
        <f>IF($C39=0," ",COUNTIFS($C:$C,1,R:R,"&gt;"&amp;R39)+1)</f>
        <v>19</v>
      </c>
      <c r="T39" s="6">
        <f>E39/K39</f>
        <v>247.13398402839397</v>
      </c>
      <c r="U39" s="10">
        <f>IF($C39=0," ",COUNTIFS($C:$C,1,T:T,"&lt;"&amp;T39)+1)</f>
        <v>31</v>
      </c>
      <c r="V39" s="4"/>
      <c r="X39" s="4"/>
      <c r="Y39" s="4"/>
    </row>
    <row r="40" spans="1:25" x14ac:dyDescent="0.3">
      <c r="A40" s="4">
        <v>62</v>
      </c>
      <c r="B40" s="4" t="s">
        <v>147</v>
      </c>
      <c r="C40" s="4">
        <v>0</v>
      </c>
      <c r="D40" s="45">
        <f t="array" ref="D40">MAX(IF(Sales!B:B=A40,Sales!C:C))</f>
        <v>24</v>
      </c>
      <c r="E40" s="45">
        <f>SUMIF(Sales!B:B,A40,Sales!E:E)</f>
        <v>70</v>
      </c>
      <c r="F40" s="46" t="str">
        <f>IF($C40=0," ",COUNTIFS($C:$C,1,E:E,"&gt;"&amp;E40)+1)</f>
        <v xml:space="preserve"> </v>
      </c>
      <c r="G40" s="45">
        <f>SUMIF(Sales!B:B,A40,Sales!D:D)</f>
        <v>7</v>
      </c>
      <c r="H40" s="45" t="str">
        <f>IF($C40=0," ",COUNTIFS($C:$C,1,G:G,"&gt;"&amp;G40)+1)</f>
        <v xml:space="preserve"> </v>
      </c>
      <c r="I40" s="45">
        <f>SUMIF(Prizes!B:B,A40,Prizes!D:D)</f>
        <v>1</v>
      </c>
      <c r="J40" s="45" t="str">
        <f>IF($C40=0," ",COUNTIFS($C:$C,1,I:I,"&gt;"&amp;I40)+1)</f>
        <v xml:space="preserve"> </v>
      </c>
      <c r="K40" s="47">
        <f>SUMIF(Sales!B:B,A40,Sales!F:F)</f>
        <v>0.40163934426229508</v>
      </c>
      <c r="L40" s="46" t="str">
        <f>IF($C40=0," ",COUNTIFS($C:$C,1,K:K,"&gt;"&amp;K40)+1)</f>
        <v xml:space="preserve"> </v>
      </c>
      <c r="M40" s="47">
        <f>SQRT(SUMIF(Sales!B:B,A40,Sales!G:G))</f>
        <v>0.59985096870342769</v>
      </c>
      <c r="N40" s="47">
        <f>I40-K40</f>
        <v>0.59836065573770492</v>
      </c>
      <c r="O40" s="46" t="str">
        <f>IF($C40=0," ",COUNTIFS($C:$C,1,N:N,"&gt;"&amp;N40)+1)</f>
        <v xml:space="preserve"> </v>
      </c>
      <c r="P40" s="47">
        <f>N40/M40</f>
        <v>0.99751552795031062</v>
      </c>
      <c r="Q40" s="10" t="str">
        <f>IF($C40=0," ",COUNTIFS($C:$C,1,P:P,"&gt;"&amp;P40)+1)</f>
        <v xml:space="preserve"> </v>
      </c>
      <c r="R40" s="16">
        <f>IF(I40&gt;K40,1-_xlfn.NORM.DIST(I40,K40,M40,1),_xlfn.NORM.DIST(I40,K40,M40,1))</f>
        <v>0.15925717022701158</v>
      </c>
      <c r="S40" s="48" t="str">
        <f>IF($C40=0," ",COUNTIFS($C:$C,1,R:R,"&gt;"&amp;R40)+1)</f>
        <v xml:space="preserve"> </v>
      </c>
      <c r="T40" s="6">
        <f>E40/K40</f>
        <v>174.28571428571428</v>
      </c>
      <c r="U40" s="10" t="str">
        <f>IF($C40=0," ",COUNTIFS($C:$C,1,T:T,"&lt;"&amp;T40)+1)</f>
        <v xml:space="preserve"> </v>
      </c>
      <c r="V40" s="4"/>
      <c r="X40" s="4"/>
      <c r="Y40" s="4"/>
    </row>
    <row r="41" spans="1:25" x14ac:dyDescent="0.3">
      <c r="A41" s="4">
        <v>16</v>
      </c>
      <c r="B41" s="4" t="s">
        <v>23</v>
      </c>
      <c r="C41" s="4">
        <v>0</v>
      </c>
      <c r="D41" s="4">
        <f t="array" ref="D41">MAX(IF(Sales!B:B=A41,Sales!C:C))</f>
        <v>23</v>
      </c>
      <c r="E41" s="4">
        <f>SUMIF(Sales!B:B,A41,Sales!E:E)</f>
        <v>270</v>
      </c>
      <c r="F41" s="6" t="str">
        <f>IF($C41=0," ",COUNTIFS($C:$C,1,E:E,"&gt;"&amp;E41)+1)</f>
        <v xml:space="preserve"> </v>
      </c>
      <c r="G41" s="4">
        <f>SUMIF(Sales!B:B,A41,Sales!D:D)</f>
        <v>24</v>
      </c>
      <c r="H41" s="4" t="str">
        <f>IF($C41=0," ",COUNTIFS($C:$C,1,G:G,"&gt;"&amp;G41)+1)</f>
        <v xml:space="preserve"> </v>
      </c>
      <c r="I41" s="4">
        <f>SUMIF(Prizes!B:B,A41,Prizes!D:D)</f>
        <v>0</v>
      </c>
      <c r="J41" s="4" t="str">
        <f>IF($C41=0," ",COUNTIFS($C:$C,1,I:I,"&gt;"&amp;I41)+1)</f>
        <v xml:space="preserve"> </v>
      </c>
      <c r="K41" s="5">
        <f>SUMIF(Sales!B:B,A41,Sales!F:F)</f>
        <v>1.0975313272294744</v>
      </c>
      <c r="L41" s="6" t="str">
        <f>IF($C41=0," ",COUNTIFS($C:$C,1,K:K,"&gt;"&amp;K41)+1)</f>
        <v xml:space="preserve"> </v>
      </c>
      <c r="M41" s="5">
        <f>SQRT(SUMIF(Sales!B:B,A41,Sales!G:G))</f>
        <v>1.0115690860951829</v>
      </c>
      <c r="N41" s="5">
        <f>I41-K41</f>
        <v>-1.0975313272294744</v>
      </c>
      <c r="O41" s="6" t="str">
        <f>IF($C41=0," ",COUNTIFS($C:$C,1,N:N,"&gt;"&amp;N41)+1)</f>
        <v xml:space="preserve"> </v>
      </c>
      <c r="P41" s="5">
        <f>N41/M41</f>
        <v>-1.0849791104887549</v>
      </c>
      <c r="Q41" s="4" t="str">
        <f>IF($C41=0," ",COUNTIFS($C:$C,1,P:P,"&gt;"&amp;P41)+1)</f>
        <v xml:space="preserve"> </v>
      </c>
      <c r="R41" s="16">
        <f>IF(I41&gt;K41,1-_xlfn.NORM.DIST(I41,K41,M41,1),_xlfn.NORM.DIST(I41,K41,M41,1))</f>
        <v>0.13896545370290456</v>
      </c>
      <c r="S41" s="30" t="str">
        <f>IF($C41=0," ",COUNTIFS($C:$C,1,R:R,"&gt;"&amp;R41)+1)</f>
        <v xml:space="preserve"> </v>
      </c>
      <c r="T41" s="6">
        <f>E41/K41</f>
        <v>246.00664536981162</v>
      </c>
      <c r="U41" s="4" t="str">
        <f>IF($C41=0," ",COUNTIFS($C:$C,1,T:T,"&lt;"&amp;T41)+1)</f>
        <v xml:space="preserve"> </v>
      </c>
      <c r="V41" s="4"/>
      <c r="X41" s="4"/>
      <c r="Y41" s="4"/>
    </row>
    <row r="42" spans="1:25" x14ac:dyDescent="0.3">
      <c r="A42" s="4">
        <v>17</v>
      </c>
      <c r="B42" s="4" t="s">
        <v>24</v>
      </c>
      <c r="C42" s="4">
        <v>1</v>
      </c>
      <c r="D42" s="4">
        <f t="array" ref="D42">MAX(IF(Sales!B:B=A42,Sales!C:C))</f>
        <v>23</v>
      </c>
      <c r="E42" s="4">
        <f>SUMIF(Sales!B:B,A42,Sales!E:E)</f>
        <v>410</v>
      </c>
      <c r="F42" s="6">
        <f>IF($C42=0," ",COUNTIFS($C:$C,1,E:E,"&gt;"&amp;E42)+1)</f>
        <v>19</v>
      </c>
      <c r="G42" s="4">
        <f>SUMIF(Sales!B:B,A42,Sales!D:D)</f>
        <v>39</v>
      </c>
      <c r="H42" s="4">
        <f>IF($C42=0," ",COUNTIFS($C:$C,1,G:G,"&gt;"&amp;G42)+1)</f>
        <v>19</v>
      </c>
      <c r="I42" s="4">
        <f>SUMIF(Prizes!B:B,A42,Prizes!D:D)</f>
        <v>1</v>
      </c>
      <c r="J42" s="4">
        <f>IF($C42=0," ",COUNTIFS($C:$C,1,I:I,"&gt;"&amp;I42)+1)</f>
        <v>20</v>
      </c>
      <c r="K42" s="5">
        <f>SUMIF(Sales!B:B,A42,Sales!F:F)</f>
        <v>1.6703246855316638</v>
      </c>
      <c r="L42" s="6">
        <f>IF($C42=0," ",COUNTIFS($C:$C,1,K:K,"&gt;"&amp;K42)+1)</f>
        <v>20</v>
      </c>
      <c r="M42" s="5">
        <f>SQRT(SUMIF(Sales!B:B,A42,Sales!G:G))</f>
        <v>1.245982760280343</v>
      </c>
      <c r="N42" s="5">
        <f>I42-K42</f>
        <v>-0.6703246855316638</v>
      </c>
      <c r="O42" s="6">
        <f>IF($C42=0," ",COUNTIFS($C:$C,1,N:N,"&gt;"&amp;N42)+1)</f>
        <v>21</v>
      </c>
      <c r="P42" s="5">
        <f>N42/M42</f>
        <v>-0.5379887321882707</v>
      </c>
      <c r="Q42" s="4">
        <f>IF($C42=0," ",COUNTIFS($C:$C,1,P:P,"&gt;"&amp;P42)+1)</f>
        <v>18</v>
      </c>
      <c r="R42" s="16">
        <f>IF(I42&gt;K42,1-_xlfn.NORM.DIST(I42,K42,M42,1),_xlfn.NORM.DIST(I42,K42,M42,1))</f>
        <v>0.29529241384275995</v>
      </c>
      <c r="S42" s="30">
        <f>IF($C42=0," ",COUNTIFS($C:$C,1,R:R,"&gt;"&amp;R42)+1)</f>
        <v>9</v>
      </c>
      <c r="T42" s="6">
        <f>E42/K42</f>
        <v>245.46125885069893</v>
      </c>
      <c r="U42" s="4">
        <f>IF($C42=0," ",COUNTIFS($C:$C,1,T:T,"&lt;"&amp;T42)+1)</f>
        <v>30</v>
      </c>
      <c r="V42" s="4"/>
      <c r="X42" s="4"/>
      <c r="Y42" s="4"/>
    </row>
    <row r="43" spans="1:25" x14ac:dyDescent="0.3">
      <c r="A43" s="4">
        <v>56</v>
      </c>
      <c r="B43" s="4" t="s">
        <v>137</v>
      </c>
      <c r="C43" s="4">
        <v>0</v>
      </c>
      <c r="D43" s="45">
        <f t="array" ref="D43">MAX(IF(Sales!B:B=A43,Sales!C:C))</f>
        <v>23</v>
      </c>
      <c r="E43" s="45">
        <f>SUMIF(Sales!B:B,A43,Sales!E:E)</f>
        <v>60</v>
      </c>
      <c r="F43" s="46" t="str">
        <f>IF($C43=0," ",COUNTIFS($C:$C,1,E:E,"&gt;"&amp;E43)+1)</f>
        <v xml:space="preserve"> </v>
      </c>
      <c r="G43" s="45">
        <f>SUMIF(Sales!B:B,A43,Sales!D:D)</f>
        <v>6</v>
      </c>
      <c r="H43" s="45" t="str">
        <f>IF($C43=0," ",COUNTIFS($C:$C,1,G:G,"&gt;"&amp;G43)+1)</f>
        <v xml:space="preserve"> </v>
      </c>
      <c r="I43" s="45">
        <f>SUMIF(Prizes!B:B,A43,Prizes!D:D)</f>
        <v>2</v>
      </c>
      <c r="J43" s="45" t="str">
        <f>IF($C43=0," ",COUNTIFS($C:$C,1,I:I,"&gt;"&amp;I43)+1)</f>
        <v xml:space="preserve"> </v>
      </c>
      <c r="K43" s="47">
        <f>SUMIF(Sales!B:B,A43,Sales!F:F)</f>
        <v>0.27500000000000002</v>
      </c>
      <c r="L43" s="46" t="str">
        <f>IF($C43=0," ",COUNTIFS($C:$C,1,K:K,"&gt;"&amp;K43)+1)</f>
        <v xml:space="preserve"> </v>
      </c>
      <c r="M43" s="47">
        <f>SQRT(SUMIF(Sales!B:B,A43,Sales!G:G))</f>
        <v>0.50856891930369497</v>
      </c>
      <c r="N43" s="47">
        <f>I43-K43</f>
        <v>1.7250000000000001</v>
      </c>
      <c r="O43" s="46" t="str">
        <f>IF($C43=0," ",COUNTIFS($C:$C,1,N:N,"&gt;"&amp;N43)+1)</f>
        <v xml:space="preserve"> </v>
      </c>
      <c r="P43" s="47">
        <f>N43/M43</f>
        <v>3.3918706679161139</v>
      </c>
      <c r="Q43" s="10" t="str">
        <f>IF($C43=0," ",COUNTIFS($C:$C,1,P:P,"&gt;"&amp;P43)+1)</f>
        <v xml:space="preserve"> </v>
      </c>
      <c r="R43" s="16">
        <f>IF(I43&gt;K43,1-_xlfn.NORM.DIST(I43,K43,M43,1),_xlfn.NORM.DIST(I43,K43,M43,1))</f>
        <v>3.470859913787816E-4</v>
      </c>
      <c r="S43" s="48" t="str">
        <f>IF($C43=0," ",COUNTIFS($C:$C,1,R:R,"&gt;"&amp;R43)+1)</f>
        <v xml:space="preserve"> </v>
      </c>
      <c r="T43" s="6">
        <f>E43/K43</f>
        <v>218.18181818181816</v>
      </c>
      <c r="U43" s="10" t="str">
        <f>IF($C43=0," ",COUNTIFS($C:$C,1,T:T,"&lt;"&amp;T43)+1)</f>
        <v xml:space="preserve"> </v>
      </c>
      <c r="V43" s="4"/>
      <c r="X43" s="4"/>
      <c r="Y43" s="4"/>
    </row>
    <row r="44" spans="1:25" x14ac:dyDescent="0.3">
      <c r="A44" s="4">
        <v>50</v>
      </c>
      <c r="B44" s="4" t="s">
        <v>122</v>
      </c>
      <c r="C44" s="4">
        <v>0</v>
      </c>
      <c r="D44" s="26">
        <f t="array" ref="D44">MAX(IF(Sales!B:B=A44,Sales!C:C))</f>
        <v>22</v>
      </c>
      <c r="E44" s="26">
        <f>SUMIF(Sales!B:B,A44,Sales!E:E)</f>
        <v>130</v>
      </c>
      <c r="F44" s="29" t="str">
        <f>IF($C44=0," ",COUNTIFS($C:$C,1,E:E,"&gt;"&amp;E44)+1)</f>
        <v xml:space="preserve"> </v>
      </c>
      <c r="G44" s="26">
        <f>SUMIF(Sales!B:B,A44,Sales!D:D)</f>
        <v>13</v>
      </c>
      <c r="H44" s="26" t="str">
        <f>IF($C44=0," ",COUNTIFS($C:$C,1,G:G,"&gt;"&amp;G44)+1)</f>
        <v xml:space="preserve"> </v>
      </c>
      <c r="I44" s="26">
        <f>SUMIF(Prizes!B:B,A44,Prizes!D:D)</f>
        <v>0</v>
      </c>
      <c r="J44" s="26" t="str">
        <f>IF($C44=0," ",COUNTIFS($C:$C,1,I:I,"&gt;"&amp;I44)+1)</f>
        <v xml:space="preserve"> </v>
      </c>
      <c r="K44" s="27">
        <f>SUMIF(Sales!B:B,A44,Sales!F:F)</f>
        <v>0.59117647058823541</v>
      </c>
      <c r="L44" s="29" t="str">
        <f>IF($C44=0," ",COUNTIFS($C:$C,1,K:K,"&gt;"&amp;K44)+1)</f>
        <v xml:space="preserve"> </v>
      </c>
      <c r="M44" s="27">
        <f>SQRT(SUMIF(Sales!B:B,A44,Sales!G:G))</f>
        <v>0.73055024326446005</v>
      </c>
      <c r="N44" s="27">
        <f>I44-K44</f>
        <v>-0.59117647058823541</v>
      </c>
      <c r="O44" s="29" t="str">
        <f>IF($C44=0," ",COUNTIFS($C:$C,1,N:N,"&gt;"&amp;N44)+1)</f>
        <v xml:space="preserve"> </v>
      </c>
      <c r="P44" s="27">
        <f>N44/M44</f>
        <v>-0.80922082504081627</v>
      </c>
      <c r="Q44" s="10" t="str">
        <f>IF($C44=0," ",COUNTIFS($C:$C,1,P:P,"&gt;"&amp;P44)+1)</f>
        <v xml:space="preserve"> </v>
      </c>
      <c r="R44" s="16">
        <f>IF(I44&gt;K44,1-_xlfn.NORM.DIST(I44,K44,M44,1),_xlfn.NORM.DIST(I44,K44,M44,1))</f>
        <v>0.2091940691709436</v>
      </c>
      <c r="S44" s="41" t="str">
        <f>IF($C44=0," ",COUNTIFS($C:$C,1,R:R,"&gt;"&amp;R44)+1)</f>
        <v xml:space="preserve"> </v>
      </c>
      <c r="T44" s="6">
        <f>E44/K44</f>
        <v>219.90049751243777</v>
      </c>
      <c r="U44" s="10" t="str">
        <f>IF($C44=0," ",COUNTIFS($C:$C,1,T:T,"&lt;"&amp;T44)+1)</f>
        <v xml:space="preserve"> </v>
      </c>
      <c r="V44" s="4"/>
      <c r="X44" s="4"/>
      <c r="Y44" s="4"/>
    </row>
    <row r="45" spans="1:25" x14ac:dyDescent="0.3">
      <c r="A45" s="4">
        <v>51</v>
      </c>
      <c r="B45" s="4" t="s">
        <v>125</v>
      </c>
      <c r="C45" s="4">
        <v>0</v>
      </c>
      <c r="D45" s="26">
        <f t="array" ref="D45">MAX(IF(Sales!B:B=A45,Sales!C:C))</f>
        <v>22</v>
      </c>
      <c r="E45" s="26">
        <f>SUMIF(Sales!B:B,A45,Sales!E:E)</f>
        <v>170</v>
      </c>
      <c r="F45" s="29" t="str">
        <f>IF($C45=0," ",COUNTIFS($C:$C,1,E:E,"&gt;"&amp;E45)+1)</f>
        <v xml:space="preserve"> </v>
      </c>
      <c r="G45" s="26">
        <f>SUMIF(Sales!B:B,A45,Sales!D:D)</f>
        <v>17</v>
      </c>
      <c r="H45" s="26" t="str">
        <f>IF($C45=0," ",COUNTIFS($C:$C,1,G:G,"&gt;"&amp;G45)+1)</f>
        <v xml:space="preserve"> </v>
      </c>
      <c r="I45" s="26">
        <f>SUMIF(Prizes!B:B,A45,Prizes!D:D)</f>
        <v>0</v>
      </c>
      <c r="J45" s="26" t="str">
        <f>IF($C45=0," ",COUNTIFS($C:$C,1,I:I,"&gt;"&amp;I45)+1)</f>
        <v xml:space="preserve"> </v>
      </c>
      <c r="K45" s="27">
        <f>SUMIF(Sales!B:B,A45,Sales!F:F)</f>
        <v>0.68572660008786301</v>
      </c>
      <c r="L45" s="29" t="str">
        <f>IF($C45=0," ",COUNTIFS($C:$C,1,K:K,"&gt;"&amp;K45)+1)</f>
        <v xml:space="preserve"> </v>
      </c>
      <c r="M45" s="27">
        <f>SQRT(SUMIF(Sales!B:B,A45,Sales!G:G))</f>
        <v>0.80007672906497651</v>
      </c>
      <c r="N45" s="27">
        <f>I45-K45</f>
        <v>-0.68572660008786301</v>
      </c>
      <c r="O45" s="29" t="str">
        <f>IF($C45=0," ",COUNTIFS($C:$C,1,N:N,"&gt;"&amp;N45)+1)</f>
        <v xml:space="preserve"> </v>
      </c>
      <c r="P45" s="27">
        <f>N45/M45</f>
        <v>-0.85707604680522231</v>
      </c>
      <c r="Q45" s="10" t="str">
        <f>IF($C45=0," ",COUNTIFS($C:$C,1,P:P,"&gt;"&amp;P45)+1)</f>
        <v xml:space="preserve"> </v>
      </c>
      <c r="R45" s="16">
        <f>IF(I45&gt;K45,1-_xlfn.NORM.DIST(I45,K45,M45,1),_xlfn.NORM.DIST(I45,K45,M45,1))</f>
        <v>0.19570142905695206</v>
      </c>
      <c r="S45" s="41" t="str">
        <f>IF($C45=0," ",COUNTIFS($C:$C,1,R:R,"&gt;"&amp;R45)+1)</f>
        <v xml:space="preserve"> </v>
      </c>
      <c r="T45" s="6">
        <f>E45/K45</f>
        <v>247.9122145447146</v>
      </c>
      <c r="U45" s="10" t="str">
        <f>IF($C45=0," ",COUNTIFS($C:$C,1,T:T,"&lt;"&amp;T45)+1)</f>
        <v xml:space="preserve"> </v>
      </c>
      <c r="V45" s="4"/>
      <c r="X45" s="4"/>
      <c r="Y45" s="4"/>
    </row>
    <row r="46" spans="1:25" x14ac:dyDescent="0.3">
      <c r="A46" s="4">
        <v>2</v>
      </c>
      <c r="B46" s="4" t="s">
        <v>3</v>
      </c>
      <c r="C46" s="4">
        <v>1</v>
      </c>
      <c r="D46" s="4">
        <f t="array" ref="D46">MAX(IF(Sales!B:B=A46,Sales!C:C))</f>
        <v>21</v>
      </c>
      <c r="E46" s="4">
        <f>SUMIF(Sales!B:B,A46,Sales!E:E)</f>
        <v>750</v>
      </c>
      <c r="F46" s="6">
        <f>IF($C46=0," ",COUNTIFS($C:$C,1,E:E,"&gt;"&amp;E46)+1)</f>
        <v>12</v>
      </c>
      <c r="G46" s="4">
        <f>SUMIF(Sales!B:B,A46,Sales!D:D)</f>
        <v>65</v>
      </c>
      <c r="H46" s="4">
        <f>IF($C46=0," ",COUNTIFS($C:$C,1,G:G,"&gt;"&amp;G46)+1)</f>
        <v>12</v>
      </c>
      <c r="I46" s="4">
        <f>SUMIF(Prizes!B:B,A46,Prizes!D:D)</f>
        <v>2</v>
      </c>
      <c r="J46" s="4">
        <f>IF($C46=0," ",COUNTIFS($C:$C,1,I:I,"&gt;"&amp;I46)+1)</f>
        <v>13</v>
      </c>
      <c r="K46" s="5">
        <f>SUMIF(Sales!B:B,A46,Sales!F:F)</f>
        <v>3.0749747879706155</v>
      </c>
      <c r="L46" s="6">
        <f>IF($C46=0," ",COUNTIFS($C:$C,1,K:K,"&gt;"&amp;K46)+1)</f>
        <v>13</v>
      </c>
      <c r="M46" s="5">
        <f>SQRT(SUMIF(Sales!B:B,A46,Sales!G:G))</f>
        <v>1.6670556241583492</v>
      </c>
      <c r="N46" s="5">
        <f>I46-K46</f>
        <v>-1.0749747879706155</v>
      </c>
      <c r="O46" s="6">
        <f>IF($C46=0," ",COUNTIFS($C:$C,1,N:N,"&gt;"&amp;N46)+1)</f>
        <v>25</v>
      </c>
      <c r="P46" s="5">
        <f>N46/M46</f>
        <v>-0.64483438488343237</v>
      </c>
      <c r="Q46" s="4">
        <f>IF($C46=0," ",COUNTIFS($C:$C,1,P:P,"&gt;"&amp;P46)+1)</f>
        <v>21</v>
      </c>
      <c r="R46" s="16">
        <f>IF(I46&gt;K46,1-_xlfn.NORM.DIST(I46,K46,M46,1),_xlfn.NORM.DIST(I46,K46,M46,1))</f>
        <v>0.25951725827739575</v>
      </c>
      <c r="S46" s="30">
        <f>IF($C46=0," ",COUNTIFS($C:$C,1,R:R,"&gt;"&amp;R46)+1)</f>
        <v>13</v>
      </c>
      <c r="T46" s="6">
        <f>E46/K46</f>
        <v>243.90443880516364</v>
      </c>
      <c r="U46" s="4">
        <f>IF($C46=0," ",COUNTIFS($C:$C,1,T:T,"&lt;"&amp;T46)+1)</f>
        <v>29</v>
      </c>
      <c r="V46" s="4"/>
      <c r="X46" s="4"/>
      <c r="Y46" s="4"/>
    </row>
    <row r="47" spans="1:25" x14ac:dyDescent="0.3">
      <c r="A47" s="4">
        <v>20</v>
      </c>
      <c r="B47" s="4" t="s">
        <v>27</v>
      </c>
      <c r="C47" s="4">
        <v>1</v>
      </c>
      <c r="D47" s="4">
        <f t="array" ref="D47">MAX(IF(Sales!B:B=A47,Sales!C:C))</f>
        <v>21</v>
      </c>
      <c r="E47" s="4">
        <f>SUMIF(Sales!B:B,A47,Sales!E:E)</f>
        <v>860</v>
      </c>
      <c r="F47" s="6">
        <f>IF($C47=0," ",COUNTIFS($C:$C,1,E:E,"&gt;"&amp;E47)+1)</f>
        <v>10</v>
      </c>
      <c r="G47" s="4">
        <f>SUMIF(Sales!B:B,A47,Sales!D:D)</f>
        <v>85</v>
      </c>
      <c r="H47" s="4">
        <f>IF($C47=0," ",COUNTIFS($C:$C,1,G:G,"&gt;"&amp;G47)+1)</f>
        <v>10</v>
      </c>
      <c r="I47" s="4">
        <f>SUMIF(Prizes!B:B,A47,Prizes!D:D)</f>
        <v>6</v>
      </c>
      <c r="J47" s="4">
        <f>IF($C47=0," ",COUNTIFS($C:$C,1,I:I,"&gt;"&amp;I47)+1)</f>
        <v>4</v>
      </c>
      <c r="K47" s="5">
        <f>SUMIF(Sales!B:B,A47,Sales!F:F)</f>
        <v>3.8059384171605499</v>
      </c>
      <c r="L47" s="6">
        <f>IF($C47=0," ",COUNTIFS($C:$C,1,K:K,"&gt;"&amp;K47)+1)</f>
        <v>9</v>
      </c>
      <c r="M47" s="5">
        <f>SQRT(SUMIF(Sales!B:B,A47,Sales!G:G))</f>
        <v>1.8697596112891726</v>
      </c>
      <c r="N47" s="5">
        <f>I47-K47</f>
        <v>2.1940615828394501</v>
      </c>
      <c r="O47" s="6">
        <f>IF($C47=0," ",COUNTIFS($C:$C,1,N:N,"&gt;"&amp;N47)+1)</f>
        <v>2</v>
      </c>
      <c r="P47" s="5">
        <f>N47/M47</f>
        <v>1.1734458106765264</v>
      </c>
      <c r="Q47" s="4">
        <f>IF($C47=0," ",COUNTIFS($C:$C,1,P:P,"&gt;"&amp;P47)+1)</f>
        <v>5</v>
      </c>
      <c r="R47" s="16">
        <f>IF(I47&gt;K47,1-_xlfn.NORM.DIST(I47,K47,M47,1),_xlfn.NORM.DIST(I47,K47,M47,1))</f>
        <v>0.12030853778064177</v>
      </c>
      <c r="S47" s="30">
        <f>IF($C47=0," ",COUNTIFS($C:$C,1,R:R,"&gt;"&amp;R47)+1)</f>
        <v>24</v>
      </c>
      <c r="T47" s="6">
        <f>E47/K47</f>
        <v>225.96266826661102</v>
      </c>
      <c r="U47" s="4">
        <f>IF($C47=0," ",COUNTIFS($C:$C,1,T:T,"&lt;"&amp;T47)+1)</f>
        <v>24</v>
      </c>
      <c r="X47" s="4"/>
      <c r="Y47" s="4"/>
    </row>
    <row r="48" spans="1:25" x14ac:dyDescent="0.3">
      <c r="A48" s="4">
        <v>55</v>
      </c>
      <c r="B48" s="4" t="s">
        <v>135</v>
      </c>
      <c r="C48" s="4">
        <v>0</v>
      </c>
      <c r="D48" s="26">
        <f t="array" ref="D48">MAX(IF(Sales!B:B=A48,Sales!C:C))</f>
        <v>21</v>
      </c>
      <c r="E48" s="26">
        <f>SUMIF(Sales!B:B,A48,Sales!E:E)</f>
        <v>50</v>
      </c>
      <c r="F48" s="29" t="str">
        <f>IF($C48=0," ",COUNTIFS($C:$C,1,E:E,"&gt;"&amp;E48)+1)</f>
        <v xml:space="preserve"> </v>
      </c>
      <c r="G48" s="26">
        <f>SUMIF(Sales!B:B,A48,Sales!D:D)</f>
        <v>5</v>
      </c>
      <c r="H48" s="26" t="str">
        <f>IF($C48=0," ",COUNTIFS($C:$C,1,G:G,"&gt;"&amp;G48)+1)</f>
        <v xml:space="preserve"> </v>
      </c>
      <c r="I48" s="26">
        <f>SUMIF(Prizes!B:B,A48,Prizes!D:D)</f>
        <v>0</v>
      </c>
      <c r="J48" s="26" t="str">
        <f>IF($C48=0," ",COUNTIFS($C:$C,1,I:I,"&gt;"&amp;I48)+1)</f>
        <v xml:space="preserve"> </v>
      </c>
      <c r="K48" s="27">
        <f>SUMIF(Sales!B:B,A48,Sales!F:F)</f>
        <v>0.13966480446927373</v>
      </c>
      <c r="L48" s="29" t="str">
        <f>IF($C48=0," ",COUNTIFS($C:$C,1,K:K,"&gt;"&amp;K48)+1)</f>
        <v xml:space="preserve"> </v>
      </c>
      <c r="M48" s="27">
        <f>SQRT(SUMIF(Sales!B:B,A48,Sales!G:G))</f>
        <v>0.36429752481921757</v>
      </c>
      <c r="N48" s="27">
        <f>I48-K48</f>
        <v>-0.13966480446927373</v>
      </c>
      <c r="O48" s="29" t="str">
        <f>IF($C48=0," ",COUNTIFS($C:$C,1,N:N,"&gt;"&amp;N48)+1)</f>
        <v xml:space="preserve"> </v>
      </c>
      <c r="P48" s="27">
        <f>N48/M48</f>
        <v>-0.3833811512679981</v>
      </c>
      <c r="Q48" s="10" t="str">
        <f>IF($C48=0," ",COUNTIFS($C:$C,1,P:P,"&gt;"&amp;P48)+1)</f>
        <v xml:space="preserve"> </v>
      </c>
      <c r="R48" s="16">
        <f>IF(I48&gt;K48,1-_xlfn.NORM.DIST(I48,K48,M48,1),_xlfn.NORM.DIST(I48,K48,M48,1))</f>
        <v>0.35071858839852854</v>
      </c>
      <c r="S48" s="41" t="str">
        <f>IF($C48=0," ",COUNTIFS($C:$C,1,R:R,"&gt;"&amp;R48)+1)</f>
        <v xml:space="preserve"> </v>
      </c>
      <c r="T48" s="6">
        <f>E48/K48</f>
        <v>358</v>
      </c>
      <c r="U48" s="10" t="str">
        <f>IF($C48=0," ",COUNTIFS($C:$C,1,T:T,"&lt;"&amp;T48)+1)</f>
        <v xml:space="preserve"> </v>
      </c>
      <c r="X48" s="4"/>
      <c r="Y48" s="4"/>
    </row>
    <row r="49" spans="1:25" x14ac:dyDescent="0.3">
      <c r="A49" s="4">
        <v>42</v>
      </c>
      <c r="B49" s="4" t="s">
        <v>80</v>
      </c>
      <c r="C49" s="4">
        <v>0</v>
      </c>
      <c r="D49" s="4">
        <f t="array" ref="D49">MAX(IF(Sales!B:B=A49,Sales!C:C))</f>
        <v>19</v>
      </c>
      <c r="E49" s="8">
        <f>SUMIF(Sales!B:B,A49,Sales!E:E)</f>
        <v>180</v>
      </c>
      <c r="F49" s="28" t="str">
        <f>IF($C49=0," ",COUNTIFS($C:$C,1,E:E,"&gt;"&amp;E49)+1)</f>
        <v xml:space="preserve"> </v>
      </c>
      <c r="G49" s="8">
        <f>SUMIF(Sales!B:B,A49,Sales!D:D)</f>
        <v>18</v>
      </c>
      <c r="H49" s="8" t="str">
        <f>IF($C49=0," ",COUNTIFS($C:$C,1,G:G,"&gt;"&amp;G49)+1)</f>
        <v xml:space="preserve"> </v>
      </c>
      <c r="I49" s="8">
        <f>SUMIF(Prizes!B:B,A49,Prizes!D:D)</f>
        <v>1</v>
      </c>
      <c r="J49" s="8" t="str">
        <f>IF($C49=0," ",COUNTIFS($C:$C,1,I:I,"&gt;"&amp;I49)+1)</f>
        <v xml:space="preserve"> </v>
      </c>
      <c r="K49" s="9">
        <f>SUMIF(Sales!B:B,A49,Sales!F:F)</f>
        <v>0.77946480083496894</v>
      </c>
      <c r="L49" s="28" t="str">
        <f>IF($C49=0," ",COUNTIFS($C:$C,1,K:K,"&gt;"&amp;K49)+1)</f>
        <v xml:space="preserve"> </v>
      </c>
      <c r="M49" s="9">
        <f>SQRT(SUMIF(Sales!B:B,A49,Sales!G:G))</f>
        <v>0.85313059319831075</v>
      </c>
      <c r="N49" s="9">
        <f>I49-K49</f>
        <v>0.22053519916503106</v>
      </c>
      <c r="O49" s="28" t="str">
        <f>IF($C49=0," ",COUNTIFS($C:$C,1,N:N,"&gt;"&amp;N49)+1)</f>
        <v xml:space="preserve"> </v>
      </c>
      <c r="P49" s="5">
        <f>N49/M49</f>
        <v>0.2585011027892743</v>
      </c>
      <c r="Q49" s="10" t="str">
        <f>IF($C49=0," ",COUNTIFS($C:$C,1,P:P,"&gt;"&amp;P49)+1)</f>
        <v xml:space="preserve"> </v>
      </c>
      <c r="R49" s="16">
        <f>IF(I49&gt;K49,1-_xlfn.NORM.DIST(I49,K49,M49,1),_xlfn.NORM.DIST(I49,K49,M49,1))</f>
        <v>0.39801009896921591</v>
      </c>
      <c r="S49" s="30" t="str">
        <f>IF($C49=0," ",COUNTIFS($C:$C,1,R:R,"&gt;"&amp;R49)+1)</f>
        <v xml:space="preserve"> </v>
      </c>
      <c r="T49" s="6">
        <f>E49/K49</f>
        <v>230.92768243951818</v>
      </c>
      <c r="U49" s="4" t="str">
        <f>IF($C49=0," ",COUNTIFS($C:$C,1,T:T,"&lt;"&amp;T49)+1)</f>
        <v xml:space="preserve"> </v>
      </c>
      <c r="X49" s="4"/>
      <c r="Y49" s="4"/>
    </row>
    <row r="50" spans="1:25" x14ac:dyDescent="0.3">
      <c r="A50" s="4">
        <v>1</v>
      </c>
      <c r="B50" s="4" t="s">
        <v>44</v>
      </c>
      <c r="C50" s="4">
        <v>0</v>
      </c>
      <c r="D50" s="4">
        <f t="array" ref="D50">MAX(IF(Sales!B:B=A50,Sales!C:C))</f>
        <v>18</v>
      </c>
      <c r="E50" s="4">
        <f>SUMIF(Sales!B:B,A50,Sales!E:E)</f>
        <v>1360</v>
      </c>
      <c r="F50" s="6" t="str">
        <f>IF($C50=0," ",COUNTIFS($C:$C,1,E:E,"&gt;"&amp;E50)+1)</f>
        <v xml:space="preserve"> </v>
      </c>
      <c r="G50" s="4">
        <f>SUMIF(Sales!B:B,A50,Sales!D:D)</f>
        <v>127</v>
      </c>
      <c r="H50" s="4" t="str">
        <f>IF($C50=0," ",COUNTIFS($C:$C,1,G:G,"&gt;"&amp;G50)+1)</f>
        <v xml:space="preserve"> </v>
      </c>
      <c r="I50" s="4">
        <f>SUMIF(Prizes!B:B,A50,Prizes!D:D)</f>
        <v>5</v>
      </c>
      <c r="J50" s="4" t="str">
        <f>IF($C50=0," ",COUNTIFS($C:$C,1,I:I,"&gt;"&amp;I50)+1)</f>
        <v xml:space="preserve"> </v>
      </c>
      <c r="K50" s="5">
        <f>SUMIF(Sales!B:B,A50,Sales!F:F)</f>
        <v>6.0719704412152948</v>
      </c>
      <c r="L50" s="6" t="str">
        <f>IF($C50=0," ",COUNTIFS($C:$C,1,K:K,"&gt;"&amp;K50)+1)</f>
        <v xml:space="preserve"> </v>
      </c>
      <c r="M50" s="5">
        <f>SQRT(SUMIF(Sales!B:B,A50,Sales!G:G))</f>
        <v>2.2871608424340759</v>
      </c>
      <c r="N50" s="5">
        <f>I50-K50</f>
        <v>-1.0719704412152948</v>
      </c>
      <c r="O50" s="6" t="str">
        <f>IF($C50=0," ",COUNTIFS($C:$C,1,N:N,"&gt;"&amp;N50)+1)</f>
        <v xml:space="preserve"> </v>
      </c>
      <c r="P50" s="5">
        <f>N50/M50</f>
        <v>-0.46869044858011238</v>
      </c>
      <c r="Q50" s="4" t="str">
        <f>IF($C50=0," ",COUNTIFS($C:$C,1,P:P,"&gt;"&amp;P50)+1)</f>
        <v xml:space="preserve"> </v>
      </c>
      <c r="R50" s="16">
        <f>IF(I50&gt;K50,1-_xlfn.NORM.DIST(I50,K50,M50,1),_xlfn.NORM.DIST(I50,K50,M50,1))</f>
        <v>0.3196454575746297</v>
      </c>
      <c r="S50" s="30" t="str">
        <f>IF($C50=0," ",COUNTIFS($C:$C,1,R:R,"&gt;"&amp;R50)+1)</f>
        <v xml:space="preserve"> </v>
      </c>
      <c r="T50" s="6">
        <f>E50/K50</f>
        <v>223.98000997643169</v>
      </c>
      <c r="U50" s="4" t="str">
        <f>IF($C50=0," ",COUNTIFS($C:$C,1,T:T,"&lt;"&amp;T50)+1)</f>
        <v xml:space="preserve"> </v>
      </c>
      <c r="X50" s="4"/>
      <c r="Y50" s="4"/>
    </row>
    <row r="51" spans="1:25" x14ac:dyDescent="0.3">
      <c r="A51" s="4">
        <v>39</v>
      </c>
      <c r="B51" s="4" t="s">
        <v>76</v>
      </c>
      <c r="C51" s="4">
        <v>0</v>
      </c>
      <c r="D51" s="4">
        <f t="array" ref="D51">MAX(IF(Sales!B:B=A51,Sales!C:C))</f>
        <v>18</v>
      </c>
      <c r="E51" s="8">
        <f>SUMIF(Sales!B:B,A51,Sales!E:E)</f>
        <v>40</v>
      </c>
      <c r="F51" s="28" t="str">
        <f>IF($C51=0," ",COUNTIFS($C:$C,1,E:E,"&gt;"&amp;E51)+1)</f>
        <v xml:space="preserve"> </v>
      </c>
      <c r="G51" s="8">
        <f>SUMIF(Sales!B:B,A51,Sales!D:D)</f>
        <v>5</v>
      </c>
      <c r="H51" s="8" t="str">
        <f>IF($C51=0," ",COUNTIFS($C:$C,1,G:G,"&gt;"&amp;G51)+1)</f>
        <v xml:space="preserve"> </v>
      </c>
      <c r="I51" s="8">
        <f>SUMIF(Prizes!B:B,A51,Prizes!D:D)</f>
        <v>0</v>
      </c>
      <c r="J51" s="8" t="str">
        <f>IF($C51=0," ",COUNTIFS($C:$C,1,I:I,"&gt;"&amp;I51)+1)</f>
        <v xml:space="preserve"> </v>
      </c>
      <c r="K51" s="9">
        <f>SUMIF(Sales!B:B,A51,Sales!F:F)</f>
        <v>0.44943930749557348</v>
      </c>
      <c r="L51" s="28" t="str">
        <f>IF($C51=0," ",COUNTIFS($C:$C,1,K:K,"&gt;"&amp;K51)+1)</f>
        <v xml:space="preserve"> </v>
      </c>
      <c r="M51" s="9">
        <f>SQRT(SUMIF(Sales!B:B,A51,Sales!G:G))</f>
        <v>0.61791657214945761</v>
      </c>
      <c r="N51" s="9">
        <f>I51-K51</f>
        <v>-0.44943930749557348</v>
      </c>
      <c r="O51" s="28" t="str">
        <f>IF($C51=0," ",COUNTIFS($C:$C,1,N:N,"&gt;"&amp;N51)+1)</f>
        <v xml:space="preserve"> </v>
      </c>
      <c r="P51" s="5">
        <f>N51/M51</f>
        <v>-0.72734625959645904</v>
      </c>
      <c r="Q51" s="10" t="str">
        <f>IF($C51=0," ",COUNTIFS($C:$C,1,P:P,"&gt;"&amp;P51)+1)</f>
        <v xml:space="preserve"> </v>
      </c>
      <c r="R51" s="16">
        <f>IF(I51&gt;K51,1-_xlfn.NORM.DIST(I51,K51,M51,1),_xlfn.NORM.DIST(I51,K51,M51,1))</f>
        <v>0.23350693326254907</v>
      </c>
      <c r="S51" s="30" t="str">
        <f>IF($C51=0," ",COUNTIFS($C:$C,1,R:R,"&gt;"&amp;R51)+1)</f>
        <v xml:space="preserve"> </v>
      </c>
      <c r="T51" s="6">
        <f>E51/K51</f>
        <v>88.999781133727296</v>
      </c>
      <c r="U51" s="4" t="str">
        <f>IF($C51=0," ",COUNTIFS($C:$C,1,T:T,"&lt;"&amp;T51)+1)</f>
        <v xml:space="preserve"> </v>
      </c>
      <c r="X51" s="4"/>
      <c r="Y51" s="4"/>
    </row>
    <row r="52" spans="1:25" x14ac:dyDescent="0.3">
      <c r="A52" s="4">
        <v>8</v>
      </c>
      <c r="B52" s="4" t="s">
        <v>9</v>
      </c>
      <c r="C52" s="4">
        <v>0</v>
      </c>
      <c r="D52" s="4">
        <f t="array" ref="D52">MAX(IF(Sales!B:B=A52,Sales!C:C))</f>
        <v>17</v>
      </c>
      <c r="E52" s="4">
        <f>SUMIF(Sales!B:B,A52,Sales!E:E)</f>
        <v>2060</v>
      </c>
      <c r="F52" s="6" t="str">
        <f>IF($C52=0," ",COUNTIFS($C:$C,1,E:E,"&gt;"&amp;E52)+1)</f>
        <v xml:space="preserve"> </v>
      </c>
      <c r="G52" s="4">
        <f>SUMIF(Sales!B:B,A52,Sales!D:D)</f>
        <v>189</v>
      </c>
      <c r="H52" s="4" t="str">
        <f>IF($C52=0," ",COUNTIFS($C:$C,1,G:G,"&gt;"&amp;G52)+1)</f>
        <v xml:space="preserve"> </v>
      </c>
      <c r="I52" s="4">
        <f>SUMIF(Prizes!B:B,A52,Prizes!D:D)</f>
        <v>8</v>
      </c>
      <c r="J52" s="4" t="str">
        <f>IF($C52=0," ",COUNTIFS($C:$C,1,I:I,"&gt;"&amp;I52)+1)</f>
        <v xml:space="preserve"> </v>
      </c>
      <c r="K52" s="5">
        <f>SUMIF(Sales!B:B,A52,Sales!F:F)</f>
        <v>8.7731840201125806</v>
      </c>
      <c r="L52" s="6" t="str">
        <f>IF($C52=0," ",COUNTIFS($C:$C,1,K:K,"&gt;"&amp;K52)+1)</f>
        <v xml:space="preserve"> </v>
      </c>
      <c r="M52" s="5">
        <f>SQRT(SUMIF(Sales!B:B,A52,Sales!G:G))</f>
        <v>2.7176050085623271</v>
      </c>
      <c r="N52" s="5">
        <f>I52-K52</f>
        <v>-0.77318402011258058</v>
      </c>
      <c r="O52" s="6" t="str">
        <f>IF($C52=0," ",COUNTIFS($C:$C,1,N:N,"&gt;"&amp;N52)+1)</f>
        <v xml:space="preserve"> </v>
      </c>
      <c r="P52" s="5">
        <f>N52/M52</f>
        <v>-0.28450934469009237</v>
      </c>
      <c r="Q52" s="4" t="str">
        <f>IF($C52=0," ",COUNTIFS($C:$C,1,P:P,"&gt;"&amp;P52)+1)</f>
        <v xml:space="preserve"> </v>
      </c>
      <c r="R52" s="16">
        <f>IF(I52&gt;K52,1-_xlfn.NORM.DIST(I52,K52,M52,1),_xlfn.NORM.DIST(I52,K52,M52,1))</f>
        <v>0.3880100368901796</v>
      </c>
      <c r="S52" s="30" t="str">
        <f>IF($C52=0," ",COUNTIFS($C:$C,1,R:R,"&gt;"&amp;R52)+1)</f>
        <v xml:space="preserve"> </v>
      </c>
      <c r="T52" s="6">
        <f>E52/K52</f>
        <v>234.80642777780983</v>
      </c>
      <c r="U52" s="4" t="str">
        <f>IF($C52=0," ",COUNTIFS($C:$C,1,T:T,"&lt;"&amp;T52)+1)</f>
        <v xml:space="preserve"> </v>
      </c>
    </row>
    <row r="53" spans="1:25" x14ac:dyDescent="0.3">
      <c r="A53" s="4">
        <v>49</v>
      </c>
      <c r="B53" s="4" t="s">
        <v>101</v>
      </c>
      <c r="C53" s="4">
        <v>0</v>
      </c>
      <c r="D53" s="4">
        <f t="array" ref="D53">MAX(IF(Sales!B:B=A53,Sales!C:C))</f>
        <v>17</v>
      </c>
      <c r="E53" s="26">
        <f>SUMIF(Sales!B:B,A53,Sales!E:E)</f>
        <v>10</v>
      </c>
      <c r="F53" s="29" t="str">
        <f>IF($C53=0," ",COUNTIFS($C:$C,1,E:E,"&gt;"&amp;E53)+1)</f>
        <v xml:space="preserve"> </v>
      </c>
      <c r="G53" s="26">
        <f>SUMIF(Sales!B:B,A53,Sales!D:D)</f>
        <v>1</v>
      </c>
      <c r="H53" s="26" t="str">
        <f>IF($C53=0," ",COUNTIFS($C:$C,1,G:G,"&gt;"&amp;G53)+1)</f>
        <v xml:space="preserve"> </v>
      </c>
      <c r="I53" s="26">
        <f>SUMIF(Prizes!B:B,A53,Prizes!D:D)</f>
        <v>0</v>
      </c>
      <c r="J53" s="26" t="str">
        <f>IF($C53=0," ",COUNTIFS($C:$C,1,I:I,"&gt;"&amp;I53)+1)</f>
        <v xml:space="preserve"> </v>
      </c>
      <c r="K53" s="27">
        <f>SUMIF(Sales!B:B,A53,Sales!F:F)</f>
        <v>4.046242774566474E-2</v>
      </c>
      <c r="L53" s="29" t="str">
        <f>IF($C53=0," ",COUNTIFS($C:$C,1,K:K,"&gt;"&amp;K53)+1)</f>
        <v xml:space="preserve"> </v>
      </c>
      <c r="M53" s="27">
        <f>SQRT(SUMIF(Sales!B:B,A53,Sales!G:G))</f>
        <v>0.19704116241687067</v>
      </c>
      <c r="N53" s="27">
        <f>I53-K53</f>
        <v>-4.046242774566474E-2</v>
      </c>
      <c r="O53" s="29" t="str">
        <f>IF($C53=0," ",COUNTIFS($C:$C,1,N:N,"&gt;"&amp;N53)+1)</f>
        <v xml:space="preserve"> </v>
      </c>
      <c r="P53" s="5">
        <f>N53/M53</f>
        <v>-0.20535012709710013</v>
      </c>
      <c r="Q53" s="10" t="str">
        <f>IF($C53=0," ",COUNTIFS($C:$C,1,P:P,"&gt;"&amp;P53)+1)</f>
        <v xml:space="preserve"> </v>
      </c>
      <c r="R53" s="16">
        <f>IF(I53&gt;K53,1-_xlfn.NORM.DIST(I53,K53,M53,1),_xlfn.NORM.DIST(I53,K53,M53,1))</f>
        <v>0.41864929133648948</v>
      </c>
      <c r="S53" s="30" t="str">
        <f>IF($C53=0," ",COUNTIFS($C:$C,1,R:R,"&gt;"&amp;R53)+1)</f>
        <v xml:space="preserve"> </v>
      </c>
      <c r="T53" s="6">
        <f>E53/K53</f>
        <v>247.14285714285714</v>
      </c>
      <c r="U53" s="10" t="str">
        <f>IF($C53=0," ",COUNTIFS($C:$C,1,T:T,"&lt;"&amp;T53)+1)</f>
        <v xml:space="preserve"> </v>
      </c>
    </row>
    <row r="54" spans="1:25" x14ac:dyDescent="0.3">
      <c r="A54" s="4">
        <v>5</v>
      </c>
      <c r="B54" s="4" t="s">
        <v>6</v>
      </c>
      <c r="C54" s="4">
        <v>0</v>
      </c>
      <c r="D54" s="4">
        <f t="array" ref="D54">MAX(IF(Sales!B:B=A54,Sales!C:C))</f>
        <v>16</v>
      </c>
      <c r="E54" s="4">
        <f>SUMIF(Sales!B:B,A54,Sales!E:E)</f>
        <v>790</v>
      </c>
      <c r="F54" s="6" t="str">
        <f>IF($C54=0," ",COUNTIFS($C:$C,1,E:E,"&gt;"&amp;E54)+1)</f>
        <v xml:space="preserve"> </v>
      </c>
      <c r="G54" s="4">
        <f>SUMIF(Sales!B:B,A54,Sales!D:D)</f>
        <v>69</v>
      </c>
      <c r="H54" s="4" t="str">
        <f>IF($C54=0," ",COUNTIFS($C:$C,1,G:G,"&gt;"&amp;G54)+1)</f>
        <v xml:space="preserve"> </v>
      </c>
      <c r="I54" s="4">
        <f>SUMIF(Prizes!B:B,A54,Prizes!D:D)</f>
        <v>5</v>
      </c>
      <c r="J54" s="4" t="str">
        <f>IF($C54=0," ",COUNTIFS($C:$C,1,I:I,"&gt;"&amp;I54)+1)</f>
        <v xml:space="preserve"> </v>
      </c>
      <c r="K54" s="5">
        <f>SUMIF(Sales!B:B,A54,Sales!F:F)</f>
        <v>3.2250613603274099</v>
      </c>
      <c r="L54" s="6" t="str">
        <f>IF($C54=0," ",COUNTIFS($C:$C,1,K:K,"&gt;"&amp;K54)+1)</f>
        <v xml:space="preserve"> </v>
      </c>
      <c r="M54" s="5">
        <f>SQRT(SUMIF(Sales!B:B,A54,Sales!G:G))</f>
        <v>1.6993617556865768</v>
      </c>
      <c r="N54" s="5">
        <f>I54-K54</f>
        <v>1.7749386396725901</v>
      </c>
      <c r="O54" s="6" t="str">
        <f>IF($C54=0," ",COUNTIFS($C:$C,1,N:N,"&gt;"&amp;N54)+1)</f>
        <v xml:space="preserve"> </v>
      </c>
      <c r="P54" s="5">
        <f>N54/M54</f>
        <v>1.0444736876848677</v>
      </c>
      <c r="Q54" s="4" t="str">
        <f>IF($C54=0," ",COUNTIFS($C:$C,1,P:P,"&gt;"&amp;P54)+1)</f>
        <v xml:space="preserve"> </v>
      </c>
      <c r="R54" s="16">
        <f>IF(I54&gt;K54,1-_xlfn.NORM.DIST(I54,K54,M54,1),_xlfn.NORM.DIST(I54,K54,M54,1))</f>
        <v>0.1481331433566947</v>
      </c>
      <c r="S54" s="30" t="str">
        <f>IF($C54=0," ",COUNTIFS($C:$C,1,R:R,"&gt;"&amp;R54)+1)</f>
        <v xml:space="preserve"> </v>
      </c>
      <c r="T54" s="6">
        <f>E54/K54</f>
        <v>244.95657965397558</v>
      </c>
      <c r="U54" s="4" t="str">
        <f>IF($C54=0," ",COUNTIFS($C:$C,1,T:T,"&lt;"&amp;T54)+1)</f>
        <v xml:space="preserve"> </v>
      </c>
    </row>
    <row r="55" spans="1:25" x14ac:dyDescent="0.3">
      <c r="A55" s="4">
        <v>3</v>
      </c>
      <c r="B55" s="4" t="s">
        <v>4</v>
      </c>
      <c r="C55" s="4">
        <v>0</v>
      </c>
      <c r="D55" s="4">
        <f t="array" ref="D55">MAX(IF(Sales!B:B=A55,Sales!C:C))</f>
        <v>14</v>
      </c>
      <c r="E55" s="4">
        <f>SUMIF(Sales!B:B,A55,Sales!E:E)</f>
        <v>350</v>
      </c>
      <c r="F55" s="6" t="str">
        <f>IF($C55=0," ",COUNTIFS($C:$C,1,E:E,"&gt;"&amp;E55)+1)</f>
        <v xml:space="preserve"> </v>
      </c>
      <c r="G55" s="4">
        <f>SUMIF(Sales!B:B,A55,Sales!D:D)</f>
        <v>26</v>
      </c>
      <c r="H55" s="4" t="str">
        <f>IF($C55=0," ",COUNTIFS($C:$C,1,G:G,"&gt;"&amp;G55)+1)</f>
        <v xml:space="preserve"> </v>
      </c>
      <c r="I55" s="4">
        <f>SUMIF(Prizes!B:B,A55,Prizes!D:D)</f>
        <v>2</v>
      </c>
      <c r="J55" s="4" t="str">
        <f>IF($C55=0," ",COUNTIFS($C:$C,1,I:I,"&gt;"&amp;I55)+1)</f>
        <v xml:space="preserve"> </v>
      </c>
      <c r="K55" s="5">
        <f>SUMIF(Sales!B:B,A55,Sales!F:F)</f>
        <v>1.7386807932020698</v>
      </c>
      <c r="L55" s="6" t="str">
        <f>IF($C55=0," ",COUNTIFS($C:$C,1,K:K,"&gt;"&amp;K55)+1)</f>
        <v xml:space="preserve"> </v>
      </c>
      <c r="M55" s="5">
        <f>SQRT(SUMIF(Sales!B:B,A55,Sales!G:G))</f>
        <v>1.2196223879112047</v>
      </c>
      <c r="N55" s="5">
        <f>I55-K55</f>
        <v>0.26131920679793019</v>
      </c>
      <c r="O55" s="6" t="str">
        <f>IF($C55=0," ",COUNTIFS($C:$C,1,N:N,"&gt;"&amp;N55)+1)</f>
        <v xml:space="preserve"> </v>
      </c>
      <c r="P55" s="5">
        <f>N55/M55</f>
        <v>0.21426238923465521</v>
      </c>
      <c r="Q55" s="4" t="str">
        <f>IF($C55=0," ",COUNTIFS($C:$C,1,P:P,"&gt;"&amp;P55)+1)</f>
        <v xml:space="preserve"> </v>
      </c>
      <c r="R55" s="16">
        <f>IF(I55&gt;K55,1-_xlfn.NORM.DIST(I55,K55,M55,1),_xlfn.NORM.DIST(I55,K55,M55,1))</f>
        <v>0.41517122299034059</v>
      </c>
      <c r="S55" s="30" t="str">
        <f>IF($C55=0," ",COUNTIFS($C:$C,1,R:R,"&gt;"&amp;R55)+1)</f>
        <v xml:space="preserve"> </v>
      </c>
      <c r="T55" s="6">
        <f>E55/K55</f>
        <v>201.3020454176737</v>
      </c>
      <c r="U55" s="4" t="str">
        <f>IF($C55=0," ",COUNTIFS($C:$C,1,T:T,"&lt;"&amp;T55)+1)</f>
        <v xml:space="preserve"> </v>
      </c>
    </row>
    <row r="56" spans="1:25" x14ac:dyDescent="0.3">
      <c r="A56" s="4">
        <v>7</v>
      </c>
      <c r="B56" s="4" t="s">
        <v>8</v>
      </c>
      <c r="C56" s="4">
        <v>0</v>
      </c>
      <c r="D56" s="4">
        <f t="array" ref="D56">MAX(IF(Sales!B:B=A56,Sales!C:C))</f>
        <v>14</v>
      </c>
      <c r="E56" s="4">
        <f>SUMIF(Sales!B:B,A56,Sales!E:E)</f>
        <v>800</v>
      </c>
      <c r="F56" s="6" t="str">
        <f>IF($C56=0," ",COUNTIFS($C:$C,1,E:E,"&gt;"&amp;E56)+1)</f>
        <v xml:space="preserve"> </v>
      </c>
      <c r="G56" s="4">
        <f>SUMIF(Sales!B:B,A56,Sales!D:D)</f>
        <v>75</v>
      </c>
      <c r="H56" s="4" t="str">
        <f>IF($C56=0," ",COUNTIFS($C:$C,1,G:G,"&gt;"&amp;G56)+1)</f>
        <v xml:space="preserve"> </v>
      </c>
      <c r="I56" s="4">
        <f>SUMIF(Prizes!B:B,A56,Prizes!D:D)</f>
        <v>4</v>
      </c>
      <c r="J56" s="4" t="str">
        <f>IF($C56=0," ",COUNTIFS($C:$C,1,I:I,"&gt;"&amp;I56)+1)</f>
        <v xml:space="preserve"> </v>
      </c>
      <c r="K56" s="5">
        <f>SUMIF(Sales!B:B,A56,Sales!F:F)</f>
        <v>3.0883035773743104</v>
      </c>
      <c r="L56" s="6" t="str">
        <f>IF($C56=0," ",COUNTIFS($C:$C,1,K:K,"&gt;"&amp;K56)+1)</f>
        <v xml:space="preserve"> </v>
      </c>
      <c r="M56" s="5">
        <f>SQRT(SUMIF(Sales!B:B,A56,Sales!G:G))</f>
        <v>1.645289709282524</v>
      </c>
      <c r="N56" s="5">
        <f>I56-K56</f>
        <v>0.91169642262568962</v>
      </c>
      <c r="O56" s="6" t="str">
        <f>IF($C56=0," ",COUNTIFS($C:$C,1,N:N,"&gt;"&amp;N56)+1)</f>
        <v xml:space="preserve"> </v>
      </c>
      <c r="P56" s="5">
        <f>N56/M56</f>
        <v>0.55412515952783847</v>
      </c>
      <c r="Q56" s="4" t="str">
        <f>IF($C56=0," ",COUNTIFS($C:$C,1,P:P,"&gt;"&amp;P56)+1)</f>
        <v xml:space="preserve"> </v>
      </c>
      <c r="R56" s="16">
        <f>IF(I56&gt;K56,1-_xlfn.NORM.DIST(I56,K56,M56,1),_xlfn.NORM.DIST(I56,K56,M56,1))</f>
        <v>0.28974659632997213</v>
      </c>
      <c r="S56" s="30" t="str">
        <f>IF($C56=0," ",COUNTIFS($C:$C,1,R:R,"&gt;"&amp;R56)+1)</f>
        <v xml:space="preserve"> </v>
      </c>
      <c r="T56" s="6">
        <f>E56/K56</f>
        <v>259.04189143224175</v>
      </c>
      <c r="U56" s="4" t="str">
        <f>IF($C56=0," ",COUNTIFS($C:$C,1,T:T,"&lt;"&amp;T56)+1)</f>
        <v xml:space="preserve"> </v>
      </c>
    </row>
    <row r="57" spans="1:25" x14ac:dyDescent="0.3">
      <c r="A57" s="4">
        <v>38</v>
      </c>
      <c r="B57" s="4" t="s">
        <v>57</v>
      </c>
      <c r="C57" s="4">
        <v>0</v>
      </c>
      <c r="D57" s="4">
        <f t="array" ref="D57">MAX(IF(Sales!B:B=A57,Sales!C:C))</f>
        <v>14</v>
      </c>
      <c r="E57" s="8">
        <f>SUMIF(Sales!B:B,A57,Sales!E:E)</f>
        <v>360</v>
      </c>
      <c r="F57" s="28" t="str">
        <f>IF($C57=0," ",COUNTIFS($C:$C,1,E:E,"&gt;"&amp;E57)+1)</f>
        <v xml:space="preserve"> </v>
      </c>
      <c r="G57" s="8">
        <f>SUMIF(Sales!B:B,A57,Sales!D:D)</f>
        <v>37</v>
      </c>
      <c r="H57" s="8" t="str">
        <f>IF($C57=0," ",COUNTIFS($C:$C,1,G:G,"&gt;"&amp;G57)+1)</f>
        <v xml:space="preserve"> </v>
      </c>
      <c r="I57" s="8">
        <f>SUMIF(Prizes!B:B,A57,Prizes!D:D)</f>
        <v>4</v>
      </c>
      <c r="J57" s="8" t="str">
        <f>IF($C57=0," ",COUNTIFS($C:$C,1,I:I,"&gt;"&amp;I57)+1)</f>
        <v xml:space="preserve"> </v>
      </c>
      <c r="K57" s="9">
        <f>SUMIF(Sales!B:B,A57,Sales!F:F)</f>
        <v>1.7654362892118982</v>
      </c>
      <c r="L57" s="28" t="str">
        <f>IF($C57=0," ",COUNTIFS($C:$C,1,K:K,"&gt;"&amp;K57)+1)</f>
        <v xml:space="preserve"> </v>
      </c>
      <c r="M57" s="9">
        <f>SQRT(SUMIF(Sales!B:B,A57,Sales!G:G))</f>
        <v>1.2439598119364987</v>
      </c>
      <c r="N57" s="9">
        <f>I57-K57</f>
        <v>2.2345637107881018</v>
      </c>
      <c r="O57" s="28" t="str">
        <f>IF($C57=0," ",COUNTIFS($C:$C,1,N:N,"&gt;"&amp;N57)+1)</f>
        <v xml:space="preserve"> </v>
      </c>
      <c r="P57" s="5">
        <f>N57/M57</f>
        <v>1.7963311108174056</v>
      </c>
      <c r="Q57" s="10" t="str">
        <f>IF($C57=0," ",COUNTIFS($C:$C,1,P:P,"&gt;"&amp;P57)+1)</f>
        <v xml:space="preserve"> </v>
      </c>
      <c r="R57" s="16">
        <f>IF(I57&gt;K57,1-_xlfn.NORM.DIST(I57,K57,M57,1),_xlfn.NORM.DIST(I57,K57,M57,1))</f>
        <v>3.6220936405928716E-2</v>
      </c>
      <c r="S57" s="30" t="str">
        <f>IF($C57=0," ",COUNTIFS($C:$C,1,R:R,"&gt;"&amp;R57)+1)</f>
        <v xml:space="preserve"> </v>
      </c>
      <c r="T57" s="6">
        <f>E57/K57</f>
        <v>203.9155999000713</v>
      </c>
      <c r="U57" s="4" t="str">
        <f>IF($C57=0," ",COUNTIFS($C:$C,1,T:T,"&lt;"&amp;T57)+1)</f>
        <v xml:space="preserve"> </v>
      </c>
    </row>
    <row r="58" spans="1:25" x14ac:dyDescent="0.3">
      <c r="A58" s="4">
        <v>4</v>
      </c>
      <c r="B58" s="4" t="s">
        <v>5</v>
      </c>
      <c r="C58" s="4">
        <v>0</v>
      </c>
      <c r="D58" s="4">
        <f t="array" ref="D58">MAX(IF(Sales!B:B=A58,Sales!C:C))</f>
        <v>13</v>
      </c>
      <c r="E58" s="4">
        <f>SUMIF(Sales!B:B,A58,Sales!E:E)</f>
        <v>580</v>
      </c>
      <c r="F58" s="6" t="str">
        <f>IF($C58=0," ",COUNTIFS($C:$C,1,E:E,"&gt;"&amp;E58)+1)</f>
        <v xml:space="preserve"> </v>
      </c>
      <c r="G58" s="4">
        <f>SUMIF(Sales!B:B,A58,Sales!D:D)</f>
        <v>55</v>
      </c>
      <c r="H58" s="4" t="str">
        <f>IF($C58=0," ",COUNTIFS($C:$C,1,G:G,"&gt;"&amp;G58)+1)</f>
        <v xml:space="preserve"> </v>
      </c>
      <c r="I58" s="4">
        <f>SUMIF(Prizes!B:B,A58,Prizes!D:D)</f>
        <v>3</v>
      </c>
      <c r="J58" s="4" t="str">
        <f>IF($C58=0," ",COUNTIFS($C:$C,1,I:I,"&gt;"&amp;I58)+1)</f>
        <v xml:space="preserve"> </v>
      </c>
      <c r="K58" s="5">
        <f>SUMIF(Sales!B:B,A58,Sales!F:F)</f>
        <v>2.3740803347134869</v>
      </c>
      <c r="L58" s="6" t="str">
        <f>IF($C58=0," ",COUNTIFS($C:$C,1,K:K,"&gt;"&amp;K58)+1)</f>
        <v xml:space="preserve"> </v>
      </c>
      <c r="M58" s="5">
        <f>SQRT(SUMIF(Sales!B:B,A58,Sales!G:G))</f>
        <v>1.4608189121183603</v>
      </c>
      <c r="N58" s="5">
        <f>I58-K58</f>
        <v>0.6259196652865131</v>
      </c>
      <c r="O58" s="6" t="str">
        <f>IF($C58=0," ",COUNTIFS($C:$C,1,N:N,"&gt;"&amp;N58)+1)</f>
        <v xml:space="preserve"> </v>
      </c>
      <c r="P58" s="5">
        <f>N58/M58</f>
        <v>0.42847177024759042</v>
      </c>
      <c r="Q58" s="4" t="str">
        <f>IF($C58=0," ",COUNTIFS($C:$C,1,P:P,"&gt;"&amp;P58)+1)</f>
        <v xml:space="preserve"> </v>
      </c>
      <c r="R58" s="16">
        <f>IF(I58&gt;K58,1-_xlfn.NORM.DIST(I58,K58,M58,1),_xlfn.NORM.DIST(I58,K58,M58,1))</f>
        <v>0.33415384099578926</v>
      </c>
      <c r="S58" s="30" t="str">
        <f>IF($C58=0," ",COUNTIFS($C:$C,1,R:R,"&gt;"&amp;R58)+1)</f>
        <v xml:space="preserve"> </v>
      </c>
      <c r="T58" s="6">
        <f>E58/K58</f>
        <v>244.30512797706007</v>
      </c>
      <c r="U58" s="4" t="str">
        <f>IF($C58=0," ",COUNTIFS($C:$C,1,T:T,"&lt;"&amp;T58)+1)</f>
        <v xml:space="preserve"> </v>
      </c>
    </row>
    <row r="59" spans="1:25" x14ac:dyDescent="0.3">
      <c r="A59" s="4">
        <v>9</v>
      </c>
      <c r="B59" s="4" t="s">
        <v>10</v>
      </c>
      <c r="C59" s="4">
        <v>0</v>
      </c>
      <c r="D59" s="4">
        <f t="array" ref="D59">MAX(IF(Sales!B:B=A59,Sales!C:C))</f>
        <v>12</v>
      </c>
      <c r="E59" s="4">
        <f>SUMIF(Sales!B:B,A59,Sales!E:E)</f>
        <v>720</v>
      </c>
      <c r="F59" s="6" t="str">
        <f>IF($C59=0," ",COUNTIFS($C:$C,1,E:E,"&gt;"&amp;E59)+1)</f>
        <v xml:space="preserve"> </v>
      </c>
      <c r="G59" s="4">
        <f>SUMIF(Sales!B:B,A59,Sales!D:D)</f>
        <v>68</v>
      </c>
      <c r="H59" s="4" t="str">
        <f>IF($C59=0," ",COUNTIFS($C:$C,1,G:G,"&gt;"&amp;G59)+1)</f>
        <v xml:space="preserve"> </v>
      </c>
      <c r="I59" s="4">
        <f>SUMIF(Prizes!B:B,A59,Prizes!D:D)</f>
        <v>7</v>
      </c>
      <c r="J59" s="4" t="str">
        <f>IF($C59=0," ",COUNTIFS($C:$C,1,I:I,"&gt;"&amp;I59)+1)</f>
        <v xml:space="preserve"> </v>
      </c>
      <c r="K59" s="5">
        <f>SUMIF(Sales!B:B,A59,Sales!F:F)</f>
        <v>3.2402189600805982</v>
      </c>
      <c r="L59" s="6" t="str">
        <f>IF($C59=0," ",COUNTIFS($C:$C,1,K:K,"&gt;"&amp;K59)+1)</f>
        <v xml:space="preserve"> </v>
      </c>
      <c r="M59" s="5">
        <f>SQRT(SUMIF(Sales!B:B,A59,Sales!G:G))</f>
        <v>1.6903967309717229</v>
      </c>
      <c r="N59" s="5">
        <f>I59-K59</f>
        <v>3.7597810399194018</v>
      </c>
      <c r="O59" s="6" t="str">
        <f>IF($C59=0," ",COUNTIFS($C:$C,1,N:N,"&gt;"&amp;N59)+1)</f>
        <v xml:space="preserve"> </v>
      </c>
      <c r="P59" s="5">
        <f>N59/M59</f>
        <v>2.224200373221318</v>
      </c>
      <c r="Q59" s="4" t="str">
        <f>IF($C59=0," ",COUNTIFS($C:$C,1,P:P,"&gt;"&amp;P59)+1)</f>
        <v xml:space="preserve"> </v>
      </c>
      <c r="R59" s="16">
        <f>IF(I59&gt;K59,1-_xlfn.NORM.DIST(I59,K59,M59,1),_xlfn.NORM.DIST(I59,K59,M59,1))</f>
        <v>1.3067482981361178E-2</v>
      </c>
      <c r="S59" s="30" t="str">
        <f>IF($C59=0," ",COUNTIFS($C:$C,1,R:R,"&gt;"&amp;R59)+1)</f>
        <v xml:space="preserve"> </v>
      </c>
      <c r="T59" s="6">
        <f>E59/K59</f>
        <v>222.20720539888777</v>
      </c>
      <c r="U59" s="4" t="str">
        <f>IF($C59=0," ",COUNTIFS($C:$C,1,T:T,"&lt;"&amp;T59)+1)</f>
        <v xml:space="preserve"> </v>
      </c>
    </row>
    <row r="60" spans="1:25" x14ac:dyDescent="0.3">
      <c r="A60" s="4">
        <v>19</v>
      </c>
      <c r="B60" s="4" t="s">
        <v>26</v>
      </c>
      <c r="C60" s="4">
        <v>0</v>
      </c>
      <c r="D60" s="4">
        <f t="array" ref="D60">MAX(IF(Sales!B:B=A60,Sales!C:C))</f>
        <v>12</v>
      </c>
      <c r="E60" s="4">
        <f>SUMIF(Sales!B:B,A60,Sales!E:E)</f>
        <v>1570</v>
      </c>
      <c r="F60" s="6" t="str">
        <f>IF($C60=0," ",COUNTIFS($C:$C,1,E:E,"&gt;"&amp;E60)+1)</f>
        <v xml:space="preserve"> </v>
      </c>
      <c r="G60" s="4">
        <f>SUMIF(Sales!B:B,A60,Sales!D:D)</f>
        <v>147</v>
      </c>
      <c r="H60" s="4" t="str">
        <f>IF($C60=0," ",COUNTIFS($C:$C,1,G:G,"&gt;"&amp;G60)+1)</f>
        <v xml:space="preserve"> </v>
      </c>
      <c r="I60" s="4">
        <f>SUMIF(Prizes!B:B,A60,Prizes!D:D)</f>
        <v>4</v>
      </c>
      <c r="J60" s="4" t="str">
        <f>IF($C60=0," ",COUNTIFS($C:$C,1,I:I,"&gt;"&amp;I60)+1)</f>
        <v xml:space="preserve"> </v>
      </c>
      <c r="K60" s="5">
        <f>SUMIF(Sales!B:B,A60,Sales!F:F)</f>
        <v>5.3872370398255942</v>
      </c>
      <c r="L60" s="6" t="str">
        <f>IF($C60=0," ",COUNTIFS($C:$C,1,K:K,"&gt;"&amp;K60)+1)</f>
        <v xml:space="preserve"> </v>
      </c>
      <c r="M60" s="5">
        <f>SQRT(SUMIF(Sales!B:B,A60,Sales!G:G))</f>
        <v>2.1480307909963821</v>
      </c>
      <c r="N60" s="5">
        <f>I60-K60</f>
        <v>-1.3872370398255942</v>
      </c>
      <c r="O60" s="6" t="str">
        <f>IF($C60=0," ",COUNTIFS($C:$C,1,N:N,"&gt;"&amp;N60)+1)</f>
        <v xml:space="preserve"> </v>
      </c>
      <c r="P60" s="5">
        <f>N60/M60</f>
        <v>-0.6458180421064228</v>
      </c>
      <c r="Q60" s="4" t="str">
        <f>IF($C60=0," ",COUNTIFS($C:$C,1,P:P,"&gt;"&amp;P60)+1)</f>
        <v xml:space="preserve"> </v>
      </c>
      <c r="R60" s="16">
        <f>IF(I60&gt;K60,1-_xlfn.NORM.DIST(I60,K60,M60,1),_xlfn.NORM.DIST(I60,K60,M60,1))</f>
        <v>0.25919860106105741</v>
      </c>
      <c r="S60" s="30" t="str">
        <f>IF($C60=0," ",COUNTIFS($C:$C,1,R:R,"&gt;"&amp;R60)+1)</f>
        <v xml:space="preserve"> </v>
      </c>
      <c r="T60" s="6">
        <f>E60/K60</f>
        <v>291.4295377006145</v>
      </c>
      <c r="U60" s="6" t="str">
        <f>IF($C60=0," ",COUNTIFS($C:$C,1,T:T,"&lt;"&amp;T60)+1)</f>
        <v xml:space="preserve"> </v>
      </c>
    </row>
    <row r="61" spans="1:25" x14ac:dyDescent="0.3">
      <c r="A61" s="4">
        <v>23</v>
      </c>
      <c r="B61" s="4" t="s">
        <v>30</v>
      </c>
      <c r="C61" s="4">
        <v>0</v>
      </c>
      <c r="D61" s="4">
        <f t="array" ref="D61">MAX(IF(Sales!B:B=A61,Sales!C:C))</f>
        <v>12</v>
      </c>
      <c r="E61" s="4">
        <f>SUMIF(Sales!B:B,A61,Sales!E:E)</f>
        <v>800</v>
      </c>
      <c r="F61" s="6" t="str">
        <f>IF($C61=0," ",COUNTIFS($C:$C,1,E:E,"&gt;"&amp;E61)+1)</f>
        <v xml:space="preserve"> </v>
      </c>
      <c r="G61" s="4">
        <f>SUMIF(Sales!B:B,A61,Sales!D:D)</f>
        <v>75</v>
      </c>
      <c r="H61" s="4" t="str">
        <f>IF($C61=0," ",COUNTIFS($C:$C,1,G:G,"&gt;"&amp;G61)+1)</f>
        <v xml:space="preserve"> </v>
      </c>
      <c r="I61" s="4">
        <f>SUMIF(Prizes!B:B,A61,Prizes!D:D)</f>
        <v>4</v>
      </c>
      <c r="J61" s="4" t="str">
        <f>IF($C61=0," ",COUNTIFS($C:$C,1,I:I,"&gt;"&amp;I61)+1)</f>
        <v xml:space="preserve"> </v>
      </c>
      <c r="K61" s="5">
        <f>SUMIF(Sales!B:B,A61,Sales!F:F)</f>
        <v>2.9991021425331783</v>
      </c>
      <c r="L61" s="6" t="str">
        <f>IF($C61=0," ",COUNTIFS($C:$C,1,K:K,"&gt;"&amp;K61)+1)</f>
        <v xml:space="preserve"> </v>
      </c>
      <c r="M61" s="5">
        <f>SQRT(SUMIF(Sales!B:B,A61,Sales!G:G))</f>
        <v>1.640793642686911</v>
      </c>
      <c r="N61" s="5">
        <f>I61-K61</f>
        <v>1.0008978574668217</v>
      </c>
      <c r="O61" s="6" t="str">
        <f>IF($C61=0," ",COUNTIFS($C:$C,1,N:N,"&gt;"&amp;N61)+1)</f>
        <v xml:space="preserve"> </v>
      </c>
      <c r="P61" s="5">
        <f>N61/M61</f>
        <v>0.61000837120979057</v>
      </c>
      <c r="Q61" s="4" t="str">
        <f>IF($C61=0," ",COUNTIFS($C:$C,1,P:P,"&gt;"&amp;P61)+1)</f>
        <v xml:space="preserve"> </v>
      </c>
      <c r="R61" s="16">
        <f>IF(I61&gt;K61,1-_xlfn.NORM.DIST(I61,K61,M61,1),_xlfn.NORM.DIST(I61,K61,M61,1))</f>
        <v>0.27092813112251135</v>
      </c>
      <c r="S61" s="30" t="str">
        <f>IF($C61=0," ",COUNTIFS($C:$C,1,R:R,"&gt;"&amp;R61)+1)</f>
        <v xml:space="preserve"> </v>
      </c>
      <c r="T61" s="6">
        <f>E61/K61</f>
        <v>266.74650011229147</v>
      </c>
      <c r="U61" s="4" t="str">
        <f>IF($C61=0," ",COUNTIFS($C:$C,1,T:T,"&lt;"&amp;T61)+1)</f>
        <v xml:space="preserve"> </v>
      </c>
    </row>
    <row r="62" spans="1:25" x14ac:dyDescent="0.3">
      <c r="A62" s="4">
        <v>0</v>
      </c>
      <c r="B62" s="4" t="s">
        <v>58</v>
      </c>
      <c r="C62" s="4">
        <v>0</v>
      </c>
      <c r="D62" s="4">
        <f t="array" ref="D62">MAX(IF(Sales!B:B=A62,Sales!C:C))</f>
        <v>11</v>
      </c>
      <c r="E62" s="8">
        <f>SUMIF(Sales!B:B,A62,Sales!E:E)</f>
        <v>100</v>
      </c>
      <c r="F62" s="6" t="str">
        <f>IF($C62=0," ",COUNTIFS($C:$C,1,E:E,"&gt;"&amp;E62)+1)</f>
        <v xml:space="preserve"> </v>
      </c>
      <c r="G62" s="8">
        <f>SUMIF(Sales!B:B,A62,Sales!D:D)</f>
        <v>12</v>
      </c>
      <c r="H62" s="8" t="str">
        <f>IF($C62=0," ",COUNTIFS($C:$C,1,G:G,"&gt;"&amp;G62)+1)</f>
        <v xml:space="preserve"> </v>
      </c>
      <c r="I62" s="8">
        <f>SUMIF(Prizes!B:B,A62,Prizes!D:D)</f>
        <v>0</v>
      </c>
      <c r="J62" s="8" t="str">
        <f>IF($C62=0," ",COUNTIFS($C:$C,1,I:I,"&gt;"&amp;I62)+1)</f>
        <v xml:space="preserve"> </v>
      </c>
      <c r="K62" s="9">
        <f>SUMIF(Sales!B:B,A62,Sales!F:F)</f>
        <v>0.98785425101214575</v>
      </c>
      <c r="L62" s="28" t="str">
        <f>IF($C62=0," ",COUNTIFS($C:$C,1,K:K,"&gt;"&amp;K62)+1)</f>
        <v xml:space="preserve"> </v>
      </c>
      <c r="M62" s="9">
        <f>SQRT(SUMIF(Sales!B:B,A62,Sales!G:G))</f>
        <v>0.90534417201851047</v>
      </c>
      <c r="N62" s="9">
        <f>I62-K62</f>
        <v>-0.98785425101214575</v>
      </c>
      <c r="O62" s="6" t="str">
        <f>IF($C62=0," ",COUNTIFS($C:$C,1,N:N,"&gt;"&amp;N62)+1)</f>
        <v xml:space="preserve"> </v>
      </c>
      <c r="P62" s="5">
        <f>N62/M62</f>
        <v>-1.0911366986652986</v>
      </c>
      <c r="Q62" s="10" t="str">
        <f>IF($C62=0," ",COUNTIFS($C:$C,1,P:P,"&gt;"&amp;P62)+1)</f>
        <v xml:space="preserve"> </v>
      </c>
      <c r="R62" s="16">
        <f>IF(I62&gt;K62,1-_xlfn.NORM.DIST(I62,K62,M62,1),_xlfn.NORM.DIST(I62,K62,M62,1))</f>
        <v>0.137606368366785</v>
      </c>
      <c r="S62" s="6" t="str">
        <f>IF($C62=0," ",COUNTIFS($C:$C,1,R:R,"&gt;"&amp;R62)+1)</f>
        <v xml:space="preserve"> </v>
      </c>
      <c r="T62" s="6">
        <f>E62/K62</f>
        <v>101.22950819672131</v>
      </c>
      <c r="U62" s="6" t="str">
        <f>IF($C62=0," ",COUNTIFS($C:$C,1,T:T,"&lt;"&amp;T62)+1)</f>
        <v xml:space="preserve"> </v>
      </c>
    </row>
    <row r="63" spans="1:25" x14ac:dyDescent="0.3">
      <c r="A63" s="4">
        <v>18</v>
      </c>
      <c r="B63" s="4" t="s">
        <v>25</v>
      </c>
      <c r="C63" s="4">
        <v>0</v>
      </c>
      <c r="D63" s="4">
        <f t="array" ref="D63">MAX(IF(Sales!B:B=A63,Sales!C:C))</f>
        <v>11</v>
      </c>
      <c r="E63" s="4">
        <f>SUMIF(Sales!B:B,A63,Sales!E:E)</f>
        <v>150</v>
      </c>
      <c r="F63" s="6" t="str">
        <f>IF($C63=0," ",COUNTIFS($C:$C,1,E:E,"&gt;"&amp;E63)+1)</f>
        <v xml:space="preserve"> </v>
      </c>
      <c r="G63" s="4">
        <f>SUMIF(Sales!B:B,A63,Sales!D:D)</f>
        <v>11</v>
      </c>
      <c r="H63" s="4" t="str">
        <f>IF($C63=0," ",COUNTIFS($C:$C,1,G:G,"&gt;"&amp;G63)+1)</f>
        <v xml:space="preserve"> </v>
      </c>
      <c r="I63" s="4">
        <f>SUMIF(Prizes!B:B,A63,Prizes!D:D)</f>
        <v>1</v>
      </c>
      <c r="J63" s="4" t="str">
        <f>IF($C63=0," ",COUNTIFS($C:$C,1,I:I,"&gt;"&amp;I63)+1)</f>
        <v xml:space="preserve"> </v>
      </c>
      <c r="K63" s="5">
        <f>SUMIF(Sales!B:B,A63,Sales!F:F)</f>
        <v>0.70284369885433717</v>
      </c>
      <c r="L63" s="6" t="str">
        <f>IF($C63=0," ",COUNTIFS($C:$C,1,K:K,"&gt;"&amp;K63)+1)</f>
        <v xml:space="preserve"> </v>
      </c>
      <c r="M63" s="5">
        <f>SQRT(SUMIF(Sales!B:B,A63,Sales!G:G))</f>
        <v>0.78059289122728581</v>
      </c>
      <c r="N63" s="5">
        <f>I63-K63</f>
        <v>0.29715630114566283</v>
      </c>
      <c r="O63" s="6" t="str">
        <f>IF($C63=0," ",COUNTIFS($C:$C,1,N:N,"&gt;"&amp;N63)+1)</f>
        <v xml:space="preserve"> </v>
      </c>
      <c r="P63" s="5">
        <f>N63/M63</f>
        <v>0.38068025533573507</v>
      </c>
      <c r="Q63" s="4" t="str">
        <f>IF($C63=0," ",COUNTIFS($C:$C,1,P:P,"&gt;"&amp;P63)+1)</f>
        <v xml:space="preserve"> </v>
      </c>
      <c r="R63" s="16">
        <f>IF(I63&gt;K63,1-_xlfn.NORM.DIST(I63,K63,M63,1),_xlfn.NORM.DIST(I63,K63,M63,1))</f>
        <v>0.35172026081826924</v>
      </c>
      <c r="S63" s="30" t="str">
        <f>IF($C63=0," ",COUNTIFS($C:$C,1,R:R,"&gt;"&amp;R63)+1)</f>
        <v xml:space="preserve"> </v>
      </c>
      <c r="T63" s="6">
        <f>E63/K63</f>
        <v>213.41871634405473</v>
      </c>
      <c r="U63" s="4" t="str">
        <f>IF($C63=0," ",COUNTIFS($C:$C,1,T:T,"&lt;"&amp;T63)+1)</f>
        <v xml:space="preserve"> </v>
      </c>
    </row>
    <row r="64" spans="1:25" x14ac:dyDescent="0.3">
      <c r="A64" s="4">
        <v>22</v>
      </c>
      <c r="B64" s="4" t="s">
        <v>29</v>
      </c>
      <c r="C64" s="4">
        <v>0</v>
      </c>
      <c r="D64" s="4">
        <f t="array" ref="D64">MAX(IF(Sales!B:B=A64,Sales!C:C))</f>
        <v>11</v>
      </c>
      <c r="E64" s="4">
        <f>SUMIF(Sales!B:B,A64,Sales!E:E)</f>
        <v>100</v>
      </c>
      <c r="F64" s="6" t="str">
        <f>IF($C64=0," ",COUNTIFS($C:$C,1,E:E,"&gt;"&amp;E64)+1)</f>
        <v xml:space="preserve"> </v>
      </c>
      <c r="G64" s="4">
        <f>SUMIF(Sales!B:B,A64,Sales!D:D)</f>
        <v>6</v>
      </c>
      <c r="H64" s="4" t="str">
        <f>IF($C64=0," ",COUNTIFS($C:$C,1,G:G,"&gt;"&amp;G64)+1)</f>
        <v xml:space="preserve"> </v>
      </c>
      <c r="I64" s="4">
        <f>SUMIF(Prizes!B:B,A64,Prizes!D:D)</f>
        <v>1</v>
      </c>
      <c r="J64" s="4" t="str">
        <f>IF($C64=0," ",COUNTIFS($C:$C,1,I:I,"&gt;"&amp;I64)+1)</f>
        <v xml:space="preserve"> </v>
      </c>
      <c r="K64" s="5">
        <f>SUMIF(Sales!B:B,A64,Sales!F:F)</f>
        <v>0.54326923076923084</v>
      </c>
      <c r="L64" s="6" t="str">
        <f>IF($C64=0," ",COUNTIFS($C:$C,1,K:K,"&gt;"&amp;K64)+1)</f>
        <v xml:space="preserve"> </v>
      </c>
      <c r="M64" s="5">
        <f>SQRT(SUMIF(Sales!B:B,A64,Sales!G:G))</f>
        <v>0.67686632105875888</v>
      </c>
      <c r="N64" s="5">
        <f>I64-K64</f>
        <v>0.45673076923076916</v>
      </c>
      <c r="O64" s="6" t="str">
        <f>IF($C64=0," ",COUNTIFS($C:$C,1,N:N,"&gt;"&amp;N64)+1)</f>
        <v xml:space="preserve"> </v>
      </c>
      <c r="P64" s="5">
        <f>N64/M64</f>
        <v>0.67477248464120332</v>
      </c>
      <c r="Q64" s="4" t="str">
        <f>IF($C64=0," ",COUNTIFS($C:$C,1,P:P,"&gt;"&amp;P64)+1)</f>
        <v xml:space="preserve"> </v>
      </c>
      <c r="R64" s="16">
        <f>IF(I64&gt;K64,1-_xlfn.NORM.DIST(I64,K64,M64,1),_xlfn.NORM.DIST(I64,K64,M64,1))</f>
        <v>0.24991016218462114</v>
      </c>
      <c r="S64" s="30" t="str">
        <f>IF($C64=0," ",COUNTIFS($C:$C,1,R:R,"&gt;"&amp;R64)+1)</f>
        <v xml:space="preserve"> </v>
      </c>
      <c r="T64" s="6">
        <f>E64/K64</f>
        <v>184.07079646017698</v>
      </c>
      <c r="U64" s="4" t="str">
        <f>IF($C64=0," ",COUNTIFS($C:$C,1,T:T,"&lt;"&amp;T64)+1)</f>
        <v xml:space="preserve"> </v>
      </c>
    </row>
    <row r="65" spans="1:21" x14ac:dyDescent="0.3">
      <c r="A65" s="4">
        <v>40</v>
      </c>
      <c r="B65" s="4" t="s">
        <v>77</v>
      </c>
      <c r="C65" s="4">
        <v>0</v>
      </c>
      <c r="D65" s="4">
        <f t="array" ref="D65">MAX(IF(Sales!B:B=A65,Sales!C:C))</f>
        <v>11</v>
      </c>
      <c r="E65" s="8">
        <f>SUMIF(Sales!B:B,A65,Sales!E:E)</f>
        <v>0</v>
      </c>
      <c r="F65" s="28" t="str">
        <f>IF($C65=0," ",COUNTIFS($C:$C,1,E:E,"&gt;"&amp;E65)+1)</f>
        <v xml:space="preserve"> </v>
      </c>
      <c r="G65" s="8">
        <f>SUMIF(Sales!B:B,A65,Sales!D:D)</f>
        <v>1</v>
      </c>
      <c r="H65" s="8" t="str">
        <f>IF($C65=0," ",COUNTIFS($C:$C,1,G:G,"&gt;"&amp;G65)+1)</f>
        <v xml:space="preserve"> </v>
      </c>
      <c r="I65" s="8">
        <f>SUMIF(Prizes!B:B,A65,Prizes!D:D)</f>
        <v>0</v>
      </c>
      <c r="J65" s="8" t="str">
        <f>IF($C65=0," ",COUNTIFS($C:$C,1,I:I,"&gt;"&amp;I65)+1)</f>
        <v xml:space="preserve"> </v>
      </c>
      <c r="K65" s="9">
        <f>SUMIF(Sales!B:B,A65,Sales!F:F)</f>
        <v>0.23076923076923078</v>
      </c>
      <c r="L65" s="28" t="str">
        <f>IF($C65=0," ",COUNTIFS($C:$C,1,K:K,"&gt;"&amp;K65)+1)</f>
        <v xml:space="preserve"> </v>
      </c>
      <c r="M65" s="9">
        <f>SQRT(SUMIF(Sales!B:B,A65,Sales!G:G))</f>
        <v>0.42132504423474315</v>
      </c>
      <c r="N65" s="9">
        <f>I65-K65</f>
        <v>-0.23076923076923078</v>
      </c>
      <c r="O65" s="28" t="str">
        <f>IF($C65=0," ",COUNTIFS($C:$C,1,N:N,"&gt;"&amp;N65)+1)</f>
        <v xml:space="preserve"> </v>
      </c>
      <c r="P65" s="5">
        <f>N65/M65</f>
        <v>-0.54772255750516619</v>
      </c>
      <c r="Q65" s="10" t="str">
        <f>IF($C65=0," ",COUNTIFS($C:$C,1,P:P,"&gt;"&amp;P65)+1)</f>
        <v xml:space="preserve"> </v>
      </c>
      <c r="R65" s="16">
        <f>IF(I65&gt;K65,1-_xlfn.NORM.DIST(I65,K65,M65,1),_xlfn.NORM.DIST(I65,K65,M65,1))</f>
        <v>0.2919412103851825</v>
      </c>
      <c r="S65" s="30" t="str">
        <f>IF($C65=0," ",COUNTIFS($C:$C,1,R:R,"&gt;"&amp;R65)+1)</f>
        <v xml:space="preserve"> </v>
      </c>
      <c r="T65" s="6">
        <f>E65/K65</f>
        <v>0</v>
      </c>
      <c r="U65" s="4" t="str">
        <f>IF($C65=0," ",COUNTIFS($C:$C,1,T:T,"&lt;"&amp;T65)+1)</f>
        <v xml:space="preserve"> </v>
      </c>
    </row>
    <row r="66" spans="1:21" x14ac:dyDescent="0.3">
      <c r="A66" s="4">
        <v>28</v>
      </c>
      <c r="B66" s="4" t="s">
        <v>35</v>
      </c>
      <c r="C66" s="4">
        <v>0</v>
      </c>
      <c r="D66" s="4">
        <f t="array" ref="D66">MAX(IF(Sales!B:B=A66,Sales!C:C))</f>
        <v>10</v>
      </c>
      <c r="E66" s="4">
        <f>SUMIF(Sales!B:B,A66,Sales!E:E)</f>
        <v>240</v>
      </c>
      <c r="F66" s="6" t="str">
        <f>IF($C66=0," ",COUNTIFS($C:$C,1,E:E,"&gt;"&amp;E66)+1)</f>
        <v xml:space="preserve"> </v>
      </c>
      <c r="G66" s="4">
        <f>SUMIF(Sales!B:B,A66,Sales!D:D)</f>
        <v>24</v>
      </c>
      <c r="H66" s="4" t="str">
        <f>IF($C66=0," ",COUNTIFS($C:$C,1,G:G,"&gt;"&amp;G66)+1)</f>
        <v xml:space="preserve"> </v>
      </c>
      <c r="I66" s="4">
        <f>SUMIF(Prizes!B:B,A66,Prizes!D:D)</f>
        <v>0</v>
      </c>
      <c r="J66" s="4" t="str">
        <f>IF($C66=0," ",COUNTIFS($C:$C,1,I:I,"&gt;"&amp;I66)+1)</f>
        <v xml:space="preserve"> </v>
      </c>
      <c r="K66" s="5">
        <f>SUMIF(Sales!B:B,A66,Sales!F:F)</f>
        <v>0.7941427895328429</v>
      </c>
      <c r="L66" s="6" t="str">
        <f>IF($C66=0," ",COUNTIFS($C:$C,1,K:K,"&gt;"&amp;K66)+1)</f>
        <v xml:space="preserve"> </v>
      </c>
      <c r="M66" s="5">
        <f>SQRT(SUMIF(Sales!B:B,A66,Sales!G:G))</f>
        <v>0.86060092285446455</v>
      </c>
      <c r="N66" s="5">
        <f>I66-K66</f>
        <v>-0.7941427895328429</v>
      </c>
      <c r="O66" s="6" t="str">
        <f>IF($C66=0," ",COUNTIFS($C:$C,1,N:N,"&gt;"&amp;N66)+1)</f>
        <v xml:space="preserve"> </v>
      </c>
      <c r="P66" s="5">
        <f>N66/M66</f>
        <v>-0.92277706012539296</v>
      </c>
      <c r="Q66" s="4" t="str">
        <f>IF($C66=0," ",COUNTIFS($C:$C,1,P:P,"&gt;"&amp;P66)+1)</f>
        <v xml:space="preserve"> </v>
      </c>
      <c r="R66" s="16">
        <f>IF(I66&gt;K66,1-_xlfn.NORM.DIST(I66,K66,M66,1),_xlfn.NORM.DIST(I66,K66,M66,1))</f>
        <v>0.17806169891377793</v>
      </c>
      <c r="S66" s="30" t="str">
        <f>IF($C66=0," ",COUNTIFS($C:$C,1,R:R,"&gt;"&amp;R66)+1)</f>
        <v xml:space="preserve"> </v>
      </c>
      <c r="T66" s="6">
        <f>E66/K66</f>
        <v>302.21265389966049</v>
      </c>
      <c r="U66" s="6" t="str">
        <f>IF($C66=0," ",COUNTIFS($C:$C,1,T:T,"&lt;"&amp;T66)+1)</f>
        <v xml:space="preserve"> </v>
      </c>
    </row>
    <row r="67" spans="1:21" x14ac:dyDescent="0.3">
      <c r="A67" s="4">
        <v>31</v>
      </c>
      <c r="B67" s="4" t="s">
        <v>37</v>
      </c>
      <c r="C67" s="4">
        <v>0</v>
      </c>
      <c r="D67" s="4">
        <f t="array" ref="D67">MAX(IF(Sales!B:B=A67,Sales!C:C))</f>
        <v>8</v>
      </c>
      <c r="E67" s="4">
        <f>SUMIF(Sales!B:B,A67,Sales!E:E)</f>
        <v>160</v>
      </c>
      <c r="F67" s="6" t="str">
        <f>IF($C67=0," ",COUNTIFS($C:$C,1,E:E,"&gt;"&amp;E67)+1)</f>
        <v xml:space="preserve"> </v>
      </c>
      <c r="G67" s="4">
        <f>SUMIF(Sales!B:B,A67,Sales!D:D)</f>
        <v>16</v>
      </c>
      <c r="H67" s="4" t="str">
        <f>IF($C67=0," ",COUNTIFS($C:$C,1,G:G,"&gt;"&amp;G67)+1)</f>
        <v xml:space="preserve"> </v>
      </c>
      <c r="I67" s="4">
        <f>SUMIF(Prizes!B:B,A67,Prizes!D:D)</f>
        <v>1</v>
      </c>
      <c r="J67" s="4" t="str">
        <f>IF($C67=0," ",COUNTIFS($C:$C,1,I:I,"&gt;"&amp;I67)+1)</f>
        <v xml:space="preserve"> </v>
      </c>
      <c r="K67" s="5">
        <f>SUMIF(Sales!B:B,A67,Sales!F:F)</f>
        <v>0.68315789473684219</v>
      </c>
      <c r="L67" s="6" t="str">
        <f>IF($C67=0," ",COUNTIFS($C:$C,1,K:K,"&gt;"&amp;K67)+1)</f>
        <v xml:space="preserve"> </v>
      </c>
      <c r="M67" s="5">
        <f>SQRT(SUMIF(Sales!B:B,A67,Sales!G:G))</f>
        <v>0.79496113990168826</v>
      </c>
      <c r="N67" s="5">
        <f>I67-K67</f>
        <v>0.31684210526315781</v>
      </c>
      <c r="O67" s="6" t="str">
        <f>IF($C67=0," ",COUNTIFS($C:$C,1,N:N,"&gt;"&amp;N67)+1)</f>
        <v xml:space="preserve"> </v>
      </c>
      <c r="P67" s="5">
        <f>N67/M67</f>
        <v>0.39856301064268529</v>
      </c>
      <c r="Q67" s="4" t="str">
        <f>IF($C67=0," ",COUNTIFS($C:$C,1,P:P,"&gt;"&amp;P67)+1)</f>
        <v xml:space="preserve"> </v>
      </c>
      <c r="R67" s="16">
        <f>IF(I67&gt;K67,1-_xlfn.NORM.DIST(I67,K67,M67,1),_xlfn.NORM.DIST(I67,K67,M67,1))</f>
        <v>0.34510761059987882</v>
      </c>
      <c r="S67" s="30" t="str">
        <f>IF($C67=0," ",COUNTIFS($C:$C,1,R:R,"&gt;"&amp;R67)+1)</f>
        <v xml:space="preserve"> </v>
      </c>
      <c r="T67" s="6">
        <f>E67/K67</f>
        <v>234.20647149460706</v>
      </c>
      <c r="U67" s="6" t="str">
        <f>IF($C67=0," ",COUNTIFS($C:$C,1,T:T,"&lt;"&amp;T67)+1)</f>
        <v xml:space="preserve"> </v>
      </c>
    </row>
    <row r="68" spans="1:21" x14ac:dyDescent="0.3">
      <c r="A68" s="4">
        <v>30</v>
      </c>
      <c r="B68" s="4" t="s">
        <v>36</v>
      </c>
      <c r="C68" s="4">
        <v>0</v>
      </c>
      <c r="D68" s="4">
        <f t="array" ref="D68">MAX(IF(Sales!B:B=A68,Sales!C:C))</f>
        <v>5</v>
      </c>
      <c r="E68" s="4">
        <f>SUMIF(Sales!B:B,A68,Sales!E:E)</f>
        <v>50</v>
      </c>
      <c r="F68" s="6" t="str">
        <f>IF($C68=0," ",COUNTIFS($C:$C,1,E:E,"&gt;"&amp;E68)+1)</f>
        <v xml:space="preserve"> </v>
      </c>
      <c r="G68" s="4">
        <f>SUMIF(Sales!B:B,A68,Sales!D:D)</f>
        <v>5</v>
      </c>
      <c r="H68" s="4" t="str">
        <f>IF($C68=0," ",COUNTIFS($C:$C,1,G:G,"&gt;"&amp;G68)+1)</f>
        <v xml:space="preserve"> </v>
      </c>
      <c r="I68" s="4">
        <f>SUMIF(Prizes!B:B,A68,Prizes!D:D)</f>
        <v>0</v>
      </c>
      <c r="J68" s="4" t="str">
        <f>IF($C68=0," ",COUNTIFS($C:$C,1,I:I,"&gt;"&amp;I68)+1)</f>
        <v xml:space="preserve"> </v>
      </c>
      <c r="K68" s="5">
        <f>SUMIF(Sales!B:B,A68,Sales!F:F)</f>
        <v>0.20833333333333331</v>
      </c>
      <c r="L68" s="6" t="str">
        <f>IF($C68=0," ",COUNTIFS($C:$C,1,K:K,"&gt;"&amp;K68)+1)</f>
        <v xml:space="preserve"> </v>
      </c>
      <c r="M68" s="5">
        <f>SQRT(SUMIF(Sales!B:B,A68,Sales!G:G))</f>
        <v>0.43925136315935126</v>
      </c>
      <c r="N68" s="5">
        <f>I68-K68</f>
        <v>-0.20833333333333331</v>
      </c>
      <c r="O68" s="6" t="str">
        <f>IF($C68=0," ",COUNTIFS($C:$C,1,N:N,"&gt;"&amp;N68)+1)</f>
        <v xml:space="preserve"> </v>
      </c>
      <c r="P68" s="5">
        <f>N68/M68</f>
        <v>-0.47429183107111794</v>
      </c>
      <c r="Q68" s="4" t="str">
        <f>IF($C68=0," ",COUNTIFS($C:$C,1,P:P,"&gt;"&amp;P68)+1)</f>
        <v xml:space="preserve"> </v>
      </c>
      <c r="R68" s="16">
        <f>IF(I68&gt;K68,1-_xlfn.NORM.DIST(I68,K68,M68,1),_xlfn.NORM.DIST(I68,K68,M68,1))</f>
        <v>0.31764590799841352</v>
      </c>
      <c r="S68" s="30" t="str">
        <f>IF($C68=0," ",COUNTIFS($C:$C,1,R:R,"&gt;"&amp;R68)+1)</f>
        <v xml:space="preserve"> </v>
      </c>
      <c r="T68" s="6">
        <f>E68/K68</f>
        <v>240.00000000000003</v>
      </c>
      <c r="U68" s="6" t="str">
        <f>IF($C68=0," ",COUNTIFS($C:$C,1,T:T,"&lt;"&amp;T68)+1)</f>
        <v xml:space="preserve"> </v>
      </c>
    </row>
    <row r="69" spans="1:21" x14ac:dyDescent="0.3">
      <c r="A69" s="4">
        <v>6</v>
      </c>
      <c r="B69" s="4" t="s">
        <v>99</v>
      </c>
      <c r="C69" s="4">
        <v>0</v>
      </c>
      <c r="D69" s="4">
        <f t="array" ref="D69">MAX(IF(Sales!B:B=A69,Sales!C:C))</f>
        <v>3</v>
      </c>
      <c r="E69" s="4">
        <f>SUMIF(Sales!B:B,A69,Sales!E:E)</f>
        <v>300</v>
      </c>
      <c r="F69" s="6" t="str">
        <f>IF($C69=0," ",COUNTIFS($C:$C,1,E:E,"&gt;"&amp;E69)+1)</f>
        <v xml:space="preserve"> </v>
      </c>
      <c r="G69" s="4">
        <f>SUMIF(Sales!B:B,A69,Sales!D:D)</f>
        <v>20</v>
      </c>
      <c r="H69" s="4" t="str">
        <f>IF($C69=0," ",COUNTIFS($C:$C,1,G:G,"&gt;"&amp;G69)+1)</f>
        <v xml:space="preserve"> </v>
      </c>
      <c r="I69" s="4">
        <f>SUMIF(Prizes!B:B,A69,Prizes!D:D)</f>
        <v>2</v>
      </c>
      <c r="J69" s="4" t="str">
        <f>IF($C69=0," ",COUNTIFS($C:$C,1,I:I,"&gt;"&amp;I69)+1)</f>
        <v xml:space="preserve"> </v>
      </c>
      <c r="K69" s="5">
        <f>SUMIF(Sales!B:B,A69,Sales!F:F)</f>
        <v>1.3260933806146571</v>
      </c>
      <c r="L69" s="6" t="str">
        <f>IF($C69=0," ",COUNTIFS($C:$C,1,K:K,"&gt;"&amp;K69)+1)</f>
        <v xml:space="preserve"> </v>
      </c>
      <c r="M69" s="5">
        <f>SQRT(SUMIF(Sales!B:B,A69,Sales!G:G))</f>
        <v>1.0672538107751555</v>
      </c>
      <c r="N69" s="5">
        <f>I69-K69</f>
        <v>0.67390661938534291</v>
      </c>
      <c r="O69" s="6" t="str">
        <f>IF($C69=0," ",COUNTIFS($C:$C,1,N:N,"&gt;"&amp;N69)+1)</f>
        <v xml:space="preserve"> </v>
      </c>
      <c r="P69" s="5">
        <f>N69/M69</f>
        <v>0.63143988110558147</v>
      </c>
      <c r="Q69" s="4" t="str">
        <f>IF($C69=0," ",COUNTIFS($C:$C,1,P:P,"&gt;"&amp;P69)+1)</f>
        <v xml:space="preserve"> </v>
      </c>
      <c r="R69" s="16">
        <f>IF(I69&gt;K69,1-_xlfn.NORM.DIST(I69,K69,M69,1),_xlfn.NORM.DIST(I69,K69,M69,1))</f>
        <v>0.26387647326386743</v>
      </c>
      <c r="S69" s="30" t="str">
        <f>IF($C69=0," ",COUNTIFS($C:$C,1,R:R,"&gt;"&amp;R69)+1)</f>
        <v xml:space="preserve"> </v>
      </c>
      <c r="T69" s="6">
        <f>E69/K69</f>
        <v>226.22841225626743</v>
      </c>
      <c r="U69" s="6" t="str">
        <f>IF($C69=0," ",COUNTIFS($C:$C,1,T:T,"&lt;"&amp;T69)+1)</f>
        <v xml:space="preserve"> </v>
      </c>
    </row>
    <row r="70" spans="1:21" x14ac:dyDescent="0.3">
      <c r="A70" s="4">
        <v>21</v>
      </c>
      <c r="B70" s="4" t="s">
        <v>28</v>
      </c>
      <c r="C70" s="4">
        <v>0</v>
      </c>
      <c r="D70" s="4">
        <f t="array" ref="D70">MAX(IF(Sales!B:B=A70,Sales!C:C))</f>
        <v>3</v>
      </c>
      <c r="E70" s="4">
        <f>SUMIF(Sales!B:B,A70,Sales!E:E)</f>
        <v>200</v>
      </c>
      <c r="F70" s="6" t="str">
        <f>IF($C70=0," ",COUNTIFS($C:$C,1,E:E,"&gt;"&amp;E70)+1)</f>
        <v xml:space="preserve"> </v>
      </c>
      <c r="G70" s="4">
        <f>SUMIF(Sales!B:B,A70,Sales!D:D)</f>
        <v>15</v>
      </c>
      <c r="H70" s="4" t="str">
        <f>IF($C70=0," ",COUNTIFS($C:$C,1,G:G,"&gt;"&amp;G70)+1)</f>
        <v xml:space="preserve"> </v>
      </c>
      <c r="I70" s="4">
        <f>SUMIF(Prizes!B:B,A70,Prizes!D:D)</f>
        <v>1</v>
      </c>
      <c r="J70" s="4" t="str">
        <f>IF($C70=0," ",COUNTIFS($C:$C,1,I:I,"&gt;"&amp;I70)+1)</f>
        <v xml:space="preserve"> </v>
      </c>
      <c r="K70" s="5">
        <f>SUMIF(Sales!B:B,A70,Sales!F:F)</f>
        <v>0.63164893617021267</v>
      </c>
      <c r="L70" s="6" t="str">
        <f>IF($C70=0," ",COUNTIFS($C:$C,1,K:K,"&gt;"&amp;K70)+1)</f>
        <v xml:space="preserve"> </v>
      </c>
      <c r="M70" s="5">
        <f>SQRT(SUMIF(Sales!B:B,A70,Sales!G:G))</f>
        <v>0.75810728959235163</v>
      </c>
      <c r="N70" s="5">
        <f>I70-K70</f>
        <v>0.36835106382978733</v>
      </c>
      <c r="O70" s="6" t="str">
        <f>IF($C70=0," ",COUNTIFS($C:$C,1,N:N,"&gt;"&amp;N70)+1)</f>
        <v xml:space="preserve"> </v>
      </c>
      <c r="P70" s="5">
        <f>N70/M70</f>
        <v>0.4858824982778579</v>
      </c>
      <c r="Q70" s="4" t="str">
        <f>IF($C70=0," ",COUNTIFS($C:$C,1,P:P,"&gt;"&amp;P70)+1)</f>
        <v xml:space="preserve"> </v>
      </c>
      <c r="R70" s="16">
        <f>IF(I70&gt;K70,1-_xlfn.NORM.DIST(I70,K70,M70,1),_xlfn.NORM.DIST(I70,K70,M70,1))</f>
        <v>0.31352523895390516</v>
      </c>
      <c r="S70" s="30" t="str">
        <f>IF($C70=0," ",COUNTIFS($C:$C,1,R:R,"&gt;"&amp;R70)+1)</f>
        <v xml:space="preserve"> </v>
      </c>
      <c r="T70" s="6">
        <f>E70/K70</f>
        <v>316.6315789473685</v>
      </c>
      <c r="U70" s="4" t="str">
        <f>IF($C70=0," ",COUNTIFS($C:$C,1,T:T,"&lt;"&amp;T70)+1)</f>
        <v xml:space="preserve"> </v>
      </c>
    </row>
    <row r="71" spans="1:21" x14ac:dyDescent="0.3">
      <c r="A71" s="4">
        <v>25</v>
      </c>
      <c r="B71" s="4" t="s">
        <v>33</v>
      </c>
      <c r="C71" s="4">
        <v>0</v>
      </c>
      <c r="D71" s="4">
        <f t="array" ref="D71">MAX(IF(Sales!B:B=A71,Sales!C:C))</f>
        <v>3</v>
      </c>
      <c r="E71" s="4">
        <f>SUMIF(Sales!B:B,A71,Sales!E:E)</f>
        <v>20</v>
      </c>
      <c r="F71" s="6" t="str">
        <f>IF($C71=0," ",COUNTIFS($C:$C,1,E:E,"&gt;"&amp;E71)+1)</f>
        <v xml:space="preserve"> </v>
      </c>
      <c r="G71" s="4">
        <f>SUMIF(Sales!B:B,A71,Sales!D:D)</f>
        <v>2</v>
      </c>
      <c r="H71" s="4" t="str">
        <f>IF($C71=0," ",COUNTIFS($C:$C,1,G:G,"&gt;"&amp;G71)+1)</f>
        <v xml:space="preserve"> </v>
      </c>
      <c r="I71" s="4">
        <f>SUMIF(Prizes!B:B,A71,Prizes!D:D)</f>
        <v>0</v>
      </c>
      <c r="J71" s="4" t="str">
        <f>IF($C71=0," ",COUNTIFS($C:$C,1,I:I,"&gt;"&amp;I71)+1)</f>
        <v xml:space="preserve"> </v>
      </c>
      <c r="K71" s="5">
        <f>SUMIF(Sales!B:B,A71,Sales!F:F)</f>
        <v>6.3829787234042548E-2</v>
      </c>
      <c r="L71" s="6" t="str">
        <f>IF($C71=0," ",COUNTIFS($C:$C,1,K:K,"&gt;"&amp;K71)+1)</f>
        <v xml:space="preserve"> </v>
      </c>
      <c r="M71" s="5">
        <f>SQRT(SUMIF(Sales!B:B,A71,Sales!G:G))</f>
        <v>0.24791576048881739</v>
      </c>
      <c r="N71" s="5">
        <f>I71-K71</f>
        <v>-6.3829787234042548E-2</v>
      </c>
      <c r="O71" s="6" t="str">
        <f>IF($C71=0," ",COUNTIFS($C:$C,1,N:N,"&gt;"&amp;N71)+1)</f>
        <v xml:space="preserve"> </v>
      </c>
      <c r="P71" s="5">
        <f>N71/M71</f>
        <v>-0.25746562908380199</v>
      </c>
      <c r="Q71" s="4" t="str">
        <f>IF($C71=0," ",COUNTIFS($C:$C,1,P:P,"&gt;"&amp;P71)+1)</f>
        <v xml:space="preserve"> </v>
      </c>
      <c r="R71" s="16">
        <f>IF(I71&gt;K71,1-_xlfn.NORM.DIST(I71,K71,M71,1),_xlfn.NORM.DIST(I71,K71,M71,1))</f>
        <v>0.39840967257938792</v>
      </c>
      <c r="S71" s="30" t="str">
        <f>IF($C71=0," ",COUNTIFS($C:$C,1,R:R,"&gt;"&amp;R71)+1)</f>
        <v xml:space="preserve"> </v>
      </c>
      <c r="T71" s="6">
        <f>E71/K71</f>
        <v>313.33333333333337</v>
      </c>
      <c r="U71" s="4" t="str">
        <f>IF($C71=0," ",COUNTIFS($C:$C,1,T:T,"&lt;"&amp;T71)+1)</f>
        <v xml:space="preserve"> </v>
      </c>
    </row>
    <row r="72" spans="1:21" x14ac:dyDescent="0.3">
      <c r="A72" s="4">
        <v>26</v>
      </c>
      <c r="B72" s="4" t="s">
        <v>34</v>
      </c>
      <c r="C72" s="4">
        <v>0</v>
      </c>
      <c r="D72" s="4">
        <f t="array" ref="D72">MAX(IF(Sales!B:B=A72,Sales!C:C))</f>
        <v>3</v>
      </c>
      <c r="E72" s="4">
        <f>SUMIF(Sales!B:B,A72,Sales!E:E)</f>
        <v>100</v>
      </c>
      <c r="F72" s="6" t="str">
        <f>IF($C72=0," ",COUNTIFS($C:$C,1,E:E,"&gt;"&amp;E72)+1)</f>
        <v xml:space="preserve"> </v>
      </c>
      <c r="G72" s="4">
        <f>SUMIF(Sales!B:B,A72,Sales!D:D)</f>
        <v>10</v>
      </c>
      <c r="H72" s="4" t="str">
        <f>IF($C72=0," ",COUNTIFS($C:$C,1,G:G,"&gt;"&amp;G72)+1)</f>
        <v xml:space="preserve"> </v>
      </c>
      <c r="I72" s="4">
        <f>SUMIF(Prizes!B:B,A72,Prizes!D:D)</f>
        <v>0</v>
      </c>
      <c r="J72" s="4" t="str">
        <f>IF($C72=0," ",COUNTIFS($C:$C,1,I:I,"&gt;"&amp;I72)+1)</f>
        <v xml:space="preserve"> </v>
      </c>
      <c r="K72" s="5">
        <f>SUMIF(Sales!B:B,A72,Sales!F:F)</f>
        <v>0.31914893617021273</v>
      </c>
      <c r="L72" s="6" t="str">
        <f>IF($C72=0," ",COUNTIFS($C:$C,1,K:K,"&gt;"&amp;K72)+1)</f>
        <v xml:space="preserve"> </v>
      </c>
      <c r="M72" s="5">
        <f>SQRT(SUMIF(Sales!B:B,A72,Sales!G:G))</f>
        <v>0.54230382522055953</v>
      </c>
      <c r="N72" s="5">
        <f>I72-K72</f>
        <v>-0.31914893617021273</v>
      </c>
      <c r="O72" s="6" t="str">
        <f>IF($C72=0," ",COUNTIFS($C:$C,1,N:N,"&gt;"&amp;N72)+1)</f>
        <v xml:space="preserve"> </v>
      </c>
      <c r="P72" s="5">
        <f>N72/M72</f>
        <v>-0.58850578094375816</v>
      </c>
      <c r="Q72" s="4" t="str">
        <f>IF($C72=0," ",COUNTIFS($C:$C,1,P:P,"&gt;"&amp;P72)+1)</f>
        <v xml:space="preserve"> </v>
      </c>
      <c r="R72" s="16">
        <f>IF(I72&gt;K72,1-_xlfn.NORM.DIST(I72,K72,M72,1),_xlfn.NORM.DIST(I72,K72,M72,1))</f>
        <v>0.27809642736849838</v>
      </c>
      <c r="S72" s="30" t="str">
        <f>IF($C72=0," ",COUNTIFS($C:$C,1,R:R,"&gt;"&amp;R72)+1)</f>
        <v xml:space="preserve"> </v>
      </c>
      <c r="T72" s="6">
        <f>E72/K72</f>
        <v>313.33333333333337</v>
      </c>
      <c r="U72" s="6" t="str">
        <f>IF($C72=0," ",COUNTIFS($C:$C,1,T:T,"&lt;"&amp;T72)+1)</f>
        <v xml:space="preserve"> 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showGridLines="0" workbookViewId="0">
      <pane ySplit="1" topLeftCell="A2" activePane="bottomLeft" state="frozen"/>
      <selection pane="bottomLeft" activeCell="F38" sqref="F38"/>
    </sheetView>
  </sheetViews>
  <sheetFormatPr defaultColWidth="8.88671875" defaultRowHeight="14.4" x14ac:dyDescent="0.3"/>
  <cols>
    <col min="2" max="2" width="10" customWidth="1"/>
    <col min="5" max="5" width="9.44140625" style="14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7" t="s">
        <v>48</v>
      </c>
      <c r="E1" s="43" t="s">
        <v>130</v>
      </c>
      <c r="F1" s="17" t="s">
        <v>21</v>
      </c>
      <c r="G1" s="17" t="s">
        <v>84</v>
      </c>
      <c r="H1" s="17" t="s">
        <v>98</v>
      </c>
    </row>
    <row r="2" spans="1:8" x14ac:dyDescent="0.3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5">
        <f t="shared" ref="H2:H17" si="2">C2*D2/F2</f>
        <v>144</v>
      </c>
    </row>
    <row r="3" spans="1:8" x14ac:dyDescent="0.3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5">
        <f t="shared" si="2"/>
        <v>320</v>
      </c>
    </row>
    <row r="4" spans="1:8" x14ac:dyDescent="0.3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5">
        <f t="shared" si="2"/>
        <v>313.33333333333331</v>
      </c>
    </row>
    <row r="5" spans="1:8" x14ac:dyDescent="0.3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5">
        <f t="shared" si="2"/>
        <v>340</v>
      </c>
    </row>
    <row r="6" spans="1:8" x14ac:dyDescent="0.3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5">
        <f t="shared" si="2"/>
        <v>240</v>
      </c>
    </row>
    <row r="7" spans="1:8" x14ac:dyDescent="0.3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5">
        <f t="shared" si="2"/>
        <v>300</v>
      </c>
    </row>
    <row r="8" spans="1:8" x14ac:dyDescent="0.3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5">
        <f t="shared" si="2"/>
        <v>250</v>
      </c>
    </row>
    <row r="9" spans="1:8" x14ac:dyDescent="0.3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5">
        <f t="shared" si="2"/>
        <v>190</v>
      </c>
    </row>
    <row r="10" spans="1:8" x14ac:dyDescent="0.3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5">
        <f t="shared" si="2"/>
        <v>304</v>
      </c>
    </row>
    <row r="11" spans="1:8" x14ac:dyDescent="0.3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5">
        <f t="shared" si="2"/>
        <v>314</v>
      </c>
    </row>
    <row r="12" spans="1:8" x14ac:dyDescent="0.3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5">
        <f t="shared" si="2"/>
        <v>0</v>
      </c>
    </row>
    <row r="13" spans="1:8" x14ac:dyDescent="0.3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5">
        <f t="shared" si="2"/>
        <v>213.33333333333334</v>
      </c>
    </row>
    <row r="14" spans="1:8" x14ac:dyDescent="0.3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5">
        <f t="shared" si="2"/>
        <v>212</v>
      </c>
    </row>
    <row r="15" spans="1:8" x14ac:dyDescent="0.3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5">
        <f t="shared" si="2"/>
        <v>275</v>
      </c>
    </row>
    <row r="16" spans="1:8" x14ac:dyDescent="0.3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5">
        <f t="shared" si="2"/>
        <v>153.33333333333334</v>
      </c>
    </row>
    <row r="17" spans="1:8" x14ac:dyDescent="0.3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 t="shared" ref="G17:G22" si="3">F17/D17</f>
        <v>5.4545454545454543E-2</v>
      </c>
      <c r="H17" s="25">
        <f t="shared" si="2"/>
        <v>183.33333333333334</v>
      </c>
    </row>
    <row r="18" spans="1:8" x14ac:dyDescent="0.3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 t="shared" si="3"/>
        <v>4.046242774566474E-2</v>
      </c>
      <c r="H18" s="25">
        <f t="shared" ref="H18:H23" si="4">C18*D18/F18</f>
        <v>247.14285714285714</v>
      </c>
    </row>
    <row r="19" spans="1:8" x14ac:dyDescent="0.3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 t="shared" si="3"/>
        <v>4.4117647058823532E-2</v>
      </c>
      <c r="H19" s="25">
        <f t="shared" si="4"/>
        <v>226.66666666666666</v>
      </c>
    </row>
    <row r="20" spans="1:8" x14ac:dyDescent="0.3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 t="shared" si="3"/>
        <v>5.3691275167785234E-2</v>
      </c>
      <c r="H20" s="25">
        <f t="shared" si="4"/>
        <v>186.25</v>
      </c>
    </row>
    <row r="21" spans="1:8" x14ac:dyDescent="0.3">
      <c r="A21">
        <v>20</v>
      </c>
      <c r="B21" s="1">
        <v>43938</v>
      </c>
      <c r="C21" s="7">
        <v>10</v>
      </c>
      <c r="D21" s="7">
        <f>SUMIFS(Sales!D:D,Sales!C:C,A21)</f>
        <v>159</v>
      </c>
      <c r="E21" s="14">
        <f t="shared" ref="E21:E26" si="5">C21*D21</f>
        <v>1590</v>
      </c>
      <c r="F21" s="7">
        <f>SUMIFS(Prizes!D:D,Prizes!C:C,A21)</f>
        <v>6</v>
      </c>
      <c r="G21" s="3">
        <f t="shared" si="3"/>
        <v>3.7735849056603772E-2</v>
      </c>
      <c r="H21" s="25">
        <f t="shared" si="4"/>
        <v>265</v>
      </c>
    </row>
    <row r="22" spans="1:8" x14ac:dyDescent="0.3">
      <c r="A22">
        <v>21</v>
      </c>
      <c r="B22" s="1">
        <v>43959</v>
      </c>
      <c r="C22" s="7">
        <v>10</v>
      </c>
      <c r="D22" s="7">
        <f>SUMIFS(Sales!D:D,Sales!C:C,A22)</f>
        <v>179</v>
      </c>
      <c r="E22" s="14">
        <f t="shared" si="5"/>
        <v>1790</v>
      </c>
      <c r="F22" s="7">
        <f>SUMIFS(Prizes!D:D,Prizes!C:C,A22)</f>
        <v>5</v>
      </c>
      <c r="G22" s="3">
        <f t="shared" si="3"/>
        <v>2.7932960893854747E-2</v>
      </c>
      <c r="H22" s="25">
        <f t="shared" si="4"/>
        <v>358</v>
      </c>
    </row>
    <row r="23" spans="1:8" x14ac:dyDescent="0.3">
      <c r="A23">
        <v>22</v>
      </c>
      <c r="B23" s="1">
        <v>43994</v>
      </c>
      <c r="C23" s="7">
        <v>10</v>
      </c>
      <c r="D23" s="7">
        <f>SUMIFS(Sales!D:D,Sales!C:C,A23)</f>
        <v>120</v>
      </c>
      <c r="E23" s="14">
        <f t="shared" si="5"/>
        <v>1200</v>
      </c>
      <c r="F23" s="7">
        <f>SUMIFS(Prizes!D:D,Prizes!C:C,A23)</f>
        <v>6</v>
      </c>
      <c r="G23" s="3">
        <f>F23/D23</f>
        <v>0.05</v>
      </c>
      <c r="H23" s="25">
        <f t="shared" si="4"/>
        <v>200</v>
      </c>
    </row>
    <row r="24" spans="1:8" x14ac:dyDescent="0.3">
      <c r="A24">
        <v>23</v>
      </c>
      <c r="B24" s="1">
        <v>44048</v>
      </c>
      <c r="C24" s="7">
        <v>10</v>
      </c>
      <c r="D24" s="7">
        <f>SUMIFS(Sales!D:D,Sales!C:C,A24)</f>
        <v>192</v>
      </c>
      <c r="E24" s="14">
        <f t="shared" si="5"/>
        <v>1920</v>
      </c>
      <c r="F24" s="7">
        <f>SUMIFS(Prizes!D:D,Prizes!C:C,A24)</f>
        <v>8</v>
      </c>
      <c r="G24" s="3">
        <f>F24/D24</f>
        <v>4.1666666666666664E-2</v>
      </c>
      <c r="H24" s="25">
        <f>C24*D24/F24</f>
        <v>240</v>
      </c>
    </row>
    <row r="25" spans="1:8" x14ac:dyDescent="0.3">
      <c r="A25">
        <v>24</v>
      </c>
      <c r="B25" s="1">
        <v>44085</v>
      </c>
      <c r="C25" s="7">
        <v>10</v>
      </c>
      <c r="D25" s="7">
        <f>SUMIFS(Sales!D:D,Sales!C:C,A25)</f>
        <v>122</v>
      </c>
      <c r="E25" s="14">
        <f t="shared" si="5"/>
        <v>1220</v>
      </c>
      <c r="F25" s="7">
        <f>SUMIFS(Prizes!D:D,Prizes!C:C,A25)</f>
        <v>7</v>
      </c>
      <c r="G25" s="3">
        <f>F25/D25</f>
        <v>5.737704918032787E-2</v>
      </c>
      <c r="H25" s="25">
        <f>C25*D25/F25</f>
        <v>174.28571428571428</v>
      </c>
    </row>
    <row r="26" spans="1:8" x14ac:dyDescent="0.3">
      <c r="A26">
        <v>25</v>
      </c>
      <c r="B26" s="1">
        <v>44113</v>
      </c>
      <c r="C26" s="7">
        <v>10</v>
      </c>
      <c r="D26" s="7">
        <f>SUMIFS(Sales!D:D,Sales!C:C,A26)</f>
        <v>211</v>
      </c>
      <c r="E26" s="14">
        <f t="shared" si="5"/>
        <v>2110</v>
      </c>
      <c r="F26" s="7">
        <f>SUMIFS(Prizes!D:D,Prizes!C:C,A26)</f>
        <v>6</v>
      </c>
      <c r="G26" s="3">
        <f>F26/D26</f>
        <v>2.843601895734597E-2</v>
      </c>
      <c r="H26" s="25">
        <f>C26*D26/F26</f>
        <v>351.66666666666669</v>
      </c>
    </row>
    <row r="27" spans="1:8" x14ac:dyDescent="0.3">
      <c r="A27">
        <v>26</v>
      </c>
      <c r="B27" s="1">
        <v>44477</v>
      </c>
      <c r="C27" s="7">
        <v>10</v>
      </c>
      <c r="D27" s="7">
        <f>SUMIFS(Sales!D:D,Sales!C:C,A27)</f>
        <v>136</v>
      </c>
      <c r="E27" s="14">
        <f>C27*D27</f>
        <v>1360</v>
      </c>
      <c r="F27" s="7">
        <f>SUMIFS(Prizes!D:D,Prizes!C:C,A27)</f>
        <v>8</v>
      </c>
      <c r="G27" s="3">
        <f>F27/D27</f>
        <v>5.8823529411764705E-2</v>
      </c>
      <c r="H27" s="25">
        <f>C27*D27/F27</f>
        <v>170</v>
      </c>
    </row>
    <row r="28" spans="1:8" x14ac:dyDescent="0.3">
      <c r="A28">
        <v>27</v>
      </c>
      <c r="B28" s="1"/>
      <c r="C28" s="7">
        <v>10</v>
      </c>
      <c r="D28" s="7">
        <f>SUMIFS(Sales!D:D,Sales!C:C,A28)</f>
        <v>121</v>
      </c>
      <c r="E28" s="14">
        <f>C28*D28</f>
        <v>1210</v>
      </c>
      <c r="F28" s="7">
        <f>SUMIFS(Prizes!D:D,Prizes!C:C,A28)</f>
        <v>6</v>
      </c>
      <c r="G28" s="3">
        <f>F28/D28</f>
        <v>4.9586776859504134E-2</v>
      </c>
      <c r="H28" s="25">
        <f>C28*D28/F28</f>
        <v>201.66666666666666</v>
      </c>
    </row>
  </sheetData>
  <conditionalFormatting sqref="H2:H28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6"/>
  <sheetViews>
    <sheetView showGridLines="0" workbookViewId="0">
      <pane ySplit="1" topLeftCell="A477" activePane="bottomLeft" state="frozen"/>
      <selection pane="bottomLeft" activeCell="M515" sqref="M515"/>
    </sheetView>
  </sheetViews>
  <sheetFormatPr defaultColWidth="8.88671875" defaultRowHeight="14.4" x14ac:dyDescent="0.3"/>
  <cols>
    <col min="9" max="9" width="12.5546875" style="2" bestFit="1" customWidth="1"/>
    <col min="11" max="11" width="10.109375" bestFit="1" customWidth="1"/>
  </cols>
  <sheetData>
    <row r="1" spans="1:11" ht="16.2" x14ac:dyDescent="0.3">
      <c r="A1" s="19" t="s">
        <v>0</v>
      </c>
      <c r="B1" s="19" t="s">
        <v>19</v>
      </c>
      <c r="C1" s="20" t="s">
        <v>18</v>
      </c>
      <c r="D1" s="19" t="s">
        <v>20</v>
      </c>
      <c r="E1" s="17" t="s">
        <v>49</v>
      </c>
      <c r="F1" s="17" t="s">
        <v>83</v>
      </c>
      <c r="G1" s="21" t="s">
        <v>32</v>
      </c>
      <c r="J1" t="s">
        <v>88</v>
      </c>
      <c r="K1" s="13">
        <f>SUM(E:E)</f>
        <v>38800</v>
      </c>
    </row>
    <row r="2" spans="1:11" x14ac:dyDescent="0.3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  <c r="H2" s="3"/>
    </row>
    <row r="3" spans="1:11" x14ac:dyDescent="0.3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  <c r="H3" s="3"/>
    </row>
    <row r="4" spans="1:11" x14ac:dyDescent="0.3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  <c r="H4" s="3"/>
    </row>
    <row r="5" spans="1:11" x14ac:dyDescent="0.3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  <c r="H5" s="3"/>
    </row>
    <row r="6" spans="1:11" x14ac:dyDescent="0.3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  <c r="H6" s="3"/>
    </row>
    <row r="7" spans="1:11" x14ac:dyDescent="0.3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  <c r="H7" s="3"/>
    </row>
    <row r="8" spans="1:11" x14ac:dyDescent="0.3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  <c r="H8" s="3"/>
    </row>
    <row r="9" spans="1:11" x14ac:dyDescent="0.3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  <c r="H9" s="3"/>
    </row>
    <row r="10" spans="1:11" x14ac:dyDescent="0.3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  <c r="H10" s="3"/>
    </row>
    <row r="11" spans="1:11" x14ac:dyDescent="0.3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  <c r="H11" s="3"/>
    </row>
    <row r="12" spans="1:11" x14ac:dyDescent="0.3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  <c r="H12" s="3"/>
    </row>
    <row r="13" spans="1:11" x14ac:dyDescent="0.3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  <c r="H13" s="3"/>
    </row>
    <row r="14" spans="1:11" x14ac:dyDescent="0.3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  <c r="H14" s="3"/>
    </row>
    <row r="15" spans="1:11" x14ac:dyDescent="0.3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  <c r="H15" s="3"/>
    </row>
    <row r="16" spans="1:11" x14ac:dyDescent="0.3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  <c r="H16" s="3"/>
    </row>
    <row r="17" spans="1:8" x14ac:dyDescent="0.3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  <c r="H17" s="3"/>
    </row>
    <row r="18" spans="1:8" x14ac:dyDescent="0.3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  <c r="H18" s="3"/>
    </row>
    <row r="19" spans="1:8" x14ac:dyDescent="0.3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  <c r="H19" s="3"/>
    </row>
    <row r="20" spans="1:8" x14ac:dyDescent="0.3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  <c r="H20" s="3"/>
    </row>
    <row r="21" spans="1:8" x14ac:dyDescent="0.3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  <c r="H21" s="3"/>
    </row>
    <row r="22" spans="1:8" x14ac:dyDescent="0.3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  <c r="H22" s="3"/>
    </row>
    <row r="23" spans="1:8" x14ac:dyDescent="0.3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  <c r="H23" s="3"/>
    </row>
    <row r="24" spans="1:8" x14ac:dyDescent="0.3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  <c r="H24" s="3"/>
    </row>
    <row r="25" spans="1:8" x14ac:dyDescent="0.3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  <c r="H25" s="3"/>
    </row>
    <row r="26" spans="1:8" x14ac:dyDescent="0.3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  <c r="H26" s="3"/>
    </row>
    <row r="27" spans="1:8" x14ac:dyDescent="0.3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  <c r="H27" s="3"/>
    </row>
    <row r="28" spans="1:8" x14ac:dyDescent="0.3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  <c r="H28" s="3"/>
    </row>
    <row r="29" spans="1:8" x14ac:dyDescent="0.3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  <c r="H29" s="3"/>
    </row>
    <row r="30" spans="1:8" x14ac:dyDescent="0.3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  <c r="H30" s="3"/>
    </row>
    <row r="31" spans="1:8" x14ac:dyDescent="0.3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  <c r="H31" s="3"/>
    </row>
    <row r="32" spans="1:8" x14ac:dyDescent="0.3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  <c r="H32" s="3"/>
    </row>
    <row r="33" spans="1:8" x14ac:dyDescent="0.3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  <c r="H33" s="3"/>
    </row>
    <row r="34" spans="1:8" x14ac:dyDescent="0.3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  <c r="H34" s="3"/>
    </row>
    <row r="35" spans="1:8" x14ac:dyDescent="0.3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  <c r="H35" s="3"/>
    </row>
    <row r="36" spans="1:8" x14ac:dyDescent="0.3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  <c r="H36" s="3"/>
    </row>
    <row r="37" spans="1:8" x14ac:dyDescent="0.3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  <c r="H37" s="3"/>
    </row>
    <row r="38" spans="1:8" x14ac:dyDescent="0.3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  <c r="H38" s="3"/>
    </row>
    <row r="39" spans="1:8" x14ac:dyDescent="0.3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  <c r="H39" s="3"/>
    </row>
    <row r="40" spans="1:8" x14ac:dyDescent="0.3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  <c r="H40" s="3"/>
    </row>
    <row r="41" spans="1:8" x14ac:dyDescent="0.3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  <c r="H41" s="3"/>
    </row>
    <row r="42" spans="1:8" x14ac:dyDescent="0.3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  <c r="H42" s="3"/>
    </row>
    <row r="43" spans="1:8" x14ac:dyDescent="0.3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  <c r="H43" s="3"/>
    </row>
    <row r="44" spans="1:8" x14ac:dyDescent="0.3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  <c r="H44" s="3"/>
    </row>
    <row r="45" spans="1:8" x14ac:dyDescent="0.3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  <c r="H45" s="3"/>
    </row>
    <row r="46" spans="1:8" x14ac:dyDescent="0.3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  <c r="H46" s="3"/>
    </row>
    <row r="47" spans="1:8" x14ac:dyDescent="0.3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  <c r="H47" s="3"/>
    </row>
    <row r="48" spans="1:8" x14ac:dyDescent="0.3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  <c r="H48" s="3"/>
    </row>
    <row r="49" spans="1:8" x14ac:dyDescent="0.3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  <c r="H49" s="3"/>
    </row>
    <row r="50" spans="1:8" x14ac:dyDescent="0.3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  <c r="H50" s="3"/>
    </row>
    <row r="51" spans="1:8" x14ac:dyDescent="0.3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  <c r="H51" s="3"/>
    </row>
    <row r="52" spans="1:8" x14ac:dyDescent="0.3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  <c r="H52" s="3"/>
    </row>
    <row r="53" spans="1:8" x14ac:dyDescent="0.3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  <c r="H53" s="3"/>
    </row>
    <row r="54" spans="1:8" x14ac:dyDescent="0.3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  <c r="H54" s="3"/>
    </row>
    <row r="55" spans="1:8" x14ac:dyDescent="0.3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  <c r="H55" s="3"/>
    </row>
    <row r="56" spans="1:8" x14ac:dyDescent="0.3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  <c r="H56" s="3"/>
    </row>
    <row r="57" spans="1:8" x14ac:dyDescent="0.3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  <c r="H57" s="3"/>
    </row>
    <row r="58" spans="1:8" x14ac:dyDescent="0.3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  <c r="H58" s="3"/>
    </row>
    <row r="59" spans="1:8" x14ac:dyDescent="0.3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  <c r="H59" s="3"/>
    </row>
    <row r="60" spans="1:8" x14ac:dyDescent="0.3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  <c r="H60" s="3"/>
    </row>
    <row r="61" spans="1:8" x14ac:dyDescent="0.3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  <c r="H61" s="3"/>
    </row>
    <row r="62" spans="1:8" x14ac:dyDescent="0.3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  <c r="H62" s="3"/>
    </row>
    <row r="63" spans="1:8" x14ac:dyDescent="0.3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  <c r="H63" s="3"/>
    </row>
    <row r="64" spans="1:8" x14ac:dyDescent="0.3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  <c r="H64" s="3"/>
    </row>
    <row r="65" spans="1:8" x14ac:dyDescent="0.3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  <c r="H65" s="3"/>
    </row>
    <row r="66" spans="1:8" x14ac:dyDescent="0.3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  <c r="H66" s="3"/>
    </row>
    <row r="67" spans="1:8" x14ac:dyDescent="0.3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  <c r="H67" s="3"/>
    </row>
    <row r="68" spans="1:8" x14ac:dyDescent="0.3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  <c r="H68" s="3"/>
    </row>
    <row r="69" spans="1:8" x14ac:dyDescent="0.3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  <c r="H69" s="3"/>
    </row>
    <row r="70" spans="1:8" x14ac:dyDescent="0.3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  <c r="H70" s="3"/>
    </row>
    <row r="71" spans="1:8" x14ac:dyDescent="0.3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  <c r="H71" s="3"/>
    </row>
    <row r="72" spans="1:8" x14ac:dyDescent="0.3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  <c r="H72" s="3"/>
    </row>
    <row r="73" spans="1:8" x14ac:dyDescent="0.3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  <c r="H73" s="3"/>
    </row>
    <row r="74" spans="1:8" x14ac:dyDescent="0.3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  <c r="H74" s="3"/>
    </row>
    <row r="75" spans="1:8" x14ac:dyDescent="0.3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  <c r="H75" s="3"/>
    </row>
    <row r="76" spans="1:8" x14ac:dyDescent="0.3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  <c r="H76" s="3"/>
    </row>
    <row r="77" spans="1:8" x14ac:dyDescent="0.3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  <c r="H77" s="3"/>
    </row>
    <row r="78" spans="1:8" x14ac:dyDescent="0.3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  <c r="H78" s="3"/>
    </row>
    <row r="79" spans="1:8" x14ac:dyDescent="0.3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  <c r="H79" s="3"/>
    </row>
    <row r="80" spans="1:8" x14ac:dyDescent="0.3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  <c r="H80" s="3"/>
    </row>
    <row r="81" spans="1:8" x14ac:dyDescent="0.3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  <c r="H81" s="3"/>
    </row>
    <row r="82" spans="1:8" x14ac:dyDescent="0.3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  <c r="H82" s="3"/>
    </row>
    <row r="83" spans="1:8" x14ac:dyDescent="0.3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  <c r="H83" s="3"/>
    </row>
    <row r="84" spans="1:8" x14ac:dyDescent="0.3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  <c r="H84" s="3"/>
    </row>
    <row r="85" spans="1:8" x14ac:dyDescent="0.3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  <c r="H85" s="3"/>
    </row>
    <row r="86" spans="1:8" x14ac:dyDescent="0.3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  <c r="H86" s="3"/>
    </row>
    <row r="87" spans="1:8" x14ac:dyDescent="0.3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  <c r="H87" s="3"/>
    </row>
    <row r="88" spans="1:8" x14ac:dyDescent="0.3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  <c r="H88" s="3"/>
    </row>
    <row r="89" spans="1:8" x14ac:dyDescent="0.3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  <c r="H89" s="3"/>
    </row>
    <row r="90" spans="1:8" x14ac:dyDescent="0.3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  <c r="H90" s="3"/>
    </row>
    <row r="91" spans="1:8" x14ac:dyDescent="0.3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  <c r="H91" s="3"/>
    </row>
    <row r="92" spans="1:8" x14ac:dyDescent="0.3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  <c r="H92" s="3"/>
    </row>
    <row r="93" spans="1:8" x14ac:dyDescent="0.3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  <c r="H93" s="3"/>
    </row>
    <row r="94" spans="1:8" x14ac:dyDescent="0.3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  <c r="H94" s="3"/>
    </row>
    <row r="95" spans="1:8" x14ac:dyDescent="0.3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  <c r="H95" s="3"/>
    </row>
    <row r="96" spans="1:8" x14ac:dyDescent="0.3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  <c r="H96" s="3"/>
    </row>
    <row r="97" spans="1:8" x14ac:dyDescent="0.3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  <c r="H97" s="3"/>
    </row>
    <row r="98" spans="1:8" x14ac:dyDescent="0.3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  <c r="H98" s="3"/>
    </row>
    <row r="99" spans="1:8" x14ac:dyDescent="0.3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  <c r="H99" s="3"/>
    </row>
    <row r="100" spans="1:8" x14ac:dyDescent="0.3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  <c r="H100" s="3"/>
    </row>
    <row r="101" spans="1:8" x14ac:dyDescent="0.3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  <c r="H101" s="3"/>
    </row>
    <row r="102" spans="1:8" x14ac:dyDescent="0.3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  <c r="H102" s="3"/>
    </row>
    <row r="103" spans="1:8" x14ac:dyDescent="0.3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  <c r="H103" s="3"/>
    </row>
    <row r="104" spans="1:8" x14ac:dyDescent="0.3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  <c r="H104" s="3"/>
    </row>
    <row r="105" spans="1:8" x14ac:dyDescent="0.3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  <c r="H105" s="3"/>
    </row>
    <row r="106" spans="1:8" x14ac:dyDescent="0.3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  <c r="H106" s="3"/>
    </row>
    <row r="107" spans="1:8" x14ac:dyDescent="0.3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  <c r="H107" s="3"/>
    </row>
    <row r="108" spans="1:8" x14ac:dyDescent="0.3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  <c r="H108" s="3"/>
    </row>
    <row r="109" spans="1:8" x14ac:dyDescent="0.3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  <c r="H109" s="3"/>
    </row>
    <row r="110" spans="1:8" x14ac:dyDescent="0.3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  <c r="H110" s="3"/>
    </row>
    <row r="111" spans="1:8" x14ac:dyDescent="0.3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  <c r="H111" s="3"/>
    </row>
    <row r="112" spans="1:8" x14ac:dyDescent="0.3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  <c r="H112" s="3"/>
    </row>
    <row r="113" spans="1:8" x14ac:dyDescent="0.3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  <c r="H113" s="3"/>
    </row>
    <row r="114" spans="1:8" x14ac:dyDescent="0.3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  <c r="H114" s="3"/>
    </row>
    <row r="115" spans="1:8" x14ac:dyDescent="0.3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  <c r="H115" s="3"/>
    </row>
    <row r="116" spans="1:8" x14ac:dyDescent="0.3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  <c r="H116" s="3"/>
    </row>
    <row r="117" spans="1:8" x14ac:dyDescent="0.3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  <c r="H117" s="3"/>
    </row>
    <row r="118" spans="1:8" x14ac:dyDescent="0.3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  <c r="H118" s="3"/>
    </row>
    <row r="119" spans="1:8" x14ac:dyDescent="0.3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  <c r="H119" s="3"/>
    </row>
    <row r="120" spans="1:8" x14ac:dyDescent="0.3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  <c r="H120" s="3"/>
    </row>
    <row r="121" spans="1:8" x14ac:dyDescent="0.3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  <c r="H121" s="3"/>
    </row>
    <row r="122" spans="1:8" x14ac:dyDescent="0.3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  <c r="H122" s="3"/>
    </row>
    <row r="123" spans="1:8" x14ac:dyDescent="0.3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  <c r="H123" s="3"/>
    </row>
    <row r="124" spans="1:8" x14ac:dyDescent="0.3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  <c r="H124" s="3"/>
    </row>
    <row r="125" spans="1:8" x14ac:dyDescent="0.3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  <c r="H125" s="3"/>
    </row>
    <row r="126" spans="1:8" x14ac:dyDescent="0.3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  <c r="H126" s="3"/>
    </row>
    <row r="127" spans="1:8" x14ac:dyDescent="0.3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  <c r="H127" s="3"/>
    </row>
    <row r="128" spans="1:8" x14ac:dyDescent="0.3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  <c r="H128" s="3"/>
    </row>
    <row r="129" spans="1:8" x14ac:dyDescent="0.3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  <c r="H129" s="3"/>
    </row>
    <row r="130" spans="1:8" x14ac:dyDescent="0.3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  <c r="H130" s="3"/>
    </row>
    <row r="131" spans="1:8" x14ac:dyDescent="0.3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  <c r="H131" s="3"/>
    </row>
    <row r="132" spans="1:8" x14ac:dyDescent="0.3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  <c r="H132" s="3"/>
    </row>
    <row r="133" spans="1:8" x14ac:dyDescent="0.3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  <c r="H133" s="3"/>
    </row>
    <row r="134" spans="1:8" x14ac:dyDescent="0.3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  <c r="H134" s="3"/>
    </row>
    <row r="135" spans="1:8" x14ac:dyDescent="0.3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  <c r="H135" s="3"/>
    </row>
    <row r="136" spans="1:8" x14ac:dyDescent="0.3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  <c r="H136" s="3"/>
    </row>
    <row r="137" spans="1:8" x14ac:dyDescent="0.3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  <c r="H137" s="3"/>
    </row>
    <row r="138" spans="1:8" x14ac:dyDescent="0.3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  <c r="H138" s="3"/>
    </row>
    <row r="139" spans="1:8" x14ac:dyDescent="0.3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  <c r="H139" s="3"/>
    </row>
    <row r="140" spans="1:8" x14ac:dyDescent="0.3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  <c r="H140" s="3"/>
    </row>
    <row r="141" spans="1:8" x14ac:dyDescent="0.3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  <c r="H141" s="3"/>
    </row>
    <row r="142" spans="1:8" x14ac:dyDescent="0.3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  <c r="H142" s="3"/>
    </row>
    <row r="143" spans="1:8" x14ac:dyDescent="0.3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  <c r="H143" s="3"/>
    </row>
    <row r="144" spans="1:8" x14ac:dyDescent="0.3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  <c r="H144" s="3"/>
    </row>
    <row r="145" spans="1:8" x14ac:dyDescent="0.3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  <c r="H145" s="3"/>
    </row>
    <row r="146" spans="1:8" x14ac:dyDescent="0.3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  <c r="H146" s="3"/>
    </row>
    <row r="147" spans="1:8" x14ac:dyDescent="0.3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  <c r="H147" s="3"/>
    </row>
    <row r="148" spans="1:8" x14ac:dyDescent="0.3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  <c r="H148" s="3"/>
    </row>
    <row r="149" spans="1:8" x14ac:dyDescent="0.3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  <c r="H149" s="3"/>
    </row>
    <row r="150" spans="1:8" x14ac:dyDescent="0.3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  <c r="H150" s="3"/>
    </row>
    <row r="151" spans="1:8" x14ac:dyDescent="0.3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  <c r="H151" s="3"/>
    </row>
    <row r="152" spans="1:8" x14ac:dyDescent="0.3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  <c r="H152" s="3"/>
    </row>
    <row r="153" spans="1:8" x14ac:dyDescent="0.3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  <c r="H153" s="3"/>
    </row>
    <row r="154" spans="1:8" x14ac:dyDescent="0.3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  <c r="H154" s="3"/>
    </row>
    <row r="155" spans="1:8" x14ac:dyDescent="0.3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  <c r="H155" s="3"/>
    </row>
    <row r="156" spans="1:8" x14ac:dyDescent="0.3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  <c r="H156" s="3"/>
    </row>
    <row r="157" spans="1:8" x14ac:dyDescent="0.3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  <c r="H157" s="3"/>
    </row>
    <row r="158" spans="1:8" x14ac:dyDescent="0.3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  <c r="H158" s="3"/>
    </row>
    <row r="159" spans="1:8" x14ac:dyDescent="0.3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  <c r="H159" s="3"/>
    </row>
    <row r="160" spans="1:8" x14ac:dyDescent="0.3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  <c r="H160" s="3"/>
    </row>
    <row r="161" spans="1:8" x14ac:dyDescent="0.3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  <c r="H161" s="3"/>
    </row>
    <row r="162" spans="1:8" x14ac:dyDescent="0.3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  <c r="H162" s="3"/>
    </row>
    <row r="163" spans="1:8" x14ac:dyDescent="0.3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  <c r="H163" s="3"/>
    </row>
    <row r="164" spans="1:8" x14ac:dyDescent="0.3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  <c r="H164" s="3"/>
    </row>
    <row r="165" spans="1:8" x14ac:dyDescent="0.3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  <c r="H165" s="3"/>
    </row>
    <row r="166" spans="1:8" x14ac:dyDescent="0.3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  <c r="H166" s="3"/>
    </row>
    <row r="167" spans="1:8" x14ac:dyDescent="0.3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  <c r="H167" s="3"/>
    </row>
    <row r="168" spans="1:8" x14ac:dyDescent="0.3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  <c r="H168" s="3"/>
    </row>
    <row r="169" spans="1:8" x14ac:dyDescent="0.3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  <c r="H169" s="3"/>
    </row>
    <row r="170" spans="1:8" x14ac:dyDescent="0.3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  <c r="H170" s="3"/>
    </row>
    <row r="171" spans="1:8" x14ac:dyDescent="0.3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  <c r="H171" s="3"/>
    </row>
    <row r="172" spans="1:8" x14ac:dyDescent="0.3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  <c r="H172" s="3"/>
    </row>
    <row r="173" spans="1:8" x14ac:dyDescent="0.3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  <c r="H173" s="3"/>
    </row>
    <row r="174" spans="1:8" x14ac:dyDescent="0.3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  <c r="H174" s="3"/>
    </row>
    <row r="175" spans="1:8" x14ac:dyDescent="0.3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  <c r="H175" s="3"/>
    </row>
    <row r="176" spans="1:8" x14ac:dyDescent="0.3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  <c r="H176" s="3"/>
    </row>
    <row r="177" spans="1:8" x14ac:dyDescent="0.3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  <c r="H177" s="3"/>
    </row>
    <row r="178" spans="1:8" x14ac:dyDescent="0.3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  <c r="H178" s="3"/>
    </row>
    <row r="179" spans="1:8" x14ac:dyDescent="0.3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  <c r="H179" s="3"/>
    </row>
    <row r="180" spans="1:8" x14ac:dyDescent="0.3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  <c r="H180" s="3"/>
    </row>
    <row r="181" spans="1:8" x14ac:dyDescent="0.3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  <c r="H181" s="3"/>
    </row>
    <row r="182" spans="1:8" x14ac:dyDescent="0.3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  <c r="H182" s="3"/>
    </row>
    <row r="183" spans="1:8" x14ac:dyDescent="0.3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  <c r="H183" s="3"/>
    </row>
    <row r="184" spans="1:8" x14ac:dyDescent="0.3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  <c r="H184" s="3"/>
    </row>
    <row r="185" spans="1:8" x14ac:dyDescent="0.3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  <c r="H185" s="3"/>
    </row>
    <row r="186" spans="1:8" x14ac:dyDescent="0.3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  <c r="H186" s="3"/>
    </row>
    <row r="187" spans="1:8" x14ac:dyDescent="0.3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  <c r="H187" s="3"/>
    </row>
    <row r="188" spans="1:8" x14ac:dyDescent="0.3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  <c r="H188" s="3"/>
    </row>
    <row r="189" spans="1:8" x14ac:dyDescent="0.3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  <c r="H189" s="3"/>
    </row>
    <row r="190" spans="1:8" x14ac:dyDescent="0.3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  <c r="H190" s="3"/>
    </row>
    <row r="191" spans="1:8" x14ac:dyDescent="0.3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  <c r="H191" s="3"/>
    </row>
    <row r="192" spans="1:8" x14ac:dyDescent="0.3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  <c r="H192" s="3"/>
    </row>
    <row r="193" spans="1:8" x14ac:dyDescent="0.3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  <c r="H193" s="3"/>
    </row>
    <row r="194" spans="1:8" x14ac:dyDescent="0.3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  <c r="H194" s="3"/>
    </row>
    <row r="195" spans="1:8" x14ac:dyDescent="0.3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  <c r="H195" s="3"/>
    </row>
    <row r="196" spans="1:8" x14ac:dyDescent="0.3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  <c r="H196" s="3"/>
    </row>
    <row r="197" spans="1:8" x14ac:dyDescent="0.3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  <c r="H197" s="3"/>
    </row>
    <row r="198" spans="1:8" x14ac:dyDescent="0.3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  <c r="H198" s="3"/>
    </row>
    <row r="199" spans="1:8" x14ac:dyDescent="0.3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  <c r="H199" s="3"/>
    </row>
    <row r="200" spans="1:8" x14ac:dyDescent="0.3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  <c r="H200" s="3"/>
    </row>
    <row r="201" spans="1:8" x14ac:dyDescent="0.3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  <c r="H201" s="3"/>
    </row>
    <row r="202" spans="1:8" x14ac:dyDescent="0.3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  <c r="H202" s="3"/>
    </row>
    <row r="203" spans="1:8" x14ac:dyDescent="0.3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  <c r="H203" s="3"/>
    </row>
    <row r="204" spans="1:8" x14ac:dyDescent="0.3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  <c r="H204" s="3"/>
    </row>
    <row r="205" spans="1:8" x14ac:dyDescent="0.3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  <c r="H205" s="3"/>
    </row>
    <row r="206" spans="1:8" x14ac:dyDescent="0.3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  <c r="H206" s="3"/>
    </row>
    <row r="207" spans="1:8" x14ac:dyDescent="0.3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  <c r="H207" s="3"/>
    </row>
    <row r="208" spans="1:8" x14ac:dyDescent="0.3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  <c r="H208" s="3"/>
    </row>
    <row r="209" spans="1:8" x14ac:dyDescent="0.3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  <c r="H209" s="3"/>
    </row>
    <row r="210" spans="1:8" x14ac:dyDescent="0.3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  <c r="H210" s="3"/>
    </row>
    <row r="211" spans="1:8" x14ac:dyDescent="0.3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  <c r="H211" s="3"/>
    </row>
    <row r="212" spans="1:8" x14ac:dyDescent="0.3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  <c r="H212" s="3"/>
    </row>
    <row r="213" spans="1:8" x14ac:dyDescent="0.3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  <c r="H213" s="3"/>
    </row>
    <row r="214" spans="1:8" x14ac:dyDescent="0.3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  <c r="H214" s="3"/>
    </row>
    <row r="215" spans="1:8" x14ac:dyDescent="0.3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  <c r="H215" s="3"/>
    </row>
    <row r="216" spans="1:8" x14ac:dyDescent="0.3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  <c r="H216" s="3"/>
    </row>
    <row r="217" spans="1:8" x14ac:dyDescent="0.3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  <c r="H217" s="3"/>
    </row>
    <row r="218" spans="1:8" x14ac:dyDescent="0.3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  <c r="H218" s="3"/>
    </row>
    <row r="219" spans="1:8" x14ac:dyDescent="0.3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  <c r="H219" s="3"/>
    </row>
    <row r="220" spans="1:8" x14ac:dyDescent="0.3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  <c r="H220" s="3"/>
    </row>
    <row r="221" spans="1:8" x14ac:dyDescent="0.3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  <c r="H221" s="3"/>
    </row>
    <row r="222" spans="1:8" x14ac:dyDescent="0.3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  <c r="H222" s="3"/>
    </row>
    <row r="223" spans="1:8" x14ac:dyDescent="0.3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  <c r="H223" s="3"/>
    </row>
    <row r="224" spans="1:8" x14ac:dyDescent="0.3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  <c r="H224" s="3"/>
    </row>
    <row r="225" spans="1:8" x14ac:dyDescent="0.3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  <c r="H225" s="3"/>
    </row>
    <row r="226" spans="1:8" x14ac:dyDescent="0.3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  <c r="H226" s="3"/>
    </row>
    <row r="227" spans="1:8" x14ac:dyDescent="0.3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  <c r="H227" s="3"/>
    </row>
    <row r="228" spans="1:8" x14ac:dyDescent="0.3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  <c r="H228" s="3"/>
    </row>
    <row r="229" spans="1:8" x14ac:dyDescent="0.3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  <c r="H229" s="3"/>
    </row>
    <row r="230" spans="1:8" x14ac:dyDescent="0.3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  <c r="H230" s="3"/>
    </row>
    <row r="231" spans="1:8" x14ac:dyDescent="0.3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  <c r="H231" s="3"/>
    </row>
    <row r="232" spans="1:8" x14ac:dyDescent="0.3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  <c r="H232" s="3"/>
    </row>
    <row r="233" spans="1:8" x14ac:dyDescent="0.3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  <c r="H233" s="3"/>
    </row>
    <row r="234" spans="1:8" x14ac:dyDescent="0.3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  <c r="H234" s="3"/>
    </row>
    <row r="235" spans="1:8" x14ac:dyDescent="0.3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  <c r="H235" s="3"/>
    </row>
    <row r="236" spans="1:8" x14ac:dyDescent="0.3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  <c r="H236" s="3"/>
    </row>
    <row r="237" spans="1:8" x14ac:dyDescent="0.3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  <c r="H237" s="3"/>
    </row>
    <row r="238" spans="1:8" x14ac:dyDescent="0.3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  <c r="H238" s="3"/>
    </row>
    <row r="239" spans="1:8" x14ac:dyDescent="0.3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  <c r="H239" s="3"/>
    </row>
    <row r="240" spans="1:8" x14ac:dyDescent="0.3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  <c r="H240" s="3"/>
    </row>
    <row r="241" spans="1:8" x14ac:dyDescent="0.3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  <c r="H241" s="3"/>
    </row>
    <row r="242" spans="1:8" x14ac:dyDescent="0.3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  <c r="H242" s="3"/>
    </row>
    <row r="243" spans="1:8" x14ac:dyDescent="0.3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  <c r="H243" s="3"/>
    </row>
    <row r="244" spans="1:8" x14ac:dyDescent="0.3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  <c r="H244" s="3"/>
    </row>
    <row r="245" spans="1:8" x14ac:dyDescent="0.3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  <c r="H245" s="3"/>
    </row>
    <row r="246" spans="1:8" x14ac:dyDescent="0.3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  <c r="H246" s="3"/>
    </row>
    <row r="247" spans="1:8" x14ac:dyDescent="0.3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  <c r="H247" s="3"/>
    </row>
    <row r="248" spans="1:8" x14ac:dyDescent="0.3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  <c r="H248" s="3"/>
    </row>
    <row r="249" spans="1:8" x14ac:dyDescent="0.3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  <c r="H249" s="3"/>
    </row>
    <row r="250" spans="1:8" x14ac:dyDescent="0.3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  <c r="H250" s="3"/>
    </row>
    <row r="251" spans="1:8" x14ac:dyDescent="0.3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  <c r="H251" s="3"/>
    </row>
    <row r="252" spans="1:8" x14ac:dyDescent="0.3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  <c r="H252" s="3"/>
    </row>
    <row r="253" spans="1:8" x14ac:dyDescent="0.3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  <c r="H253" s="3"/>
    </row>
    <row r="254" spans="1:8" x14ac:dyDescent="0.3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  <c r="H254" s="3"/>
    </row>
    <row r="255" spans="1:8" x14ac:dyDescent="0.3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  <c r="H255" s="3"/>
    </row>
    <row r="256" spans="1:8" x14ac:dyDescent="0.3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  <c r="H256" s="3"/>
    </row>
    <row r="257" spans="1:8" x14ac:dyDescent="0.3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  <c r="H257" s="3"/>
    </row>
    <row r="258" spans="1:8" x14ac:dyDescent="0.3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  <c r="H258" s="3"/>
    </row>
    <row r="259" spans="1:8" x14ac:dyDescent="0.3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  <c r="H259" s="3"/>
    </row>
    <row r="260" spans="1:8" x14ac:dyDescent="0.3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  <c r="H260" s="3"/>
    </row>
    <row r="261" spans="1:8" x14ac:dyDescent="0.3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  <c r="H261" s="3"/>
    </row>
    <row r="262" spans="1:8" x14ac:dyDescent="0.3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  <c r="H262" s="3"/>
    </row>
    <row r="263" spans="1:8" x14ac:dyDescent="0.3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  <c r="H263" s="3"/>
    </row>
    <row r="264" spans="1:8" x14ac:dyDescent="0.3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  <c r="H264" s="3"/>
    </row>
    <row r="265" spans="1:8" x14ac:dyDescent="0.3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  <c r="H265" s="3"/>
    </row>
    <row r="266" spans="1:8" x14ac:dyDescent="0.3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  <c r="H266" s="3"/>
    </row>
    <row r="267" spans="1:8" x14ac:dyDescent="0.3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  <c r="H267" s="3"/>
    </row>
    <row r="268" spans="1:8" x14ac:dyDescent="0.3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  <c r="H268" s="3"/>
    </row>
    <row r="269" spans="1:8" x14ac:dyDescent="0.3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  <c r="H269" s="3"/>
    </row>
    <row r="270" spans="1:8" x14ac:dyDescent="0.3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  <c r="H270" s="3"/>
    </row>
    <row r="271" spans="1:8" x14ac:dyDescent="0.3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  <c r="H271" s="3"/>
    </row>
    <row r="272" spans="1:8" x14ac:dyDescent="0.3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  <c r="H272" s="3"/>
    </row>
    <row r="273" spans="1:8" x14ac:dyDescent="0.3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  <c r="H273" s="3"/>
    </row>
    <row r="274" spans="1:8" x14ac:dyDescent="0.3">
      <c r="A274">
        <v>273</v>
      </c>
      <c r="B274"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3"/>
    </row>
    <row r="275" spans="1:8" x14ac:dyDescent="0.3">
      <c r="A275">
        <v>274</v>
      </c>
      <c r="B275"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3"/>
    </row>
    <row r="276" spans="1:8" x14ac:dyDescent="0.3">
      <c r="A276">
        <v>275</v>
      </c>
      <c r="B276"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3"/>
    </row>
    <row r="277" spans="1:8" x14ac:dyDescent="0.3">
      <c r="A277">
        <v>276</v>
      </c>
      <c r="B277"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3"/>
    </row>
    <row r="278" spans="1:8" x14ac:dyDescent="0.3">
      <c r="A278">
        <v>277</v>
      </c>
      <c r="B278"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3"/>
    </row>
    <row r="279" spans="1:8" x14ac:dyDescent="0.3">
      <c r="A279">
        <v>278</v>
      </c>
      <c r="B279"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3"/>
    </row>
    <row r="280" spans="1:8" x14ac:dyDescent="0.3">
      <c r="A280">
        <v>279</v>
      </c>
      <c r="B280"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3"/>
    </row>
    <row r="281" spans="1:8" x14ac:dyDescent="0.3">
      <c r="A281">
        <v>280</v>
      </c>
      <c r="B281"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3"/>
    </row>
    <row r="282" spans="1:8" x14ac:dyDescent="0.3">
      <c r="A282">
        <v>281</v>
      </c>
      <c r="B282"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3"/>
    </row>
    <row r="283" spans="1:8" x14ac:dyDescent="0.3">
      <c r="A283">
        <v>282</v>
      </c>
      <c r="B283"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3"/>
    </row>
    <row r="284" spans="1:8" x14ac:dyDescent="0.3">
      <c r="A284">
        <v>283</v>
      </c>
      <c r="B284"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3"/>
    </row>
    <row r="285" spans="1:8" x14ac:dyDescent="0.3">
      <c r="A285">
        <v>284</v>
      </c>
      <c r="B285"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3"/>
    </row>
    <row r="286" spans="1:8" x14ac:dyDescent="0.3">
      <c r="A286">
        <v>285</v>
      </c>
      <c r="B286"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3"/>
    </row>
    <row r="287" spans="1:8" x14ac:dyDescent="0.3">
      <c r="A287">
        <v>286</v>
      </c>
      <c r="B287"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3"/>
    </row>
    <row r="288" spans="1:8" x14ac:dyDescent="0.3">
      <c r="A288">
        <v>287</v>
      </c>
      <c r="B288"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3"/>
    </row>
    <row r="289" spans="1:8" x14ac:dyDescent="0.3">
      <c r="A289">
        <v>288</v>
      </c>
      <c r="B289"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3"/>
    </row>
    <row r="290" spans="1:8" x14ac:dyDescent="0.3">
      <c r="A290">
        <v>289</v>
      </c>
      <c r="B290"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3"/>
    </row>
    <row r="291" spans="1:8" x14ac:dyDescent="0.3">
      <c r="A291">
        <v>290</v>
      </c>
      <c r="B291">
        <v>33</v>
      </c>
      <c r="C291" s="11">
        <v>17</v>
      </c>
      <c r="D291"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3"/>
    </row>
    <row r="292" spans="1:8" x14ac:dyDescent="0.3">
      <c r="A292">
        <v>291</v>
      </c>
      <c r="B292">
        <v>48</v>
      </c>
      <c r="C292" s="11">
        <v>17</v>
      </c>
      <c r="D292"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3"/>
    </row>
    <row r="293" spans="1:8" x14ac:dyDescent="0.3">
      <c r="A293">
        <v>292</v>
      </c>
      <c r="B293">
        <v>14</v>
      </c>
      <c r="C293" s="11">
        <v>17</v>
      </c>
      <c r="D293"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3"/>
    </row>
    <row r="294" spans="1:8" x14ac:dyDescent="0.3">
      <c r="A294">
        <v>293</v>
      </c>
      <c r="B294">
        <v>11</v>
      </c>
      <c r="C294" s="11">
        <v>17</v>
      </c>
      <c r="D294"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3"/>
    </row>
    <row r="295" spans="1:8" x14ac:dyDescent="0.3">
      <c r="A295">
        <v>294</v>
      </c>
      <c r="B295">
        <v>29</v>
      </c>
      <c r="C295" s="11">
        <v>17</v>
      </c>
      <c r="D295"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3"/>
    </row>
    <row r="296" spans="1:8" x14ac:dyDescent="0.3">
      <c r="A296">
        <v>295</v>
      </c>
      <c r="B296">
        <v>17</v>
      </c>
      <c r="C296" s="11">
        <v>17</v>
      </c>
      <c r="D296"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3"/>
    </row>
    <row r="297" spans="1:8" x14ac:dyDescent="0.3">
      <c r="A297">
        <v>296</v>
      </c>
      <c r="B297">
        <v>35</v>
      </c>
      <c r="C297" s="11">
        <v>17</v>
      </c>
      <c r="D297"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3"/>
    </row>
    <row r="298" spans="1:8" x14ac:dyDescent="0.3">
      <c r="A298">
        <v>297</v>
      </c>
      <c r="B298">
        <v>46</v>
      </c>
      <c r="C298" s="11">
        <v>17</v>
      </c>
      <c r="D298"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3"/>
    </row>
    <row r="299" spans="1:8" x14ac:dyDescent="0.3">
      <c r="A299">
        <v>298</v>
      </c>
      <c r="B299">
        <v>1</v>
      </c>
      <c r="C299" s="11">
        <v>17</v>
      </c>
      <c r="D299"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3"/>
    </row>
    <row r="300" spans="1:8" x14ac:dyDescent="0.3">
      <c r="A300">
        <v>299</v>
      </c>
      <c r="B300">
        <v>42</v>
      </c>
      <c r="C300" s="11">
        <v>17</v>
      </c>
      <c r="D300"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3"/>
    </row>
    <row r="301" spans="1:8" x14ac:dyDescent="0.3">
      <c r="A301">
        <v>300</v>
      </c>
      <c r="B301">
        <v>43</v>
      </c>
      <c r="C301" s="11">
        <v>17</v>
      </c>
      <c r="D301"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3"/>
    </row>
    <row r="302" spans="1:8" x14ac:dyDescent="0.3">
      <c r="A302">
        <v>301</v>
      </c>
      <c r="B302">
        <v>44</v>
      </c>
      <c r="C302" s="11">
        <v>17</v>
      </c>
      <c r="D302"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3"/>
    </row>
    <row r="303" spans="1:8" x14ac:dyDescent="0.3">
      <c r="A303">
        <v>302</v>
      </c>
      <c r="B303">
        <v>20</v>
      </c>
      <c r="C303" s="11">
        <v>17</v>
      </c>
      <c r="D303"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3"/>
    </row>
    <row r="304" spans="1:8" x14ac:dyDescent="0.3">
      <c r="A304">
        <v>303</v>
      </c>
      <c r="B304">
        <v>24</v>
      </c>
      <c r="C304" s="11">
        <v>17</v>
      </c>
      <c r="D304"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3"/>
    </row>
    <row r="305" spans="1:8" x14ac:dyDescent="0.3">
      <c r="A305">
        <v>304</v>
      </c>
      <c r="B305">
        <v>32</v>
      </c>
      <c r="C305" s="11">
        <v>17</v>
      </c>
      <c r="D305"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3"/>
    </row>
    <row r="306" spans="1:8" x14ac:dyDescent="0.3">
      <c r="A306">
        <v>305</v>
      </c>
      <c r="B306">
        <v>8</v>
      </c>
      <c r="C306" s="11">
        <v>17</v>
      </c>
      <c r="D306"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3"/>
    </row>
    <row r="307" spans="1:8" x14ac:dyDescent="0.3">
      <c r="A307">
        <v>306</v>
      </c>
      <c r="B307">
        <v>15</v>
      </c>
      <c r="C307" s="11">
        <v>17</v>
      </c>
      <c r="D307"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3"/>
    </row>
    <row r="308" spans="1:8" x14ac:dyDescent="0.3">
      <c r="A308">
        <v>307</v>
      </c>
      <c r="B308">
        <v>2</v>
      </c>
      <c r="C308" s="11">
        <v>17</v>
      </c>
      <c r="D308"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3"/>
    </row>
    <row r="309" spans="1:8" x14ac:dyDescent="0.3">
      <c r="A309">
        <v>308</v>
      </c>
      <c r="B309">
        <v>47</v>
      </c>
      <c r="C309" s="11">
        <v>17</v>
      </c>
      <c r="D309"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3"/>
    </row>
    <row r="310" spans="1:8" x14ac:dyDescent="0.3">
      <c r="A310">
        <v>309</v>
      </c>
      <c r="B310">
        <v>37</v>
      </c>
      <c r="C310" s="11">
        <v>17</v>
      </c>
      <c r="D310"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3"/>
    </row>
    <row r="311" spans="1:8" x14ac:dyDescent="0.3">
      <c r="A311">
        <v>310</v>
      </c>
      <c r="B311">
        <v>41</v>
      </c>
      <c r="C311" s="11">
        <v>17</v>
      </c>
      <c r="D311"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3"/>
    </row>
    <row r="312" spans="1:8" x14ac:dyDescent="0.3">
      <c r="A312">
        <v>311</v>
      </c>
      <c r="B312">
        <v>34</v>
      </c>
      <c r="C312" s="11">
        <v>17</v>
      </c>
      <c r="D312"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3"/>
    </row>
    <row r="313" spans="1:8" x14ac:dyDescent="0.3">
      <c r="A313">
        <v>312</v>
      </c>
      <c r="B313">
        <v>49</v>
      </c>
      <c r="C313" s="11">
        <v>17</v>
      </c>
      <c r="D313"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3"/>
    </row>
    <row r="314" spans="1:8" x14ac:dyDescent="0.3">
      <c r="A314">
        <v>313</v>
      </c>
      <c r="B314">
        <v>45</v>
      </c>
      <c r="C314" s="11">
        <v>17</v>
      </c>
      <c r="D314"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3"/>
    </row>
    <row r="315" spans="1:8" x14ac:dyDescent="0.3">
      <c r="A315">
        <v>314</v>
      </c>
      <c r="B315">
        <v>33</v>
      </c>
      <c r="C315" s="11">
        <v>18</v>
      </c>
      <c r="D315"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3"/>
    </row>
    <row r="316" spans="1:8" x14ac:dyDescent="0.3">
      <c r="A316">
        <v>315</v>
      </c>
      <c r="B316">
        <v>43</v>
      </c>
      <c r="C316" s="11">
        <v>18</v>
      </c>
      <c r="D316"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3"/>
    </row>
    <row r="317" spans="1:8" x14ac:dyDescent="0.3">
      <c r="A317">
        <v>316</v>
      </c>
      <c r="B317">
        <v>37</v>
      </c>
      <c r="C317" s="11">
        <v>18</v>
      </c>
      <c r="D317"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3"/>
    </row>
    <row r="318" spans="1:8" x14ac:dyDescent="0.3">
      <c r="A318">
        <v>317</v>
      </c>
      <c r="B318">
        <v>45</v>
      </c>
      <c r="C318" s="11">
        <v>18</v>
      </c>
      <c r="D318"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3"/>
    </row>
    <row r="319" spans="1:8" x14ac:dyDescent="0.3">
      <c r="A319">
        <v>318</v>
      </c>
      <c r="B319">
        <v>1</v>
      </c>
      <c r="C319" s="11">
        <v>18</v>
      </c>
      <c r="D319"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3"/>
    </row>
    <row r="320" spans="1:8" x14ac:dyDescent="0.3">
      <c r="A320">
        <v>319</v>
      </c>
      <c r="B320">
        <v>2</v>
      </c>
      <c r="C320" s="11">
        <v>18</v>
      </c>
      <c r="D320"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3"/>
    </row>
    <row r="321" spans="1:8" x14ac:dyDescent="0.3">
      <c r="A321">
        <v>320</v>
      </c>
      <c r="B321">
        <v>16</v>
      </c>
      <c r="C321" s="11">
        <v>18</v>
      </c>
      <c r="D321"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3"/>
    </row>
    <row r="322" spans="1:8" x14ac:dyDescent="0.3">
      <c r="A322">
        <v>321</v>
      </c>
      <c r="B322">
        <v>41</v>
      </c>
      <c r="C322" s="11">
        <v>18</v>
      </c>
      <c r="D322"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3"/>
    </row>
    <row r="323" spans="1:8" x14ac:dyDescent="0.3">
      <c r="A323">
        <v>322</v>
      </c>
      <c r="B323">
        <v>47</v>
      </c>
      <c r="C323" s="11">
        <v>18</v>
      </c>
      <c r="D323"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3"/>
    </row>
    <row r="324" spans="1:8" x14ac:dyDescent="0.3">
      <c r="A324">
        <v>323</v>
      </c>
      <c r="B324">
        <v>15</v>
      </c>
      <c r="C324" s="11">
        <v>18</v>
      </c>
      <c r="D324"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3"/>
    </row>
    <row r="325" spans="1:8" x14ac:dyDescent="0.3">
      <c r="A325">
        <v>324</v>
      </c>
      <c r="B325">
        <v>24</v>
      </c>
      <c r="C325" s="11">
        <v>18</v>
      </c>
      <c r="D325"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3"/>
    </row>
    <row r="326" spans="1:8" x14ac:dyDescent="0.3">
      <c r="A326">
        <v>325</v>
      </c>
      <c r="B326">
        <v>39</v>
      </c>
      <c r="C326" s="11">
        <v>18</v>
      </c>
      <c r="D326"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3"/>
    </row>
    <row r="327" spans="1:8" x14ac:dyDescent="0.3">
      <c r="A327">
        <v>326</v>
      </c>
      <c r="B327">
        <v>50</v>
      </c>
      <c r="C327" s="11">
        <v>18</v>
      </c>
      <c r="D327"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3"/>
    </row>
    <row r="328" spans="1:8" x14ac:dyDescent="0.3">
      <c r="A328">
        <v>327</v>
      </c>
      <c r="B328">
        <v>44</v>
      </c>
      <c r="C328" s="11">
        <v>18</v>
      </c>
      <c r="D328"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3"/>
    </row>
    <row r="329" spans="1:8" x14ac:dyDescent="0.3">
      <c r="A329">
        <v>328</v>
      </c>
      <c r="B329">
        <v>42</v>
      </c>
      <c r="C329" s="11">
        <v>18</v>
      </c>
      <c r="D329"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3"/>
    </row>
    <row r="330" spans="1:8" x14ac:dyDescent="0.3">
      <c r="A330">
        <v>329</v>
      </c>
      <c r="B330">
        <v>46</v>
      </c>
      <c r="C330" s="11">
        <v>18</v>
      </c>
      <c r="D330"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3"/>
    </row>
    <row r="331" spans="1:8" x14ac:dyDescent="0.3">
      <c r="A331">
        <v>330</v>
      </c>
      <c r="B331">
        <v>29</v>
      </c>
      <c r="C331" s="11">
        <v>18</v>
      </c>
      <c r="D331"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3"/>
    </row>
    <row r="332" spans="1:8" x14ac:dyDescent="0.3">
      <c r="A332">
        <v>331</v>
      </c>
      <c r="B332">
        <v>10</v>
      </c>
      <c r="C332" s="11">
        <v>18</v>
      </c>
      <c r="D332"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3"/>
    </row>
    <row r="333" spans="1:8" x14ac:dyDescent="0.3">
      <c r="A333">
        <v>332</v>
      </c>
      <c r="B333">
        <v>20</v>
      </c>
      <c r="C333" s="11">
        <v>18</v>
      </c>
      <c r="D333"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3"/>
    </row>
    <row r="334" spans="1:8" x14ac:dyDescent="0.3">
      <c r="A334">
        <v>333</v>
      </c>
      <c r="B334">
        <v>29</v>
      </c>
      <c r="C334" s="11">
        <v>19</v>
      </c>
      <c r="D334"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3"/>
    </row>
    <row r="335" spans="1:8" x14ac:dyDescent="0.3">
      <c r="A335">
        <v>334</v>
      </c>
      <c r="B335">
        <v>35</v>
      </c>
      <c r="C335" s="11">
        <v>19</v>
      </c>
      <c r="D335"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3"/>
    </row>
    <row r="336" spans="1:8" x14ac:dyDescent="0.3">
      <c r="A336">
        <v>335</v>
      </c>
      <c r="B336">
        <v>43</v>
      </c>
      <c r="C336" s="11">
        <v>19</v>
      </c>
      <c r="D336"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3"/>
    </row>
    <row r="337" spans="1:8" x14ac:dyDescent="0.3">
      <c r="A337">
        <v>336</v>
      </c>
      <c r="B337">
        <v>41</v>
      </c>
      <c r="C337" s="11">
        <v>19</v>
      </c>
      <c r="D337"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3"/>
    </row>
    <row r="338" spans="1:8" x14ac:dyDescent="0.3">
      <c r="A338">
        <v>337</v>
      </c>
      <c r="B338">
        <v>51</v>
      </c>
      <c r="C338" s="11">
        <v>19</v>
      </c>
      <c r="D338"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3"/>
    </row>
    <row r="339" spans="1:8" x14ac:dyDescent="0.3">
      <c r="A339">
        <v>338</v>
      </c>
      <c r="B339">
        <v>33</v>
      </c>
      <c r="C339" s="11">
        <v>19</v>
      </c>
      <c r="D339"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3"/>
    </row>
    <row r="340" spans="1:8" x14ac:dyDescent="0.3">
      <c r="A340">
        <v>339</v>
      </c>
      <c r="B340">
        <v>37</v>
      </c>
      <c r="C340" s="11">
        <v>19</v>
      </c>
      <c r="D340"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3"/>
    </row>
    <row r="341" spans="1:8" x14ac:dyDescent="0.3">
      <c r="A341">
        <v>340</v>
      </c>
      <c r="B341">
        <v>44</v>
      </c>
      <c r="C341" s="11">
        <v>19</v>
      </c>
      <c r="D341"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3"/>
    </row>
    <row r="342" spans="1:8" x14ac:dyDescent="0.3">
      <c r="A342">
        <v>341</v>
      </c>
      <c r="B342">
        <v>24</v>
      </c>
      <c r="C342" s="11">
        <v>19</v>
      </c>
      <c r="D342"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3"/>
    </row>
    <row r="343" spans="1:8" x14ac:dyDescent="0.3">
      <c r="A343">
        <v>342</v>
      </c>
      <c r="B343">
        <v>45</v>
      </c>
      <c r="C343" s="11">
        <v>19</v>
      </c>
      <c r="D343"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3"/>
    </row>
    <row r="344" spans="1:8" x14ac:dyDescent="0.3">
      <c r="A344">
        <v>343</v>
      </c>
      <c r="B344">
        <v>15</v>
      </c>
      <c r="C344" s="11">
        <v>19</v>
      </c>
      <c r="D344"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3"/>
    </row>
    <row r="345" spans="1:8" x14ac:dyDescent="0.3">
      <c r="A345">
        <v>344</v>
      </c>
      <c r="B345">
        <v>42</v>
      </c>
      <c r="C345" s="11">
        <v>19</v>
      </c>
      <c r="D345"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3"/>
    </row>
    <row r="346" spans="1:8" x14ac:dyDescent="0.3">
      <c r="A346">
        <v>345</v>
      </c>
      <c r="B346">
        <v>10</v>
      </c>
      <c r="C346" s="11">
        <v>19</v>
      </c>
      <c r="D346"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3"/>
    </row>
    <row r="347" spans="1:8" x14ac:dyDescent="0.3">
      <c r="A347">
        <v>346</v>
      </c>
      <c r="B347">
        <v>14</v>
      </c>
      <c r="C347" s="11">
        <v>19</v>
      </c>
      <c r="D347"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3"/>
    </row>
    <row r="348" spans="1:8" x14ac:dyDescent="0.3">
      <c r="A348">
        <v>347</v>
      </c>
      <c r="B348">
        <v>46</v>
      </c>
      <c r="C348" s="11">
        <v>19</v>
      </c>
      <c r="D348"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3"/>
    </row>
    <row r="349" spans="1:8" x14ac:dyDescent="0.3">
      <c r="A349">
        <v>348</v>
      </c>
      <c r="B349">
        <v>52</v>
      </c>
      <c r="C349" s="11">
        <v>19</v>
      </c>
      <c r="D349"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3"/>
    </row>
    <row r="350" spans="1:8" x14ac:dyDescent="0.3">
      <c r="A350">
        <v>349</v>
      </c>
      <c r="B350">
        <v>20</v>
      </c>
      <c r="C350" s="11">
        <v>19</v>
      </c>
      <c r="D350"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3"/>
    </row>
    <row r="351" spans="1:8" x14ac:dyDescent="0.3">
      <c r="A351">
        <v>350</v>
      </c>
      <c r="B351">
        <v>32</v>
      </c>
      <c r="C351" s="11">
        <v>19</v>
      </c>
      <c r="D351"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3"/>
    </row>
    <row r="352" spans="1:8" x14ac:dyDescent="0.3">
      <c r="A352">
        <v>351</v>
      </c>
      <c r="B352">
        <v>34</v>
      </c>
      <c r="C352" s="11">
        <v>19</v>
      </c>
      <c r="D352"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3"/>
    </row>
    <row r="353" spans="1:8" x14ac:dyDescent="0.3">
      <c r="A353">
        <v>352</v>
      </c>
      <c r="B353">
        <v>11</v>
      </c>
      <c r="C353" s="11">
        <v>19</v>
      </c>
      <c r="D353"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3"/>
    </row>
    <row r="354" spans="1:8" x14ac:dyDescent="0.3">
      <c r="A354">
        <v>353</v>
      </c>
      <c r="B354">
        <v>13</v>
      </c>
      <c r="C354" s="11">
        <v>19</v>
      </c>
      <c r="D354"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3"/>
    </row>
    <row r="355" spans="1:8" x14ac:dyDescent="0.3">
      <c r="A355">
        <v>354</v>
      </c>
      <c r="B355">
        <v>17</v>
      </c>
      <c r="C355" s="11">
        <v>19</v>
      </c>
      <c r="D355"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7"/>
    </row>
    <row r="356" spans="1:8" x14ac:dyDescent="0.3">
      <c r="A356">
        <v>355</v>
      </c>
      <c r="B356">
        <v>52</v>
      </c>
      <c r="C356" s="11">
        <v>20</v>
      </c>
      <c r="D356">
        <v>4</v>
      </c>
      <c r="E356" s="7">
        <f>INDEX(Lotteries!C:C,MATCH(C356,Lotteries!A:A,0))*D356</f>
        <v>40</v>
      </c>
      <c r="F356" s="3">
        <f>D356*INDEX(Lotteries!G:G,MATCH(C356,Lotteries!A:A,0))</f>
        <v>0.15094339622641509</v>
      </c>
      <c r="G356" s="3">
        <f>INDEX(Lotteries!F:F,MATCH(C356,Lotteries!A:A,0))*D356/INDEX(Lotteries!D:D,MATCH(C356,Lotteries!A:A,0))*(INDEX(Lotteries!D:D,MATCH(C356,Lotteries!A:A,0))-D356)/INDEX(Lotteries!D:D,MATCH(C356,Lotteries!A:A,0))*(INDEX(Lotteries!D:D,MATCH(C356,Lotteries!A:A,0))-INDEX(Lotteries!F:F,MATCH(C356,Lotteries!A:A,0)))/(INDEX(Lotteries!D:D,MATCH(C356,Lotteries!A:A,0))-1)</f>
        <v>0.14248955662405197</v>
      </c>
      <c r="H356" s="7"/>
    </row>
    <row r="357" spans="1:8" x14ac:dyDescent="0.3">
      <c r="A357">
        <v>356</v>
      </c>
      <c r="B357">
        <v>41</v>
      </c>
      <c r="C357" s="11">
        <v>20</v>
      </c>
      <c r="D357">
        <v>10</v>
      </c>
      <c r="E357" s="7">
        <f>INDEX(Lotteries!C:C,MATCH(C357,Lotteries!A:A,0))*D357</f>
        <v>100</v>
      </c>
      <c r="F357" s="3">
        <f>D357*INDEX(Lotteries!G:G,MATCH(C357,Lotteries!A:A,0))</f>
        <v>0.37735849056603771</v>
      </c>
      <c r="G357" s="3">
        <f>INDEX(Lotteries!F:F,MATCH(C357,Lotteries!A:A,0))*D357/INDEX(Lotteries!D:D,MATCH(C357,Lotteries!A:A,0))*(INDEX(Lotteries!D:D,MATCH(C357,Lotteries!A:A,0))-D357)/INDEX(Lotteries!D:D,MATCH(C357,Lotteries!A:A,0))*(INDEX(Lotteries!D:D,MATCH(C357,Lotteries!A:A,0))-INDEX(Lotteries!F:F,MATCH(C357,Lotteries!A:A,0)))/(INDEX(Lotteries!D:D,MATCH(C357,Lotteries!A:A,0))-1)</f>
        <v>0.34243457962877016</v>
      </c>
      <c r="H357" s="7"/>
    </row>
    <row r="358" spans="1:8" x14ac:dyDescent="0.3">
      <c r="A358">
        <v>357</v>
      </c>
      <c r="B358">
        <v>13</v>
      </c>
      <c r="C358" s="11">
        <v>20</v>
      </c>
      <c r="D358">
        <v>10</v>
      </c>
      <c r="E358" s="7">
        <f>INDEX(Lotteries!C:C,MATCH(C358,Lotteries!A:A,0))*D358</f>
        <v>100</v>
      </c>
      <c r="F358" s="3">
        <f>D358*INDEX(Lotteries!G:G,MATCH(C358,Lotteries!A:A,0))</f>
        <v>0.37735849056603771</v>
      </c>
      <c r="G358" s="3">
        <f>INDEX(Lotteries!F:F,MATCH(C358,Lotteries!A:A,0))*D358/INDEX(Lotteries!D:D,MATCH(C358,Lotteries!A:A,0))*(INDEX(Lotteries!D:D,MATCH(C358,Lotteries!A:A,0))-D358)/INDEX(Lotteries!D:D,MATCH(C358,Lotteries!A:A,0))*(INDEX(Lotteries!D:D,MATCH(C358,Lotteries!A:A,0))-INDEX(Lotteries!F:F,MATCH(C358,Lotteries!A:A,0)))/(INDEX(Lotteries!D:D,MATCH(C358,Lotteries!A:A,0))-1)</f>
        <v>0.34243457962877016</v>
      </c>
      <c r="H358" s="7"/>
    </row>
    <row r="359" spans="1:8" x14ac:dyDescent="0.3">
      <c r="A359">
        <v>358</v>
      </c>
      <c r="B359">
        <v>10</v>
      </c>
      <c r="C359" s="11">
        <v>20</v>
      </c>
      <c r="D359">
        <v>10</v>
      </c>
      <c r="E359" s="7">
        <f>INDEX(Lotteries!C:C,MATCH(C359,Lotteries!A:A,0))*D359</f>
        <v>100</v>
      </c>
      <c r="F359" s="3">
        <f>D359*INDEX(Lotteries!G:G,MATCH(C359,Lotteries!A:A,0))</f>
        <v>0.37735849056603771</v>
      </c>
      <c r="G359" s="3">
        <f>INDEX(Lotteries!F:F,MATCH(C359,Lotteries!A:A,0))*D359/INDEX(Lotteries!D:D,MATCH(C359,Lotteries!A:A,0))*(INDEX(Lotteries!D:D,MATCH(C359,Lotteries!A:A,0))-D359)/INDEX(Lotteries!D:D,MATCH(C359,Lotteries!A:A,0))*(INDEX(Lotteries!D:D,MATCH(C359,Lotteries!A:A,0))-INDEX(Lotteries!F:F,MATCH(C359,Lotteries!A:A,0)))/(INDEX(Lotteries!D:D,MATCH(C359,Lotteries!A:A,0))-1)</f>
        <v>0.34243457962877016</v>
      </c>
      <c r="H359" s="7"/>
    </row>
    <row r="360" spans="1:8" x14ac:dyDescent="0.3">
      <c r="A360">
        <v>359</v>
      </c>
      <c r="B360">
        <v>47</v>
      </c>
      <c r="C360" s="11">
        <v>20</v>
      </c>
      <c r="D360">
        <v>10</v>
      </c>
      <c r="E360" s="7">
        <f>INDEX(Lotteries!C:C,MATCH(C360,Lotteries!A:A,0))*D360</f>
        <v>100</v>
      </c>
      <c r="F360" s="3">
        <f>D360*INDEX(Lotteries!G:G,MATCH(C360,Lotteries!A:A,0))</f>
        <v>0.37735849056603771</v>
      </c>
      <c r="G360" s="3">
        <f>INDEX(Lotteries!F:F,MATCH(C360,Lotteries!A:A,0))*D360/INDEX(Lotteries!D:D,MATCH(C360,Lotteries!A:A,0))*(INDEX(Lotteries!D:D,MATCH(C360,Lotteries!A:A,0))-D360)/INDEX(Lotteries!D:D,MATCH(C360,Lotteries!A:A,0))*(INDEX(Lotteries!D:D,MATCH(C360,Lotteries!A:A,0))-INDEX(Lotteries!F:F,MATCH(C360,Lotteries!A:A,0)))/(INDEX(Lotteries!D:D,MATCH(C360,Lotteries!A:A,0))-1)</f>
        <v>0.34243457962877016</v>
      </c>
      <c r="H360" s="7"/>
    </row>
    <row r="361" spans="1:8" x14ac:dyDescent="0.3">
      <c r="A361">
        <v>360</v>
      </c>
      <c r="B361">
        <v>34</v>
      </c>
      <c r="C361" s="11">
        <v>20</v>
      </c>
      <c r="D361">
        <v>10</v>
      </c>
      <c r="E361" s="7">
        <f>INDEX(Lotteries!C:C,MATCH(C361,Lotteries!A:A,0))*D361</f>
        <v>100</v>
      </c>
      <c r="F361" s="3">
        <f>D361*INDEX(Lotteries!G:G,MATCH(C361,Lotteries!A:A,0))</f>
        <v>0.37735849056603771</v>
      </c>
      <c r="G361" s="3">
        <f>INDEX(Lotteries!F:F,MATCH(C361,Lotteries!A:A,0))*D361/INDEX(Lotteries!D:D,MATCH(C361,Lotteries!A:A,0))*(INDEX(Lotteries!D:D,MATCH(C361,Lotteries!A:A,0))-D361)/INDEX(Lotteries!D:D,MATCH(C361,Lotteries!A:A,0))*(INDEX(Lotteries!D:D,MATCH(C361,Lotteries!A:A,0))-INDEX(Lotteries!F:F,MATCH(C361,Lotteries!A:A,0)))/(INDEX(Lotteries!D:D,MATCH(C361,Lotteries!A:A,0))-1)</f>
        <v>0.34243457962877016</v>
      </c>
      <c r="H361" s="7"/>
    </row>
    <row r="362" spans="1:8" x14ac:dyDescent="0.3">
      <c r="A362">
        <v>361</v>
      </c>
      <c r="B362">
        <v>14</v>
      </c>
      <c r="C362" s="11">
        <v>20</v>
      </c>
      <c r="D362">
        <v>5</v>
      </c>
      <c r="E362" s="7">
        <f>INDEX(Lotteries!C:C,MATCH(C362,Lotteries!A:A,0))*D362</f>
        <v>50</v>
      </c>
      <c r="F362" s="3">
        <f>D362*INDEX(Lotteries!G:G,MATCH(C362,Lotteries!A:A,0))</f>
        <v>0.18867924528301885</v>
      </c>
      <c r="G362" s="3">
        <f>INDEX(Lotteries!F:F,MATCH(C362,Lotteries!A:A,0))*D362/INDEX(Lotteries!D:D,MATCH(C362,Lotteries!A:A,0))*(INDEX(Lotteries!D:D,MATCH(C362,Lotteries!A:A,0))-D362)/INDEX(Lotteries!D:D,MATCH(C362,Lotteries!A:A,0))*(INDEX(Lotteries!D:D,MATCH(C362,Lotteries!A:A,0))-INDEX(Lotteries!F:F,MATCH(C362,Lotteries!A:A,0)))/(INDEX(Lotteries!D:D,MATCH(C362,Lotteries!A:A,0))-1)</f>
        <v>0.17696283645245164</v>
      </c>
      <c r="H362" s="7"/>
    </row>
    <row r="363" spans="1:8" x14ac:dyDescent="0.3">
      <c r="A363">
        <v>362</v>
      </c>
      <c r="B363">
        <v>35</v>
      </c>
      <c r="C363" s="11">
        <v>20</v>
      </c>
      <c r="D363">
        <v>10</v>
      </c>
      <c r="E363" s="7">
        <f>INDEX(Lotteries!C:C,MATCH(C363,Lotteries!A:A,0))*D363</f>
        <v>100</v>
      </c>
      <c r="F363" s="3">
        <f>D363*INDEX(Lotteries!G:G,MATCH(C363,Lotteries!A:A,0))</f>
        <v>0.37735849056603771</v>
      </c>
      <c r="G363" s="3">
        <f>INDEX(Lotteries!F:F,MATCH(C363,Lotteries!A:A,0))*D363/INDEX(Lotteries!D:D,MATCH(C363,Lotteries!A:A,0))*(INDEX(Lotteries!D:D,MATCH(C363,Lotteries!A:A,0))-D363)/INDEX(Lotteries!D:D,MATCH(C363,Lotteries!A:A,0))*(INDEX(Lotteries!D:D,MATCH(C363,Lotteries!A:A,0))-INDEX(Lotteries!F:F,MATCH(C363,Lotteries!A:A,0)))/(INDEX(Lotteries!D:D,MATCH(C363,Lotteries!A:A,0))-1)</f>
        <v>0.34243457962877016</v>
      </c>
      <c r="H363" s="7"/>
    </row>
    <row r="364" spans="1:8" x14ac:dyDescent="0.3">
      <c r="A364">
        <v>363</v>
      </c>
      <c r="B364">
        <v>29</v>
      </c>
      <c r="C364" s="11">
        <v>20</v>
      </c>
      <c r="D364">
        <v>10</v>
      </c>
      <c r="E364" s="7">
        <f>INDEX(Lotteries!C:C,MATCH(C364,Lotteries!A:A,0))*D364</f>
        <v>100</v>
      </c>
      <c r="F364" s="3">
        <f>D364*INDEX(Lotteries!G:G,MATCH(C364,Lotteries!A:A,0))</f>
        <v>0.37735849056603771</v>
      </c>
      <c r="G364" s="3">
        <f>INDEX(Lotteries!F:F,MATCH(C364,Lotteries!A:A,0))*D364/INDEX(Lotteries!D:D,MATCH(C364,Lotteries!A:A,0))*(INDEX(Lotteries!D:D,MATCH(C364,Lotteries!A:A,0))-D364)/INDEX(Lotteries!D:D,MATCH(C364,Lotteries!A:A,0))*(INDEX(Lotteries!D:D,MATCH(C364,Lotteries!A:A,0))-INDEX(Lotteries!F:F,MATCH(C364,Lotteries!A:A,0)))/(INDEX(Lotteries!D:D,MATCH(C364,Lotteries!A:A,0))-1)</f>
        <v>0.34243457962877016</v>
      </c>
      <c r="H364" s="7"/>
    </row>
    <row r="365" spans="1:8" x14ac:dyDescent="0.3">
      <c r="A365">
        <v>364</v>
      </c>
      <c r="B365">
        <v>33</v>
      </c>
      <c r="C365" s="11">
        <v>20</v>
      </c>
      <c r="D365">
        <v>20</v>
      </c>
      <c r="E365" s="7">
        <f>INDEX(Lotteries!C:C,MATCH(C365,Lotteries!A:A,0))*D365</f>
        <v>200</v>
      </c>
      <c r="F365" s="3">
        <f>D365*INDEX(Lotteries!G:G,MATCH(C365,Lotteries!A:A,0))</f>
        <v>0.75471698113207542</v>
      </c>
      <c r="G365" s="3">
        <f>INDEX(Lotteries!F:F,MATCH(C365,Lotteries!A:A,0))*D365/INDEX(Lotteries!D:D,MATCH(C365,Lotteries!A:A,0))*(INDEX(Lotteries!D:D,MATCH(C365,Lotteries!A:A,0))-D365)/INDEX(Lotteries!D:D,MATCH(C365,Lotteries!A:A,0))*(INDEX(Lotteries!D:D,MATCH(C365,Lotteries!A:A,0))-INDEX(Lotteries!F:F,MATCH(C365,Lotteries!A:A,0)))/(INDEX(Lotteries!D:D,MATCH(C365,Lotteries!A:A,0))-1)</f>
        <v>0.63890478615300739</v>
      </c>
      <c r="H365" s="7"/>
    </row>
    <row r="366" spans="1:8" x14ac:dyDescent="0.3">
      <c r="A366">
        <v>365</v>
      </c>
      <c r="B366">
        <v>37</v>
      </c>
      <c r="C366" s="11">
        <v>20</v>
      </c>
      <c r="D366">
        <v>10</v>
      </c>
      <c r="E366" s="7">
        <f>INDEX(Lotteries!C:C,MATCH(C366,Lotteries!A:A,0))*D366</f>
        <v>100</v>
      </c>
      <c r="F366" s="3">
        <f>D366*INDEX(Lotteries!G:G,MATCH(C366,Lotteries!A:A,0))</f>
        <v>0.37735849056603771</v>
      </c>
      <c r="G366" s="3">
        <f>INDEX(Lotteries!F:F,MATCH(C366,Lotteries!A:A,0))*D366/INDEX(Lotteries!D:D,MATCH(C366,Lotteries!A:A,0))*(INDEX(Lotteries!D:D,MATCH(C366,Lotteries!A:A,0))-D366)/INDEX(Lotteries!D:D,MATCH(C366,Lotteries!A:A,0))*(INDEX(Lotteries!D:D,MATCH(C366,Lotteries!A:A,0))-INDEX(Lotteries!F:F,MATCH(C366,Lotteries!A:A,0)))/(INDEX(Lotteries!D:D,MATCH(C366,Lotteries!A:A,0))-1)</f>
        <v>0.34243457962877016</v>
      </c>
      <c r="H366" s="7"/>
    </row>
    <row r="367" spans="1:8" x14ac:dyDescent="0.3">
      <c r="A367">
        <v>366</v>
      </c>
      <c r="B367">
        <v>17</v>
      </c>
      <c r="C367" s="11">
        <v>20</v>
      </c>
      <c r="D367">
        <v>5</v>
      </c>
      <c r="E367" s="7">
        <f>INDEX(Lotteries!C:C,MATCH(C367,Lotteries!A:A,0))*D367</f>
        <v>50</v>
      </c>
      <c r="F367" s="3">
        <f>D367*INDEX(Lotteries!G:G,MATCH(C367,Lotteries!A:A,0))</f>
        <v>0.18867924528301885</v>
      </c>
      <c r="G367" s="3">
        <f>INDEX(Lotteries!F:F,MATCH(C367,Lotteries!A:A,0))*D367/INDEX(Lotteries!D:D,MATCH(C367,Lotteries!A:A,0))*(INDEX(Lotteries!D:D,MATCH(C367,Lotteries!A:A,0))-D367)/INDEX(Lotteries!D:D,MATCH(C367,Lotteries!A:A,0))*(INDEX(Lotteries!D:D,MATCH(C367,Lotteries!A:A,0))-INDEX(Lotteries!F:F,MATCH(C367,Lotteries!A:A,0)))/(INDEX(Lotteries!D:D,MATCH(C367,Lotteries!A:A,0))-1)</f>
        <v>0.17696283645245164</v>
      </c>
      <c r="H367" s="7"/>
    </row>
    <row r="368" spans="1:8" x14ac:dyDescent="0.3">
      <c r="A368">
        <v>367</v>
      </c>
      <c r="B368">
        <v>20</v>
      </c>
      <c r="C368" s="11">
        <v>20</v>
      </c>
      <c r="D368">
        <v>5</v>
      </c>
      <c r="E368" s="7">
        <f>INDEX(Lotteries!C:C,MATCH(C368,Lotteries!A:A,0))*D368</f>
        <v>50</v>
      </c>
      <c r="F368" s="3">
        <f>D368*INDEX(Lotteries!G:G,MATCH(C368,Lotteries!A:A,0))</f>
        <v>0.18867924528301885</v>
      </c>
      <c r="G368" s="3">
        <f>INDEX(Lotteries!F:F,MATCH(C368,Lotteries!A:A,0))*D368/INDEX(Lotteries!D:D,MATCH(C368,Lotteries!A:A,0))*(INDEX(Lotteries!D:D,MATCH(C368,Lotteries!A:A,0))-D368)/INDEX(Lotteries!D:D,MATCH(C368,Lotteries!A:A,0))*(INDEX(Lotteries!D:D,MATCH(C368,Lotteries!A:A,0))-INDEX(Lotteries!F:F,MATCH(C368,Lotteries!A:A,0)))/(INDEX(Lotteries!D:D,MATCH(C368,Lotteries!A:A,0))-1)</f>
        <v>0.17696283645245164</v>
      </c>
      <c r="H368" s="7"/>
    </row>
    <row r="369" spans="1:8" x14ac:dyDescent="0.3">
      <c r="A369">
        <v>368</v>
      </c>
      <c r="B369">
        <v>48</v>
      </c>
      <c r="C369" s="11">
        <v>20</v>
      </c>
      <c r="D369">
        <v>10</v>
      </c>
      <c r="E369" s="7">
        <f>INDEX(Lotteries!C:C,MATCH(C369,Lotteries!A:A,0))*D369</f>
        <v>100</v>
      </c>
      <c r="F369" s="3">
        <f>D369*INDEX(Lotteries!G:G,MATCH(C369,Lotteries!A:A,0))</f>
        <v>0.37735849056603771</v>
      </c>
      <c r="G369" s="3">
        <f>INDEX(Lotteries!F:F,MATCH(C369,Lotteries!A:A,0))*D369/INDEX(Lotteries!D:D,MATCH(C369,Lotteries!A:A,0))*(INDEX(Lotteries!D:D,MATCH(C369,Lotteries!A:A,0))-D369)/INDEX(Lotteries!D:D,MATCH(C369,Lotteries!A:A,0))*(INDEX(Lotteries!D:D,MATCH(C369,Lotteries!A:A,0))-INDEX(Lotteries!F:F,MATCH(C369,Lotteries!A:A,0)))/(INDEX(Lotteries!D:D,MATCH(C369,Lotteries!A:A,0))-1)</f>
        <v>0.34243457962877016</v>
      </c>
      <c r="H369" s="7"/>
    </row>
    <row r="370" spans="1:8" x14ac:dyDescent="0.3">
      <c r="A370">
        <v>369</v>
      </c>
      <c r="B370">
        <v>51</v>
      </c>
      <c r="C370" s="11">
        <v>20</v>
      </c>
      <c r="D370">
        <v>5</v>
      </c>
      <c r="E370" s="7">
        <f>INDEX(Lotteries!C:C,MATCH(C370,Lotteries!A:A,0))*D370</f>
        <v>50</v>
      </c>
      <c r="F370" s="3">
        <f>D370*INDEX(Lotteries!G:G,MATCH(C370,Lotteries!A:A,0))</f>
        <v>0.18867924528301885</v>
      </c>
      <c r="G370" s="3">
        <f>INDEX(Lotteries!F:F,MATCH(C370,Lotteries!A:A,0))*D370/INDEX(Lotteries!D:D,MATCH(C370,Lotteries!A:A,0))*(INDEX(Lotteries!D:D,MATCH(C370,Lotteries!A:A,0))-D370)/INDEX(Lotteries!D:D,MATCH(C370,Lotteries!A:A,0))*(INDEX(Lotteries!D:D,MATCH(C370,Lotteries!A:A,0))-INDEX(Lotteries!F:F,MATCH(C370,Lotteries!A:A,0)))/(INDEX(Lotteries!D:D,MATCH(C370,Lotteries!A:A,0))-1)</f>
        <v>0.17696283645245164</v>
      </c>
      <c r="H370" s="7"/>
    </row>
    <row r="371" spans="1:8" x14ac:dyDescent="0.3">
      <c r="A371">
        <v>370</v>
      </c>
      <c r="B371">
        <v>32</v>
      </c>
      <c r="C371" s="11">
        <v>20</v>
      </c>
      <c r="D371">
        <v>10</v>
      </c>
      <c r="E371" s="7">
        <f>INDEX(Lotteries!C:C,MATCH(C371,Lotteries!A:A,0))*D371</f>
        <v>100</v>
      </c>
      <c r="F371" s="3">
        <f>D371*INDEX(Lotteries!G:G,MATCH(C371,Lotteries!A:A,0))</f>
        <v>0.37735849056603771</v>
      </c>
      <c r="G371" s="3">
        <f>INDEX(Lotteries!F:F,MATCH(C371,Lotteries!A:A,0))*D371/INDEX(Lotteries!D:D,MATCH(C371,Lotteries!A:A,0))*(INDEX(Lotteries!D:D,MATCH(C371,Lotteries!A:A,0))-D371)/INDEX(Lotteries!D:D,MATCH(C371,Lotteries!A:A,0))*(INDEX(Lotteries!D:D,MATCH(C371,Lotteries!A:A,0))-INDEX(Lotteries!F:F,MATCH(C371,Lotteries!A:A,0)))/(INDEX(Lotteries!D:D,MATCH(C371,Lotteries!A:A,0))-1)</f>
        <v>0.34243457962877016</v>
      </c>
      <c r="H371" s="7"/>
    </row>
    <row r="372" spans="1:8" x14ac:dyDescent="0.3">
      <c r="A372">
        <v>371</v>
      </c>
      <c r="B372">
        <v>2</v>
      </c>
      <c r="C372" s="11">
        <v>20</v>
      </c>
      <c r="D372">
        <v>5</v>
      </c>
      <c r="E372" s="7">
        <f>INDEX(Lotteries!C:C,MATCH(C372,Lotteries!A:A,0))*D372</f>
        <v>50</v>
      </c>
      <c r="F372" s="3">
        <f>D372*INDEX(Lotteries!G:G,MATCH(C372,Lotteries!A:A,0))</f>
        <v>0.18867924528301885</v>
      </c>
      <c r="G372" s="3">
        <f>INDEX(Lotteries!F:F,MATCH(C372,Lotteries!A:A,0))*D372/INDEX(Lotteries!D:D,MATCH(C372,Lotteries!A:A,0))*(INDEX(Lotteries!D:D,MATCH(C372,Lotteries!A:A,0))-D372)/INDEX(Lotteries!D:D,MATCH(C372,Lotteries!A:A,0))*(INDEX(Lotteries!D:D,MATCH(C372,Lotteries!A:A,0))-INDEX(Lotteries!F:F,MATCH(C372,Lotteries!A:A,0)))/(INDEX(Lotteries!D:D,MATCH(C372,Lotteries!A:A,0))-1)</f>
        <v>0.17696283645245164</v>
      </c>
      <c r="H372" s="7"/>
    </row>
    <row r="373" spans="1:8" x14ac:dyDescent="0.3">
      <c r="A373">
        <v>372</v>
      </c>
      <c r="B373">
        <v>43</v>
      </c>
      <c r="C373" s="11">
        <v>20</v>
      </c>
      <c r="D373">
        <v>5</v>
      </c>
      <c r="E373" s="7">
        <f>INDEX(Lotteries!C:C,MATCH(C373,Lotteries!A:A,0))*D373</f>
        <v>50</v>
      </c>
      <c r="F373" s="3">
        <f>D373*INDEX(Lotteries!G:G,MATCH(C373,Lotteries!A:A,0))</f>
        <v>0.18867924528301885</v>
      </c>
      <c r="G373" s="3">
        <f>INDEX(Lotteries!F:F,MATCH(C373,Lotteries!A:A,0))*D373/INDEX(Lotteries!D:D,MATCH(C373,Lotteries!A:A,0))*(INDEX(Lotteries!D:D,MATCH(C373,Lotteries!A:A,0))-D373)/INDEX(Lotteries!D:D,MATCH(C373,Lotteries!A:A,0))*(INDEX(Lotteries!D:D,MATCH(C373,Lotteries!A:A,0))-INDEX(Lotteries!F:F,MATCH(C373,Lotteries!A:A,0)))/(INDEX(Lotteries!D:D,MATCH(C373,Lotteries!A:A,0))-1)</f>
        <v>0.17696283645245164</v>
      </c>
      <c r="H373" s="7"/>
    </row>
    <row r="374" spans="1:8" x14ac:dyDescent="0.3">
      <c r="A374">
        <v>373</v>
      </c>
      <c r="B374">
        <v>53</v>
      </c>
      <c r="C374" s="11">
        <v>20</v>
      </c>
      <c r="D374">
        <v>5</v>
      </c>
      <c r="E374" s="7">
        <f>INDEX(Lotteries!C:C,MATCH(C374,Lotteries!A:A,0))*D374</f>
        <v>50</v>
      </c>
      <c r="F374" s="3">
        <f>D374*INDEX(Lotteries!G:G,MATCH(C374,Lotteries!A:A,0))</f>
        <v>0.18867924528301885</v>
      </c>
      <c r="G374" s="3">
        <f>INDEX(Lotteries!F:F,MATCH(C374,Lotteries!A:A,0))*D374/INDEX(Lotteries!D:D,MATCH(C374,Lotteries!A:A,0))*(INDEX(Lotteries!D:D,MATCH(C374,Lotteries!A:A,0))-D374)/INDEX(Lotteries!D:D,MATCH(C374,Lotteries!A:A,0))*(INDEX(Lotteries!D:D,MATCH(C374,Lotteries!A:A,0))-INDEX(Lotteries!F:F,MATCH(C374,Lotteries!A:A,0)))/(INDEX(Lotteries!D:D,MATCH(C374,Lotteries!A:A,0))-1)</f>
        <v>0.17696283645245164</v>
      </c>
      <c r="H374" s="7"/>
    </row>
    <row r="375" spans="1:8" x14ac:dyDescent="0.3">
      <c r="A375">
        <v>374</v>
      </c>
      <c r="B375">
        <v>16</v>
      </c>
      <c r="C375" s="11">
        <v>21</v>
      </c>
      <c r="D375">
        <v>2</v>
      </c>
      <c r="E375" s="7">
        <f>INDEX(Lotteries!C:C,MATCH(C375,Lotteries!A:A,0))*D375</f>
        <v>20</v>
      </c>
      <c r="F375" s="3">
        <f>D375*INDEX(Lotteries!G:G,MATCH(C375,Lotteries!A:A,0))</f>
        <v>5.5865921787709494E-2</v>
      </c>
      <c r="G375" s="3">
        <f>INDEX(Lotteries!F:F,MATCH(C375,Lotteries!A:A,0))*D375/INDEX(Lotteries!D:D,MATCH(C375,Lotteries!A:A,0))*(INDEX(Lotteries!D:D,MATCH(C375,Lotteries!A:A,0))-D375)/INDEX(Lotteries!D:D,MATCH(C375,Lotteries!A:A,0))*(INDEX(Lotteries!D:D,MATCH(C375,Lotteries!A:A,0))-INDEX(Lotteries!F:F,MATCH(C375,Lotteries!A:A,0)))/(INDEX(Lotteries!D:D,MATCH(C375,Lotteries!A:A,0))-1)</f>
        <v>5.4000334543276539E-2</v>
      </c>
      <c r="H375" s="7"/>
    </row>
    <row r="376" spans="1:8" x14ac:dyDescent="0.3">
      <c r="A376">
        <v>375</v>
      </c>
      <c r="B376">
        <v>51</v>
      </c>
      <c r="C376" s="11">
        <v>21</v>
      </c>
      <c r="D376">
        <v>5</v>
      </c>
      <c r="E376" s="7">
        <f>INDEX(Lotteries!C:C,MATCH(C376,Lotteries!A:A,0))*D376</f>
        <v>50</v>
      </c>
      <c r="F376" s="3">
        <f>D376*INDEX(Lotteries!G:G,MATCH(C376,Lotteries!A:A,0))</f>
        <v>0.13966480446927373</v>
      </c>
      <c r="G376" s="3">
        <f>INDEX(Lotteries!F:F,MATCH(C376,Lotteries!A:A,0))*D376/INDEX(Lotteries!D:D,MATCH(C376,Lotteries!A:A,0))*(INDEX(Lotteries!D:D,MATCH(C376,Lotteries!A:A,0))-D376)/INDEX(Lotteries!D:D,MATCH(C376,Lotteries!A:A,0))*(INDEX(Lotteries!D:D,MATCH(C376,Lotteries!A:A,0))-INDEX(Lotteries!F:F,MATCH(C376,Lotteries!A:A,0)))/(INDEX(Lotteries!D:D,MATCH(C376,Lotteries!A:A,0))-1)</f>
        <v>0.13271268658940844</v>
      </c>
      <c r="H376" s="7"/>
    </row>
    <row r="377" spans="1:8" x14ac:dyDescent="0.3">
      <c r="A377">
        <v>376</v>
      </c>
      <c r="B377">
        <v>17</v>
      </c>
      <c r="C377" s="11">
        <v>21</v>
      </c>
      <c r="D377">
        <v>5</v>
      </c>
      <c r="E377" s="7">
        <f>INDEX(Lotteries!C:C,MATCH(C377,Lotteries!A:A,0))*D377</f>
        <v>50</v>
      </c>
      <c r="F377" s="3">
        <f>D377*INDEX(Lotteries!G:G,MATCH(C377,Lotteries!A:A,0))</f>
        <v>0.13966480446927373</v>
      </c>
      <c r="G377" s="3">
        <f>INDEX(Lotteries!F:F,MATCH(C377,Lotteries!A:A,0))*D377/INDEX(Lotteries!D:D,MATCH(C377,Lotteries!A:A,0))*(INDEX(Lotteries!D:D,MATCH(C377,Lotteries!A:A,0))-D377)/INDEX(Lotteries!D:D,MATCH(C377,Lotteries!A:A,0))*(INDEX(Lotteries!D:D,MATCH(C377,Lotteries!A:A,0))-INDEX(Lotteries!F:F,MATCH(C377,Lotteries!A:A,0)))/(INDEX(Lotteries!D:D,MATCH(C377,Lotteries!A:A,0))-1)</f>
        <v>0.13271268658940844</v>
      </c>
      <c r="H377" s="7"/>
    </row>
    <row r="378" spans="1:8" x14ac:dyDescent="0.3">
      <c r="A378">
        <v>377</v>
      </c>
      <c r="B378">
        <v>29</v>
      </c>
      <c r="C378" s="11">
        <v>21</v>
      </c>
      <c r="D378">
        <v>10</v>
      </c>
      <c r="E378" s="7">
        <f>INDEX(Lotteries!C:C,MATCH(C378,Lotteries!A:A,0))*D378</f>
        <v>100</v>
      </c>
      <c r="F378" s="3">
        <f>D378*INDEX(Lotteries!G:G,MATCH(C378,Lotteries!A:A,0))</f>
        <v>0.27932960893854747</v>
      </c>
      <c r="G378" s="3">
        <f>INDEX(Lotteries!F:F,MATCH(C378,Lotteries!A:A,0))*D378/INDEX(Lotteries!D:D,MATCH(C378,Lotteries!A:A,0))*(INDEX(Lotteries!D:D,MATCH(C378,Lotteries!A:A,0))-D378)/INDEX(Lotteries!D:D,MATCH(C378,Lotteries!A:A,0))*(INDEX(Lotteries!D:D,MATCH(C378,Lotteries!A:A,0))-INDEX(Lotteries!F:F,MATCH(C378,Lotteries!A:A,0)))/(INDEX(Lotteries!D:D,MATCH(C378,Lotteries!A:A,0))-1)</f>
        <v>0.25779820728287384</v>
      </c>
      <c r="H378" s="7"/>
    </row>
    <row r="379" spans="1:8" x14ac:dyDescent="0.3">
      <c r="A379">
        <v>378</v>
      </c>
      <c r="B379">
        <v>15</v>
      </c>
      <c r="C379" s="11">
        <v>21</v>
      </c>
      <c r="D379">
        <v>6</v>
      </c>
      <c r="E379" s="7">
        <f>INDEX(Lotteries!C:C,MATCH(C379,Lotteries!A:A,0))*D379</f>
        <v>60</v>
      </c>
      <c r="F379" s="3">
        <f>D379*INDEX(Lotteries!G:G,MATCH(C379,Lotteries!A:A,0))</f>
        <v>0.16759776536312848</v>
      </c>
      <c r="G379" s="3">
        <f>INDEX(Lotteries!F:F,MATCH(C379,Lotteries!A:A,0))*D379/INDEX(Lotteries!D:D,MATCH(C379,Lotteries!A:A,0))*(INDEX(Lotteries!D:D,MATCH(C379,Lotteries!A:A,0))-D379)/INDEX(Lotteries!D:D,MATCH(C379,Lotteries!A:A,0))*(INDEX(Lotteries!D:D,MATCH(C379,Lotteries!A:A,0))-INDEX(Lotteries!F:F,MATCH(C379,Lotteries!A:A,0)))/(INDEX(Lotteries!D:D,MATCH(C379,Lotteries!A:A,0))-1)</f>
        <v>0.15833996399977696</v>
      </c>
      <c r="H379" s="7"/>
    </row>
    <row r="380" spans="1:8" x14ac:dyDescent="0.3">
      <c r="A380">
        <v>379</v>
      </c>
      <c r="B380">
        <v>46</v>
      </c>
      <c r="C380" s="11">
        <v>21</v>
      </c>
      <c r="D380">
        <v>4</v>
      </c>
      <c r="E380" s="7">
        <f>INDEX(Lotteries!C:C,MATCH(C380,Lotteries!A:A,0))*D380</f>
        <v>40</v>
      </c>
      <c r="F380" s="3">
        <f>D380*INDEX(Lotteries!G:G,MATCH(C380,Lotteries!A:A,0))</f>
        <v>0.11173184357541899</v>
      </c>
      <c r="G380" s="3">
        <f>INDEX(Lotteries!F:F,MATCH(C380,Lotteries!A:A,0))*D380/INDEX(Lotteries!D:D,MATCH(C380,Lotteries!A:A,0))*(INDEX(Lotteries!D:D,MATCH(C380,Lotteries!A:A,0))-D380)/INDEX(Lotteries!D:D,MATCH(C380,Lotteries!A:A,0))*(INDEX(Lotteries!D:D,MATCH(C380,Lotteries!A:A,0))-INDEX(Lotteries!F:F,MATCH(C380,Lotteries!A:A,0)))/(INDEX(Lotteries!D:D,MATCH(C380,Lotteries!A:A,0))-1)</f>
        <v>0.1067803225432022</v>
      </c>
      <c r="H380" s="7"/>
    </row>
    <row r="381" spans="1:8" x14ac:dyDescent="0.3">
      <c r="A381">
        <v>380</v>
      </c>
      <c r="B381">
        <v>55</v>
      </c>
      <c r="C381" s="11">
        <v>21</v>
      </c>
      <c r="D381">
        <v>5</v>
      </c>
      <c r="E381" s="7">
        <f>INDEX(Lotteries!C:C,MATCH(C381,Lotteries!A:A,0))*D381</f>
        <v>50</v>
      </c>
      <c r="F381" s="3">
        <f>D381*INDEX(Lotteries!G:G,MATCH(C381,Lotteries!A:A,0))</f>
        <v>0.13966480446927373</v>
      </c>
      <c r="G381" s="3">
        <f>INDEX(Lotteries!F:F,MATCH(C381,Lotteries!A:A,0))*D381/INDEX(Lotteries!D:D,MATCH(C381,Lotteries!A:A,0))*(INDEX(Lotteries!D:D,MATCH(C381,Lotteries!A:A,0))-D381)/INDEX(Lotteries!D:D,MATCH(C381,Lotteries!A:A,0))*(INDEX(Lotteries!D:D,MATCH(C381,Lotteries!A:A,0))-INDEX(Lotteries!F:F,MATCH(C381,Lotteries!A:A,0)))/(INDEX(Lotteries!D:D,MATCH(C381,Lotteries!A:A,0))-1)</f>
        <v>0.13271268658940844</v>
      </c>
      <c r="H381" s="7"/>
    </row>
    <row r="382" spans="1:8" x14ac:dyDescent="0.3">
      <c r="A382">
        <v>381</v>
      </c>
      <c r="B382">
        <v>14</v>
      </c>
      <c r="C382" s="11">
        <v>21</v>
      </c>
      <c r="D382">
        <v>5</v>
      </c>
      <c r="E382" s="7">
        <f>INDEX(Lotteries!C:C,MATCH(C382,Lotteries!A:A,0))*D382</f>
        <v>50</v>
      </c>
      <c r="F382" s="3">
        <f>D382*INDEX(Lotteries!G:G,MATCH(C382,Lotteries!A:A,0))</f>
        <v>0.13966480446927373</v>
      </c>
      <c r="G382" s="3">
        <f>INDEX(Lotteries!F:F,MATCH(C382,Lotteries!A:A,0))*D382/INDEX(Lotteries!D:D,MATCH(C382,Lotteries!A:A,0))*(INDEX(Lotteries!D:D,MATCH(C382,Lotteries!A:A,0))-D382)/INDEX(Lotteries!D:D,MATCH(C382,Lotteries!A:A,0))*(INDEX(Lotteries!D:D,MATCH(C382,Lotteries!A:A,0))-INDEX(Lotteries!F:F,MATCH(C382,Lotteries!A:A,0)))/(INDEX(Lotteries!D:D,MATCH(C382,Lotteries!A:A,0))-1)</f>
        <v>0.13271268658940844</v>
      </c>
      <c r="H382" s="7"/>
    </row>
    <row r="383" spans="1:8" x14ac:dyDescent="0.3">
      <c r="A383">
        <v>382</v>
      </c>
      <c r="B383">
        <v>34</v>
      </c>
      <c r="C383" s="11">
        <v>21</v>
      </c>
      <c r="D383">
        <v>10</v>
      </c>
      <c r="E383" s="7">
        <f>INDEX(Lotteries!C:C,MATCH(C383,Lotteries!A:A,0))*D383</f>
        <v>100</v>
      </c>
      <c r="F383" s="3">
        <f>D383*INDEX(Lotteries!G:G,MATCH(C383,Lotteries!A:A,0))</f>
        <v>0.27932960893854747</v>
      </c>
      <c r="G383" s="3">
        <f>INDEX(Lotteries!F:F,MATCH(C383,Lotteries!A:A,0))*D383/INDEX(Lotteries!D:D,MATCH(C383,Lotteries!A:A,0))*(INDEX(Lotteries!D:D,MATCH(C383,Lotteries!A:A,0))-D383)/INDEX(Lotteries!D:D,MATCH(C383,Lotteries!A:A,0))*(INDEX(Lotteries!D:D,MATCH(C383,Lotteries!A:A,0))-INDEX(Lotteries!F:F,MATCH(C383,Lotteries!A:A,0)))/(INDEX(Lotteries!D:D,MATCH(C383,Lotteries!A:A,0))-1)</f>
        <v>0.25779820728287384</v>
      </c>
      <c r="H383" s="7"/>
    </row>
    <row r="384" spans="1:8" x14ac:dyDescent="0.3">
      <c r="A384">
        <v>383</v>
      </c>
      <c r="B384">
        <v>48</v>
      </c>
      <c r="C384" s="11">
        <v>21</v>
      </c>
      <c r="D384">
        <v>5</v>
      </c>
      <c r="E384" s="7">
        <f>INDEX(Lotteries!C:C,MATCH(C384,Lotteries!A:A,0))*D384</f>
        <v>50</v>
      </c>
      <c r="F384" s="3">
        <f>D384*INDEX(Lotteries!G:G,MATCH(C384,Lotteries!A:A,0))</f>
        <v>0.13966480446927373</v>
      </c>
      <c r="G384" s="3">
        <f>INDEX(Lotteries!F:F,MATCH(C384,Lotteries!A:A,0))*D384/INDEX(Lotteries!D:D,MATCH(C384,Lotteries!A:A,0))*(INDEX(Lotteries!D:D,MATCH(C384,Lotteries!A:A,0))-D384)/INDEX(Lotteries!D:D,MATCH(C384,Lotteries!A:A,0))*(INDEX(Lotteries!D:D,MATCH(C384,Lotteries!A:A,0))-INDEX(Lotteries!F:F,MATCH(C384,Lotteries!A:A,0)))/(INDEX(Lotteries!D:D,MATCH(C384,Lotteries!A:A,0))-1)</f>
        <v>0.13271268658940844</v>
      </c>
      <c r="H384" s="7"/>
    </row>
    <row r="385" spans="1:8" x14ac:dyDescent="0.3">
      <c r="A385">
        <v>384</v>
      </c>
      <c r="B385">
        <v>2</v>
      </c>
      <c r="C385" s="11">
        <v>21</v>
      </c>
      <c r="D385">
        <v>5</v>
      </c>
      <c r="E385" s="7">
        <f>INDEX(Lotteries!C:C,MATCH(C385,Lotteries!A:A,0))*D385</f>
        <v>50</v>
      </c>
      <c r="F385" s="3">
        <f>D385*INDEX(Lotteries!G:G,MATCH(C385,Lotteries!A:A,0))</f>
        <v>0.13966480446927373</v>
      </c>
      <c r="G385" s="3">
        <f>INDEX(Lotteries!F:F,MATCH(C385,Lotteries!A:A,0))*D385/INDEX(Lotteries!D:D,MATCH(C385,Lotteries!A:A,0))*(INDEX(Lotteries!D:D,MATCH(C385,Lotteries!A:A,0))-D385)/INDEX(Lotteries!D:D,MATCH(C385,Lotteries!A:A,0))*(INDEX(Lotteries!D:D,MATCH(C385,Lotteries!A:A,0))-INDEX(Lotteries!F:F,MATCH(C385,Lotteries!A:A,0)))/(INDEX(Lotteries!D:D,MATCH(C385,Lotteries!A:A,0))-1)</f>
        <v>0.13271268658940844</v>
      </c>
      <c r="H385" s="7"/>
    </row>
    <row r="386" spans="1:8" x14ac:dyDescent="0.3">
      <c r="A386">
        <v>385</v>
      </c>
      <c r="B386">
        <v>52</v>
      </c>
      <c r="C386" s="11">
        <v>21</v>
      </c>
      <c r="D386">
        <v>40</v>
      </c>
      <c r="E386" s="7">
        <f>INDEX(Lotteries!C:C,MATCH(C386,Lotteries!A:A,0))*D386</f>
        <v>400</v>
      </c>
      <c r="F386" s="3">
        <f>D386*INDEX(Lotteries!G:G,MATCH(C386,Lotteries!A:A,0))</f>
        <v>1.1173184357541899</v>
      </c>
      <c r="G386" s="3">
        <f>INDEX(Lotteries!F:F,MATCH(C386,Lotteries!A:A,0))*D386/INDEX(Lotteries!D:D,MATCH(C386,Lotteries!A:A,0))*(INDEX(Lotteries!D:D,MATCH(C386,Lotteries!A:A,0))-D386)/INDEX(Lotteries!D:D,MATCH(C386,Lotteries!A:A,0))*(INDEX(Lotteries!D:D,MATCH(C386,Lotteries!A:A,0))-INDEX(Lotteries!F:F,MATCH(C386,Lotteries!A:A,0)))/(INDEX(Lotteries!D:D,MATCH(C386,Lotteries!A:A,0))-1)</f>
        <v>0.8481408476288631</v>
      </c>
      <c r="H386" s="7"/>
    </row>
    <row r="387" spans="1:8" x14ac:dyDescent="0.3">
      <c r="A387">
        <v>386</v>
      </c>
      <c r="B387">
        <v>13</v>
      </c>
      <c r="C387" s="11">
        <v>21</v>
      </c>
      <c r="D387">
        <v>10</v>
      </c>
      <c r="E387" s="7">
        <f>INDEX(Lotteries!C:C,MATCH(C387,Lotteries!A:A,0))*D387</f>
        <v>100</v>
      </c>
      <c r="F387" s="3">
        <f>D387*INDEX(Lotteries!G:G,MATCH(C387,Lotteries!A:A,0))</f>
        <v>0.27932960893854747</v>
      </c>
      <c r="G387" s="3">
        <f>INDEX(Lotteries!F:F,MATCH(C387,Lotteries!A:A,0))*D387/INDEX(Lotteries!D:D,MATCH(C387,Lotteries!A:A,0))*(INDEX(Lotteries!D:D,MATCH(C387,Lotteries!A:A,0))-D387)/INDEX(Lotteries!D:D,MATCH(C387,Lotteries!A:A,0))*(INDEX(Lotteries!D:D,MATCH(C387,Lotteries!A:A,0))-INDEX(Lotteries!F:F,MATCH(C387,Lotteries!A:A,0)))/(INDEX(Lotteries!D:D,MATCH(C387,Lotteries!A:A,0))-1)</f>
        <v>0.25779820728287384</v>
      </c>
      <c r="H387" s="7"/>
    </row>
    <row r="388" spans="1:8" x14ac:dyDescent="0.3">
      <c r="A388">
        <v>387</v>
      </c>
      <c r="B388">
        <v>33</v>
      </c>
      <c r="C388" s="11">
        <v>21</v>
      </c>
      <c r="D388">
        <v>10</v>
      </c>
      <c r="E388" s="7">
        <f>INDEX(Lotteries!C:C,MATCH(C388,Lotteries!A:A,0))*D388</f>
        <v>100</v>
      </c>
      <c r="F388" s="3">
        <f>D388*INDEX(Lotteries!G:G,MATCH(C388,Lotteries!A:A,0))</f>
        <v>0.27932960893854747</v>
      </c>
      <c r="G388" s="3">
        <f>INDEX(Lotteries!F:F,MATCH(C388,Lotteries!A:A,0))*D388/INDEX(Lotteries!D:D,MATCH(C388,Lotteries!A:A,0))*(INDEX(Lotteries!D:D,MATCH(C388,Lotteries!A:A,0))-D388)/INDEX(Lotteries!D:D,MATCH(C388,Lotteries!A:A,0))*(INDEX(Lotteries!D:D,MATCH(C388,Lotteries!A:A,0))-INDEX(Lotteries!F:F,MATCH(C388,Lotteries!A:A,0)))/(INDEX(Lotteries!D:D,MATCH(C388,Lotteries!A:A,0))-1)</f>
        <v>0.25779820728287384</v>
      </c>
      <c r="H388" s="7"/>
    </row>
    <row r="389" spans="1:8" x14ac:dyDescent="0.3">
      <c r="A389">
        <v>388</v>
      </c>
      <c r="B389">
        <v>41</v>
      </c>
      <c r="C389" s="11">
        <v>21</v>
      </c>
      <c r="D389">
        <v>5</v>
      </c>
      <c r="E389" s="7">
        <f>INDEX(Lotteries!C:C,MATCH(C389,Lotteries!A:A,0))*D389</f>
        <v>50</v>
      </c>
      <c r="F389" s="3">
        <f>D389*INDEX(Lotteries!G:G,MATCH(C389,Lotteries!A:A,0))</f>
        <v>0.13966480446927373</v>
      </c>
      <c r="G389" s="3">
        <f>INDEX(Lotteries!F:F,MATCH(C389,Lotteries!A:A,0))*D389/INDEX(Lotteries!D:D,MATCH(C389,Lotteries!A:A,0))*(INDEX(Lotteries!D:D,MATCH(C389,Lotteries!A:A,0))-D389)/INDEX(Lotteries!D:D,MATCH(C389,Lotteries!A:A,0))*(INDEX(Lotteries!D:D,MATCH(C389,Lotteries!A:A,0))-INDEX(Lotteries!F:F,MATCH(C389,Lotteries!A:A,0)))/(INDEX(Lotteries!D:D,MATCH(C389,Lotteries!A:A,0))-1)</f>
        <v>0.13271268658940844</v>
      </c>
      <c r="H389" s="7"/>
    </row>
    <row r="390" spans="1:8" x14ac:dyDescent="0.3">
      <c r="A390">
        <v>389</v>
      </c>
      <c r="B390">
        <v>32</v>
      </c>
      <c r="C390" s="11">
        <v>21</v>
      </c>
      <c r="D390">
        <v>12</v>
      </c>
      <c r="E390" s="7">
        <f>INDEX(Lotteries!C:C,MATCH(C390,Lotteries!A:A,0))*D390</f>
        <v>120</v>
      </c>
      <c r="F390" s="3">
        <f>D390*INDEX(Lotteries!G:G,MATCH(C390,Lotteries!A:A,0))</f>
        <v>0.33519553072625696</v>
      </c>
      <c r="G390" s="3">
        <f>INDEX(Lotteries!F:F,MATCH(C390,Lotteries!A:A,0))*D390/INDEX(Lotteries!D:D,MATCH(C390,Lotteries!A:A,0))*(INDEX(Lotteries!D:D,MATCH(C390,Lotteries!A:A,0))-D390)/INDEX(Lotteries!D:D,MATCH(C390,Lotteries!A:A,0))*(INDEX(Lotteries!D:D,MATCH(C390,Lotteries!A:A,0))-INDEX(Lotteries!F:F,MATCH(C390,Lotteries!A:A,0)))/(INDEX(Lotteries!D:D,MATCH(C390,Lotteries!A:A,0))-1)</f>
        <v>0.30569680910939601</v>
      </c>
      <c r="H390" s="7"/>
    </row>
    <row r="391" spans="1:8" x14ac:dyDescent="0.3">
      <c r="A391">
        <v>390</v>
      </c>
      <c r="B391">
        <v>35</v>
      </c>
      <c r="C391" s="11">
        <v>21</v>
      </c>
      <c r="D391">
        <v>5</v>
      </c>
      <c r="E391" s="7">
        <f>INDEX(Lotteries!C:C,MATCH(C391,Lotteries!A:A,0))*D391</f>
        <v>50</v>
      </c>
      <c r="F391" s="3">
        <f>D391*INDEX(Lotteries!G:G,MATCH(C391,Lotteries!A:A,0))</f>
        <v>0.13966480446927373</v>
      </c>
      <c r="G391" s="3">
        <f>INDEX(Lotteries!F:F,MATCH(C391,Lotteries!A:A,0))*D391/INDEX(Lotteries!D:D,MATCH(C391,Lotteries!A:A,0))*(INDEX(Lotteries!D:D,MATCH(C391,Lotteries!A:A,0))-D391)/INDEX(Lotteries!D:D,MATCH(C391,Lotteries!A:A,0))*(INDEX(Lotteries!D:D,MATCH(C391,Lotteries!A:A,0))-INDEX(Lotteries!F:F,MATCH(C391,Lotteries!A:A,0)))/(INDEX(Lotteries!D:D,MATCH(C391,Lotteries!A:A,0))-1)</f>
        <v>0.13271268658940844</v>
      </c>
      <c r="H391" s="7"/>
    </row>
    <row r="392" spans="1:8" x14ac:dyDescent="0.3">
      <c r="A392">
        <v>391</v>
      </c>
      <c r="B392">
        <v>54</v>
      </c>
      <c r="C392" s="11">
        <v>21</v>
      </c>
      <c r="D392">
        <v>5</v>
      </c>
      <c r="E392" s="7">
        <f>INDEX(Lotteries!C:C,MATCH(C392,Lotteries!A:A,0))*D392</f>
        <v>50</v>
      </c>
      <c r="F392" s="3">
        <f>D392*INDEX(Lotteries!G:G,MATCH(C392,Lotteries!A:A,0))</f>
        <v>0.13966480446927373</v>
      </c>
      <c r="G392" s="3">
        <f>INDEX(Lotteries!F:F,MATCH(C392,Lotteries!A:A,0))*D392/INDEX(Lotteries!D:D,MATCH(C392,Lotteries!A:A,0))*(INDEX(Lotteries!D:D,MATCH(C392,Lotteries!A:A,0))-D392)/INDEX(Lotteries!D:D,MATCH(C392,Lotteries!A:A,0))*(INDEX(Lotteries!D:D,MATCH(C392,Lotteries!A:A,0))-INDEX(Lotteries!F:F,MATCH(C392,Lotteries!A:A,0)))/(INDEX(Lotteries!D:D,MATCH(C392,Lotteries!A:A,0))-1)</f>
        <v>0.13271268658940844</v>
      </c>
      <c r="H392" s="7"/>
    </row>
    <row r="393" spans="1:8" x14ac:dyDescent="0.3">
      <c r="A393">
        <v>392</v>
      </c>
      <c r="B393">
        <v>20</v>
      </c>
      <c r="C393" s="11">
        <v>21</v>
      </c>
      <c r="D393">
        <v>5</v>
      </c>
      <c r="E393" s="7">
        <f>INDEX(Lotteries!C:C,MATCH(C393,Lotteries!A:A,0))*D393</f>
        <v>50</v>
      </c>
      <c r="F393" s="3">
        <f>D393*INDEX(Lotteries!G:G,MATCH(C393,Lotteries!A:A,0))</f>
        <v>0.13966480446927373</v>
      </c>
      <c r="G393" s="3">
        <f>INDEX(Lotteries!F:F,MATCH(C393,Lotteries!A:A,0))*D393/INDEX(Lotteries!D:D,MATCH(C393,Lotteries!A:A,0))*(INDEX(Lotteries!D:D,MATCH(C393,Lotteries!A:A,0))-D393)/INDEX(Lotteries!D:D,MATCH(C393,Lotteries!A:A,0))*(INDEX(Lotteries!D:D,MATCH(C393,Lotteries!A:A,0))-INDEX(Lotteries!F:F,MATCH(C393,Lotteries!A:A,0)))/(INDEX(Lotteries!D:D,MATCH(C393,Lotteries!A:A,0))-1)</f>
        <v>0.13271268658940844</v>
      </c>
      <c r="H393" s="7"/>
    </row>
    <row r="394" spans="1:8" x14ac:dyDescent="0.3">
      <c r="A394">
        <v>393</v>
      </c>
      <c r="B394">
        <v>37</v>
      </c>
      <c r="C394" s="11">
        <v>21</v>
      </c>
      <c r="D394">
        <v>10</v>
      </c>
      <c r="E394" s="7">
        <f>INDEX(Lotteries!C:C,MATCH(C394,Lotteries!A:A,0))*D394</f>
        <v>100</v>
      </c>
      <c r="F394" s="3">
        <f>D394*INDEX(Lotteries!G:G,MATCH(C394,Lotteries!A:A,0))</f>
        <v>0.27932960893854747</v>
      </c>
      <c r="G394" s="3">
        <f>INDEX(Lotteries!F:F,MATCH(C394,Lotteries!A:A,0))*D394/INDEX(Lotteries!D:D,MATCH(C394,Lotteries!A:A,0))*(INDEX(Lotteries!D:D,MATCH(C394,Lotteries!A:A,0))-D394)/INDEX(Lotteries!D:D,MATCH(C394,Lotteries!A:A,0))*(INDEX(Lotteries!D:D,MATCH(C394,Lotteries!A:A,0))-INDEX(Lotteries!F:F,MATCH(C394,Lotteries!A:A,0)))/(INDEX(Lotteries!D:D,MATCH(C394,Lotteries!A:A,0))-1)</f>
        <v>0.25779820728287384</v>
      </c>
      <c r="H394" s="7"/>
    </row>
    <row r="395" spans="1:8" x14ac:dyDescent="0.3">
      <c r="A395">
        <v>394</v>
      </c>
      <c r="B395">
        <v>10</v>
      </c>
      <c r="C395" s="11">
        <v>21</v>
      </c>
      <c r="D395">
        <v>10</v>
      </c>
      <c r="E395" s="7">
        <f>INDEX(Lotteries!C:C,MATCH(C395,Lotteries!A:A,0))*D395</f>
        <v>100</v>
      </c>
      <c r="F395" s="3">
        <f>D395*INDEX(Lotteries!G:G,MATCH(C395,Lotteries!A:A,0))</f>
        <v>0.27932960893854747</v>
      </c>
      <c r="G395" s="3">
        <f>INDEX(Lotteries!F:F,MATCH(C395,Lotteries!A:A,0))*D395/INDEX(Lotteries!D:D,MATCH(C395,Lotteries!A:A,0))*(INDEX(Lotteries!D:D,MATCH(C395,Lotteries!A:A,0))-D395)/INDEX(Lotteries!D:D,MATCH(C395,Lotteries!A:A,0))*(INDEX(Lotteries!D:D,MATCH(C395,Lotteries!A:A,0))-INDEX(Lotteries!F:F,MATCH(C395,Lotteries!A:A,0)))/(INDEX(Lotteries!D:D,MATCH(C395,Lotteries!A:A,0))-1)</f>
        <v>0.25779820728287384</v>
      </c>
      <c r="H395" s="7"/>
    </row>
    <row r="396" spans="1:8" x14ac:dyDescent="0.3">
      <c r="A396">
        <v>395</v>
      </c>
      <c r="B396">
        <v>36</v>
      </c>
      <c r="C396" s="11">
        <v>21</v>
      </c>
      <c r="D396">
        <v>5</v>
      </c>
      <c r="E396" s="7">
        <f>INDEX(Lotteries!C:C,MATCH(C396,Lotteries!A:A,0))*D396</f>
        <v>50</v>
      </c>
      <c r="F396" s="3">
        <f>D396*INDEX(Lotteries!G:G,MATCH(C396,Lotteries!A:A,0))</f>
        <v>0.13966480446927373</v>
      </c>
      <c r="G396" s="3">
        <f>INDEX(Lotteries!F:F,MATCH(C396,Lotteries!A:A,0))*D396/INDEX(Lotteries!D:D,MATCH(C396,Lotteries!A:A,0))*(INDEX(Lotteries!D:D,MATCH(C396,Lotteries!A:A,0))-D396)/INDEX(Lotteries!D:D,MATCH(C396,Lotteries!A:A,0))*(INDEX(Lotteries!D:D,MATCH(C396,Lotteries!A:A,0))-INDEX(Lotteries!F:F,MATCH(C396,Lotteries!A:A,0)))/(INDEX(Lotteries!D:D,MATCH(C396,Lotteries!A:A,0))-1)</f>
        <v>0.13271268658940844</v>
      </c>
      <c r="H396" s="7"/>
    </row>
    <row r="397" spans="1:8" x14ac:dyDescent="0.3">
      <c r="A397">
        <v>396</v>
      </c>
      <c r="B397">
        <v>51</v>
      </c>
      <c r="C397" s="11">
        <v>22</v>
      </c>
      <c r="D397">
        <v>5</v>
      </c>
      <c r="E397" s="7">
        <f>INDEX(Lotteries!C:C,MATCH(C397,Lotteries!A:A,0))*D397</f>
        <v>50</v>
      </c>
      <c r="F397" s="3">
        <f>D397*INDEX(Lotteries!G:G,MATCH(C397,Lotteries!A:A,0))</f>
        <v>0.25</v>
      </c>
      <c r="G397" s="3">
        <f>INDEX(Lotteries!F:F,MATCH(C397,Lotteries!A:A,0))*D397/INDEX(Lotteries!D:D,MATCH(C397,Lotteries!A:A,0))*(INDEX(Lotteries!D:D,MATCH(C397,Lotteries!A:A,0))-D397)/INDEX(Lotteries!D:D,MATCH(C397,Lotteries!A:A,0))*(INDEX(Lotteries!D:D,MATCH(C397,Lotteries!A:A,0))-INDEX(Lotteries!F:F,MATCH(C397,Lotteries!A:A,0)))/(INDEX(Lotteries!D:D,MATCH(C397,Lotteries!A:A,0))-1)</f>
        <v>0.22951680672268907</v>
      </c>
      <c r="H397" s="7"/>
    </row>
    <row r="398" spans="1:8" x14ac:dyDescent="0.3">
      <c r="A398">
        <v>397</v>
      </c>
      <c r="B398">
        <v>33</v>
      </c>
      <c r="C398" s="11">
        <v>22</v>
      </c>
      <c r="D398">
        <v>10</v>
      </c>
      <c r="E398" s="7">
        <f>INDEX(Lotteries!C:C,MATCH(C398,Lotteries!A:A,0))*D398</f>
        <v>100</v>
      </c>
      <c r="F398" s="3">
        <f>D398*INDEX(Lotteries!G:G,MATCH(C398,Lotteries!A:A,0))</f>
        <v>0.5</v>
      </c>
      <c r="G398" s="3">
        <f>INDEX(Lotteries!F:F,MATCH(C398,Lotteries!A:A,0))*D398/INDEX(Lotteries!D:D,MATCH(C398,Lotteries!A:A,0))*(INDEX(Lotteries!D:D,MATCH(C398,Lotteries!A:A,0))-D398)/INDEX(Lotteries!D:D,MATCH(C398,Lotteries!A:A,0))*(INDEX(Lotteries!D:D,MATCH(C398,Lotteries!A:A,0))-INDEX(Lotteries!F:F,MATCH(C398,Lotteries!A:A,0)))/(INDEX(Lotteries!D:D,MATCH(C398,Lotteries!A:A,0))-1)</f>
        <v>0.43907563025210083</v>
      </c>
      <c r="H398" s="7"/>
    </row>
    <row r="399" spans="1:8" x14ac:dyDescent="0.3">
      <c r="A399">
        <v>398</v>
      </c>
      <c r="B399">
        <v>53</v>
      </c>
      <c r="C399" s="11">
        <v>22</v>
      </c>
      <c r="D399">
        <v>10</v>
      </c>
      <c r="E399" s="7">
        <f>INDEX(Lotteries!C:C,MATCH(C399,Lotteries!A:A,0))*D399</f>
        <v>100</v>
      </c>
      <c r="F399" s="3">
        <f>D399*INDEX(Lotteries!G:G,MATCH(C399,Lotteries!A:A,0))</f>
        <v>0.5</v>
      </c>
      <c r="G399" s="3">
        <f>INDEX(Lotteries!F:F,MATCH(C399,Lotteries!A:A,0))*D399/INDEX(Lotteries!D:D,MATCH(C399,Lotteries!A:A,0))*(INDEX(Lotteries!D:D,MATCH(C399,Lotteries!A:A,0))-D399)/INDEX(Lotteries!D:D,MATCH(C399,Lotteries!A:A,0))*(INDEX(Lotteries!D:D,MATCH(C399,Lotteries!A:A,0))-INDEX(Lotteries!F:F,MATCH(C399,Lotteries!A:A,0)))/(INDEX(Lotteries!D:D,MATCH(C399,Lotteries!A:A,0))-1)</f>
        <v>0.43907563025210083</v>
      </c>
      <c r="H399" s="7"/>
    </row>
    <row r="400" spans="1:8" x14ac:dyDescent="0.3">
      <c r="A400">
        <v>399</v>
      </c>
      <c r="B400">
        <v>46</v>
      </c>
      <c r="C400" s="11">
        <v>22</v>
      </c>
      <c r="D400">
        <v>5</v>
      </c>
      <c r="E400" s="7">
        <f>INDEX(Lotteries!C:C,MATCH(C400,Lotteries!A:A,0))*D400</f>
        <v>50</v>
      </c>
      <c r="F400" s="3">
        <f>D400*INDEX(Lotteries!G:G,MATCH(C400,Lotteries!A:A,0))</f>
        <v>0.25</v>
      </c>
      <c r="G400" s="3">
        <f>INDEX(Lotteries!F:F,MATCH(C400,Lotteries!A:A,0))*D400/INDEX(Lotteries!D:D,MATCH(C400,Lotteries!A:A,0))*(INDEX(Lotteries!D:D,MATCH(C400,Lotteries!A:A,0))-D400)/INDEX(Lotteries!D:D,MATCH(C400,Lotteries!A:A,0))*(INDEX(Lotteries!D:D,MATCH(C400,Lotteries!A:A,0))-INDEX(Lotteries!F:F,MATCH(C400,Lotteries!A:A,0)))/(INDEX(Lotteries!D:D,MATCH(C400,Lotteries!A:A,0))-1)</f>
        <v>0.22951680672268907</v>
      </c>
      <c r="H400" s="7"/>
    </row>
    <row r="401" spans="1:8" x14ac:dyDescent="0.3">
      <c r="A401">
        <v>400</v>
      </c>
      <c r="B401">
        <v>37</v>
      </c>
      <c r="C401" s="11">
        <v>22</v>
      </c>
      <c r="D401">
        <v>10</v>
      </c>
      <c r="E401" s="7">
        <f>INDEX(Lotteries!C:C,MATCH(C401,Lotteries!A:A,0))*D401</f>
        <v>100</v>
      </c>
      <c r="F401" s="3">
        <f>D401*INDEX(Lotteries!G:G,MATCH(C401,Lotteries!A:A,0))</f>
        <v>0.5</v>
      </c>
      <c r="G401" s="3">
        <f>INDEX(Lotteries!F:F,MATCH(C401,Lotteries!A:A,0))*D401/INDEX(Lotteries!D:D,MATCH(C401,Lotteries!A:A,0))*(INDEX(Lotteries!D:D,MATCH(C401,Lotteries!A:A,0))-D401)/INDEX(Lotteries!D:D,MATCH(C401,Lotteries!A:A,0))*(INDEX(Lotteries!D:D,MATCH(C401,Lotteries!A:A,0))-INDEX(Lotteries!F:F,MATCH(C401,Lotteries!A:A,0)))/(INDEX(Lotteries!D:D,MATCH(C401,Lotteries!A:A,0))-1)</f>
        <v>0.43907563025210083</v>
      </c>
      <c r="H401" s="7"/>
    </row>
    <row r="402" spans="1:8" x14ac:dyDescent="0.3">
      <c r="A402">
        <v>401</v>
      </c>
      <c r="B402">
        <v>35</v>
      </c>
      <c r="C402" s="11">
        <v>22</v>
      </c>
      <c r="D402">
        <v>5</v>
      </c>
      <c r="E402" s="7">
        <f>INDEX(Lotteries!C:C,MATCH(C402,Lotteries!A:A,0))*D402</f>
        <v>50</v>
      </c>
      <c r="F402" s="3">
        <f>D402*INDEX(Lotteries!G:G,MATCH(C402,Lotteries!A:A,0))</f>
        <v>0.25</v>
      </c>
      <c r="G402" s="3">
        <f>INDEX(Lotteries!F:F,MATCH(C402,Lotteries!A:A,0))*D402/INDEX(Lotteries!D:D,MATCH(C402,Lotteries!A:A,0))*(INDEX(Lotteries!D:D,MATCH(C402,Lotteries!A:A,0))-D402)/INDEX(Lotteries!D:D,MATCH(C402,Lotteries!A:A,0))*(INDEX(Lotteries!D:D,MATCH(C402,Lotteries!A:A,0))-INDEX(Lotteries!F:F,MATCH(C402,Lotteries!A:A,0)))/(INDEX(Lotteries!D:D,MATCH(C402,Lotteries!A:A,0))-1)</f>
        <v>0.22951680672268907</v>
      </c>
      <c r="H402" s="7"/>
    </row>
    <row r="403" spans="1:8" x14ac:dyDescent="0.3">
      <c r="A403">
        <v>402</v>
      </c>
      <c r="B403">
        <v>13</v>
      </c>
      <c r="C403" s="11">
        <v>22</v>
      </c>
      <c r="D403">
        <v>10</v>
      </c>
      <c r="E403" s="7">
        <f>INDEX(Lotteries!C:C,MATCH(C403,Lotteries!A:A,0))*D403</f>
        <v>100</v>
      </c>
      <c r="F403" s="3">
        <f>D403*INDEX(Lotteries!G:G,MATCH(C403,Lotteries!A:A,0))</f>
        <v>0.5</v>
      </c>
      <c r="G403" s="3">
        <f>INDEX(Lotteries!F:F,MATCH(C403,Lotteries!A:A,0))*D403/INDEX(Lotteries!D:D,MATCH(C403,Lotteries!A:A,0))*(INDEX(Lotteries!D:D,MATCH(C403,Lotteries!A:A,0))-D403)/INDEX(Lotteries!D:D,MATCH(C403,Lotteries!A:A,0))*(INDEX(Lotteries!D:D,MATCH(C403,Lotteries!A:A,0))-INDEX(Lotteries!F:F,MATCH(C403,Lotteries!A:A,0)))/(INDEX(Lotteries!D:D,MATCH(C403,Lotteries!A:A,0))-1)</f>
        <v>0.43907563025210083</v>
      </c>
      <c r="H403" s="7"/>
    </row>
    <row r="404" spans="1:8" x14ac:dyDescent="0.3">
      <c r="A404">
        <v>403</v>
      </c>
      <c r="B404">
        <v>50</v>
      </c>
      <c r="C404" s="11">
        <v>22</v>
      </c>
      <c r="D404">
        <v>3</v>
      </c>
      <c r="E404" s="7">
        <f>INDEX(Lotteries!C:C,MATCH(C404,Lotteries!A:A,0))*D404</f>
        <v>30</v>
      </c>
      <c r="F404" s="3">
        <f>D404*INDEX(Lotteries!G:G,MATCH(C404,Lotteries!A:A,0))</f>
        <v>0.15000000000000002</v>
      </c>
      <c r="G404" s="3">
        <f>INDEX(Lotteries!F:F,MATCH(C404,Lotteries!A:A,0))*D404/INDEX(Lotteries!D:D,MATCH(C404,Lotteries!A:A,0))*(INDEX(Lotteries!D:D,MATCH(C404,Lotteries!A:A,0))-D404)/INDEX(Lotteries!D:D,MATCH(C404,Lotteries!A:A,0))*(INDEX(Lotteries!D:D,MATCH(C404,Lotteries!A:A,0))-INDEX(Lotteries!F:F,MATCH(C404,Lotteries!A:A,0)))/(INDEX(Lotteries!D:D,MATCH(C404,Lotteries!A:A,0))-1)</f>
        <v>0.14010504201680674</v>
      </c>
      <c r="H404" s="7"/>
    </row>
    <row r="405" spans="1:8" x14ac:dyDescent="0.3">
      <c r="A405">
        <v>404</v>
      </c>
      <c r="B405">
        <v>34</v>
      </c>
      <c r="C405" s="11">
        <v>22</v>
      </c>
      <c r="D405">
        <v>5</v>
      </c>
      <c r="E405" s="7">
        <f>INDEX(Lotteries!C:C,MATCH(C405,Lotteries!A:A,0))*D405</f>
        <v>50</v>
      </c>
      <c r="F405" s="3">
        <f>D405*INDEX(Lotteries!G:G,MATCH(C405,Lotteries!A:A,0))</f>
        <v>0.25</v>
      </c>
      <c r="G405" s="3">
        <f>INDEX(Lotteries!F:F,MATCH(C405,Lotteries!A:A,0))*D405/INDEX(Lotteries!D:D,MATCH(C405,Lotteries!A:A,0))*(INDEX(Lotteries!D:D,MATCH(C405,Lotteries!A:A,0))-D405)/INDEX(Lotteries!D:D,MATCH(C405,Lotteries!A:A,0))*(INDEX(Lotteries!D:D,MATCH(C405,Lotteries!A:A,0))-INDEX(Lotteries!F:F,MATCH(C405,Lotteries!A:A,0)))/(INDEX(Lotteries!D:D,MATCH(C405,Lotteries!A:A,0))-1)</f>
        <v>0.22951680672268907</v>
      </c>
      <c r="H405" s="7"/>
    </row>
    <row r="406" spans="1:8" x14ac:dyDescent="0.3">
      <c r="A406">
        <v>405</v>
      </c>
      <c r="B406">
        <v>56</v>
      </c>
      <c r="C406" s="11">
        <v>22</v>
      </c>
      <c r="D406">
        <v>3</v>
      </c>
      <c r="E406" s="7">
        <f>INDEX(Lotteries!C:C,MATCH(C406,Lotteries!A:A,0))*D406</f>
        <v>30</v>
      </c>
      <c r="F406" s="3">
        <f>D406*INDEX(Lotteries!G:G,MATCH(C406,Lotteries!A:A,0))</f>
        <v>0.15000000000000002</v>
      </c>
      <c r="G406" s="3">
        <f>INDEX(Lotteries!F:F,MATCH(C406,Lotteries!A:A,0))*D406/INDEX(Lotteries!D:D,MATCH(C406,Lotteries!A:A,0))*(INDEX(Lotteries!D:D,MATCH(C406,Lotteries!A:A,0))-D406)/INDEX(Lotteries!D:D,MATCH(C406,Lotteries!A:A,0))*(INDEX(Lotteries!D:D,MATCH(C406,Lotteries!A:A,0))-INDEX(Lotteries!F:F,MATCH(C406,Lotteries!A:A,0)))/(INDEX(Lotteries!D:D,MATCH(C406,Lotteries!A:A,0))-1)</f>
        <v>0.14010504201680674</v>
      </c>
      <c r="H406" s="7"/>
    </row>
    <row r="407" spans="1:8" x14ac:dyDescent="0.3">
      <c r="A407">
        <v>406</v>
      </c>
      <c r="B407">
        <v>57</v>
      </c>
      <c r="C407" s="11">
        <v>22</v>
      </c>
      <c r="D407">
        <v>2</v>
      </c>
      <c r="E407" s="7">
        <f>INDEX(Lotteries!C:C,MATCH(C407,Lotteries!A:A,0))*D407</f>
        <v>20</v>
      </c>
      <c r="F407" s="3">
        <f>D407*INDEX(Lotteries!G:G,MATCH(C407,Lotteries!A:A,0))</f>
        <v>0.1</v>
      </c>
      <c r="G407" s="3">
        <f>INDEX(Lotteries!F:F,MATCH(C407,Lotteries!A:A,0))*D407/INDEX(Lotteries!D:D,MATCH(C407,Lotteries!A:A,0))*(INDEX(Lotteries!D:D,MATCH(C407,Lotteries!A:A,0))-D407)/INDEX(Lotteries!D:D,MATCH(C407,Lotteries!A:A,0))*(INDEX(Lotteries!D:D,MATCH(C407,Lotteries!A:A,0))-INDEX(Lotteries!F:F,MATCH(C407,Lotteries!A:A,0)))/(INDEX(Lotteries!D:D,MATCH(C407,Lotteries!A:A,0))-1)</f>
        <v>9.4201680672268917E-2</v>
      </c>
      <c r="H407" s="7"/>
    </row>
    <row r="408" spans="1:8" x14ac:dyDescent="0.3">
      <c r="A408">
        <v>407</v>
      </c>
      <c r="B408">
        <v>44</v>
      </c>
      <c r="C408" s="11">
        <v>22</v>
      </c>
      <c r="D408">
        <v>5</v>
      </c>
      <c r="E408" s="7">
        <f>INDEX(Lotteries!C:C,MATCH(C408,Lotteries!A:A,0))*D408</f>
        <v>50</v>
      </c>
      <c r="F408" s="3">
        <f>D408*INDEX(Lotteries!G:G,MATCH(C408,Lotteries!A:A,0))</f>
        <v>0.25</v>
      </c>
      <c r="G408" s="3">
        <f>INDEX(Lotteries!F:F,MATCH(C408,Lotteries!A:A,0))*D408/INDEX(Lotteries!D:D,MATCH(C408,Lotteries!A:A,0))*(INDEX(Lotteries!D:D,MATCH(C408,Lotteries!A:A,0))-D408)/INDEX(Lotteries!D:D,MATCH(C408,Lotteries!A:A,0))*(INDEX(Lotteries!D:D,MATCH(C408,Lotteries!A:A,0))-INDEX(Lotteries!F:F,MATCH(C408,Lotteries!A:A,0)))/(INDEX(Lotteries!D:D,MATCH(C408,Lotteries!A:A,0))-1)</f>
        <v>0.22951680672268907</v>
      </c>
      <c r="H408" s="7"/>
    </row>
    <row r="409" spans="1:8" x14ac:dyDescent="0.3">
      <c r="A409">
        <v>408</v>
      </c>
      <c r="B409">
        <v>54</v>
      </c>
      <c r="C409" s="11">
        <v>22</v>
      </c>
      <c r="D409">
        <v>5</v>
      </c>
      <c r="E409" s="7">
        <f>INDEX(Lotteries!C:C,MATCH(C409,Lotteries!A:A,0))*D409</f>
        <v>50</v>
      </c>
      <c r="F409" s="3">
        <f>D409*INDEX(Lotteries!G:G,MATCH(C409,Lotteries!A:A,0))</f>
        <v>0.25</v>
      </c>
      <c r="G409" s="3">
        <f>INDEX(Lotteries!F:F,MATCH(C409,Lotteries!A:A,0))*D409/INDEX(Lotteries!D:D,MATCH(C409,Lotteries!A:A,0))*(INDEX(Lotteries!D:D,MATCH(C409,Lotteries!A:A,0))-D409)/INDEX(Lotteries!D:D,MATCH(C409,Lotteries!A:A,0))*(INDEX(Lotteries!D:D,MATCH(C409,Lotteries!A:A,0))-INDEX(Lotteries!F:F,MATCH(C409,Lotteries!A:A,0)))/(INDEX(Lotteries!D:D,MATCH(C409,Lotteries!A:A,0))-1)</f>
        <v>0.22951680672268907</v>
      </c>
      <c r="H409" s="7"/>
    </row>
    <row r="410" spans="1:8" x14ac:dyDescent="0.3">
      <c r="A410">
        <v>409</v>
      </c>
      <c r="B410">
        <v>14</v>
      </c>
      <c r="C410" s="11">
        <v>22</v>
      </c>
      <c r="D410">
        <v>5</v>
      </c>
      <c r="E410" s="7">
        <f>INDEX(Lotteries!C:C,MATCH(C410,Lotteries!A:A,0))*D410</f>
        <v>50</v>
      </c>
      <c r="F410" s="3">
        <f>D410*INDEX(Lotteries!G:G,MATCH(C410,Lotteries!A:A,0))</f>
        <v>0.25</v>
      </c>
      <c r="G410" s="3">
        <f>INDEX(Lotteries!F:F,MATCH(C410,Lotteries!A:A,0))*D410/INDEX(Lotteries!D:D,MATCH(C410,Lotteries!A:A,0))*(INDEX(Lotteries!D:D,MATCH(C410,Lotteries!A:A,0))-D410)/INDEX(Lotteries!D:D,MATCH(C410,Lotteries!A:A,0))*(INDEX(Lotteries!D:D,MATCH(C410,Lotteries!A:A,0))-INDEX(Lotteries!F:F,MATCH(C410,Lotteries!A:A,0)))/(INDEX(Lotteries!D:D,MATCH(C410,Lotteries!A:A,0))-1)</f>
        <v>0.22951680672268907</v>
      </c>
      <c r="H410" s="7"/>
    </row>
    <row r="411" spans="1:8" x14ac:dyDescent="0.3">
      <c r="A411">
        <v>410</v>
      </c>
      <c r="B411">
        <v>41</v>
      </c>
      <c r="C411" s="11">
        <v>22</v>
      </c>
      <c r="D411">
        <v>7</v>
      </c>
      <c r="E411" s="7">
        <f>INDEX(Lotteries!C:C,MATCH(C411,Lotteries!A:A,0))*D411</f>
        <v>70</v>
      </c>
      <c r="F411" s="3">
        <f>D411*INDEX(Lotteries!G:G,MATCH(C411,Lotteries!A:A,0))</f>
        <v>0.35000000000000003</v>
      </c>
      <c r="G411" s="3">
        <f>INDEX(Lotteries!F:F,MATCH(C411,Lotteries!A:A,0))*D411/INDEX(Lotteries!D:D,MATCH(C411,Lotteries!A:A,0))*(INDEX(Lotteries!D:D,MATCH(C411,Lotteries!A:A,0))-D411)/INDEX(Lotteries!D:D,MATCH(C411,Lotteries!A:A,0))*(INDEX(Lotteries!D:D,MATCH(C411,Lotteries!A:A,0))-INDEX(Lotteries!F:F,MATCH(C411,Lotteries!A:A,0)))/(INDEX(Lotteries!D:D,MATCH(C411,Lotteries!A:A,0))-1)</f>
        <v>0.315735294117647</v>
      </c>
      <c r="H411" s="7"/>
    </row>
    <row r="412" spans="1:8" x14ac:dyDescent="0.3">
      <c r="A412">
        <v>411</v>
      </c>
      <c r="B412">
        <v>14</v>
      </c>
      <c r="C412" s="11">
        <v>22</v>
      </c>
      <c r="D412">
        <v>5</v>
      </c>
      <c r="E412" s="7">
        <f>INDEX(Lotteries!C:C,MATCH(C412,Lotteries!A:A,0))*D412</f>
        <v>50</v>
      </c>
      <c r="F412" s="3">
        <f>D412*INDEX(Lotteries!G:G,MATCH(C412,Lotteries!A:A,0))</f>
        <v>0.25</v>
      </c>
      <c r="G412" s="3">
        <f>INDEX(Lotteries!F:F,MATCH(C412,Lotteries!A:A,0))*D412/INDEX(Lotteries!D:D,MATCH(C412,Lotteries!A:A,0))*(INDEX(Lotteries!D:D,MATCH(C412,Lotteries!A:A,0))-D412)/INDEX(Lotteries!D:D,MATCH(C412,Lotteries!A:A,0))*(INDEX(Lotteries!D:D,MATCH(C412,Lotteries!A:A,0))-INDEX(Lotteries!F:F,MATCH(C412,Lotteries!A:A,0)))/(INDEX(Lotteries!D:D,MATCH(C412,Lotteries!A:A,0))-1)</f>
        <v>0.22951680672268907</v>
      </c>
      <c r="H412" s="7"/>
    </row>
    <row r="413" spans="1:8" x14ac:dyDescent="0.3">
      <c r="A413">
        <v>412</v>
      </c>
      <c r="B413">
        <v>10</v>
      </c>
      <c r="C413" s="11">
        <v>22</v>
      </c>
      <c r="D413">
        <v>10</v>
      </c>
      <c r="E413" s="7">
        <f>INDEX(Lotteries!C:C,MATCH(C413,Lotteries!A:A,0))*D413</f>
        <v>100</v>
      </c>
      <c r="F413" s="3">
        <f>D413*INDEX(Lotteries!G:G,MATCH(C413,Lotteries!A:A,0))</f>
        <v>0.5</v>
      </c>
      <c r="G413" s="3">
        <f>INDEX(Lotteries!F:F,MATCH(C413,Lotteries!A:A,0))*D413/INDEX(Lotteries!D:D,MATCH(C413,Lotteries!A:A,0))*(INDEX(Lotteries!D:D,MATCH(C413,Lotteries!A:A,0))-D413)/INDEX(Lotteries!D:D,MATCH(C413,Lotteries!A:A,0))*(INDEX(Lotteries!D:D,MATCH(C413,Lotteries!A:A,0))-INDEX(Lotteries!F:F,MATCH(C413,Lotteries!A:A,0)))/(INDEX(Lotteries!D:D,MATCH(C413,Lotteries!A:A,0))-1)</f>
        <v>0.43907563025210083</v>
      </c>
      <c r="H413" s="7"/>
    </row>
    <row r="414" spans="1:8" x14ac:dyDescent="0.3">
      <c r="A414">
        <v>413</v>
      </c>
      <c r="B414">
        <v>29</v>
      </c>
      <c r="C414" s="11">
        <v>22</v>
      </c>
      <c r="D414">
        <v>10</v>
      </c>
      <c r="E414" s="7">
        <f>INDEX(Lotteries!C:C,MATCH(C414,Lotteries!A:A,0))*D414</f>
        <v>100</v>
      </c>
      <c r="F414" s="3">
        <f>D414*INDEX(Lotteries!G:G,MATCH(C414,Lotteries!A:A,0))</f>
        <v>0.5</v>
      </c>
      <c r="G414" s="3">
        <f>INDEX(Lotteries!F:F,MATCH(C414,Lotteries!A:A,0))*D414/INDEX(Lotteries!D:D,MATCH(C414,Lotteries!A:A,0))*(INDEX(Lotteries!D:D,MATCH(C414,Lotteries!A:A,0))-D414)/INDEX(Lotteries!D:D,MATCH(C414,Lotteries!A:A,0))*(INDEX(Lotteries!D:D,MATCH(C414,Lotteries!A:A,0))-INDEX(Lotteries!F:F,MATCH(C414,Lotteries!A:A,0)))/(INDEX(Lotteries!D:D,MATCH(C414,Lotteries!A:A,0))-1)</f>
        <v>0.43907563025210083</v>
      </c>
      <c r="H414" s="7"/>
    </row>
    <row r="415" spans="1:8" x14ac:dyDescent="0.3">
      <c r="A415">
        <v>414</v>
      </c>
      <c r="B415">
        <v>48</v>
      </c>
      <c r="C415" s="11">
        <v>22</v>
      </c>
      <c r="D415">
        <v>5</v>
      </c>
      <c r="E415" s="7">
        <f>INDEX(Lotteries!C:C,MATCH(C415,Lotteries!A:A,0))*D415</f>
        <v>50</v>
      </c>
      <c r="F415" s="3">
        <f>D415*INDEX(Lotteries!G:G,MATCH(C415,Lotteries!A:A,0))</f>
        <v>0.25</v>
      </c>
      <c r="G415" s="3">
        <f>INDEX(Lotteries!F:F,MATCH(C415,Lotteries!A:A,0))*D415/INDEX(Lotteries!D:D,MATCH(C415,Lotteries!A:A,0))*(INDEX(Lotteries!D:D,MATCH(C415,Lotteries!A:A,0))-D415)/INDEX(Lotteries!D:D,MATCH(C415,Lotteries!A:A,0))*(INDEX(Lotteries!D:D,MATCH(C415,Lotteries!A:A,0))-INDEX(Lotteries!F:F,MATCH(C415,Lotteries!A:A,0)))/(INDEX(Lotteries!D:D,MATCH(C415,Lotteries!A:A,0))-1)</f>
        <v>0.22951680672268907</v>
      </c>
      <c r="H415" s="7"/>
    </row>
    <row r="416" spans="1:8" x14ac:dyDescent="0.3">
      <c r="A416">
        <v>415</v>
      </c>
      <c r="B416">
        <v>33</v>
      </c>
      <c r="C416" s="11">
        <v>23</v>
      </c>
      <c r="D416">
        <v>10</v>
      </c>
      <c r="E416" s="7">
        <f>INDEX(Lotteries!C:C,MATCH(C416,Lotteries!A:A,0))*D416</f>
        <v>100</v>
      </c>
      <c r="F416" s="3">
        <f>D416*INDEX(Lotteries!G:G,MATCH(C416,Lotteries!A:A,0))</f>
        <v>0.41666666666666663</v>
      </c>
      <c r="G416" s="3">
        <f>INDEX(Lotteries!F:F,MATCH(C416,Lotteries!A:A,0))*D416/INDEX(Lotteries!D:D,MATCH(C416,Lotteries!A:A,0))*(INDEX(Lotteries!D:D,MATCH(C416,Lotteries!A:A,0))-D416)/INDEX(Lotteries!D:D,MATCH(C416,Lotteries!A:A,0))*(INDEX(Lotteries!D:D,MATCH(C416,Lotteries!A:A,0))-INDEX(Lotteries!F:F,MATCH(C416,Lotteries!A:A,0)))/(INDEX(Lotteries!D:D,MATCH(C416,Lotteries!A:A,0))-1)</f>
        <v>0.38049011052937765</v>
      </c>
      <c r="H416" s="7"/>
    </row>
    <row r="417" spans="1:8" x14ac:dyDescent="0.3">
      <c r="A417">
        <v>416</v>
      </c>
      <c r="B417">
        <v>35</v>
      </c>
      <c r="C417" s="11">
        <v>23</v>
      </c>
      <c r="D417">
        <v>5</v>
      </c>
      <c r="E417" s="7">
        <f>INDEX(Lotteries!C:C,MATCH(C417,Lotteries!A:A,0))*D417</f>
        <v>50</v>
      </c>
      <c r="F417" s="3">
        <f>D417*INDEX(Lotteries!G:G,MATCH(C417,Lotteries!A:A,0))</f>
        <v>0.20833333333333331</v>
      </c>
      <c r="G417" s="3">
        <f>INDEX(Lotteries!F:F,MATCH(C417,Lotteries!A:A,0))*D417/INDEX(Lotteries!D:D,MATCH(C417,Lotteries!A:A,0))*(INDEX(Lotteries!D:D,MATCH(C417,Lotteries!A:A,0))-D417)/INDEX(Lotteries!D:D,MATCH(C417,Lotteries!A:A,0))*(INDEX(Lotteries!D:D,MATCH(C417,Lotteries!A:A,0))-INDEX(Lotteries!F:F,MATCH(C417,Lotteries!A:A,0)))/(INDEX(Lotteries!D:D,MATCH(C417,Lotteries!A:A,0))-1)</f>
        <v>0.19547156777196048</v>
      </c>
      <c r="H417" s="7"/>
    </row>
    <row r="418" spans="1:8" x14ac:dyDescent="0.3">
      <c r="A418">
        <v>417</v>
      </c>
      <c r="B418">
        <v>16</v>
      </c>
      <c r="C418" s="11">
        <v>23</v>
      </c>
      <c r="D418">
        <v>5</v>
      </c>
      <c r="E418" s="7">
        <f>INDEX(Lotteries!C:C,MATCH(C418,Lotteries!A:A,0))*D418</f>
        <v>50</v>
      </c>
      <c r="F418" s="3">
        <f>D418*INDEX(Lotteries!G:G,MATCH(C418,Lotteries!A:A,0))</f>
        <v>0.20833333333333331</v>
      </c>
      <c r="G418" s="3">
        <f>INDEX(Lotteries!F:F,MATCH(C418,Lotteries!A:A,0))*D418/INDEX(Lotteries!D:D,MATCH(C418,Lotteries!A:A,0))*(INDEX(Lotteries!D:D,MATCH(C418,Lotteries!A:A,0))-D418)/INDEX(Lotteries!D:D,MATCH(C418,Lotteries!A:A,0))*(INDEX(Lotteries!D:D,MATCH(C418,Lotteries!A:A,0))-INDEX(Lotteries!F:F,MATCH(C418,Lotteries!A:A,0)))/(INDEX(Lotteries!D:D,MATCH(C418,Lotteries!A:A,0))-1)</f>
        <v>0.19547156777196048</v>
      </c>
      <c r="H418" s="7"/>
    </row>
    <row r="419" spans="1:8" x14ac:dyDescent="0.3">
      <c r="A419">
        <v>418</v>
      </c>
      <c r="B419">
        <v>17</v>
      </c>
      <c r="C419" s="11">
        <v>23</v>
      </c>
      <c r="D419">
        <v>7</v>
      </c>
      <c r="E419" s="7">
        <f>INDEX(Lotteries!C:C,MATCH(C419,Lotteries!A:A,0))*D419</f>
        <v>70</v>
      </c>
      <c r="F419" s="3">
        <f>D419*INDEX(Lotteries!G:G,MATCH(C419,Lotteries!A:A,0))</f>
        <v>0.29166666666666663</v>
      </c>
      <c r="G419" s="3">
        <f>INDEX(Lotteries!F:F,MATCH(C419,Lotteries!A:A,0))*D419/INDEX(Lotteries!D:D,MATCH(C419,Lotteries!A:A,0))*(INDEX(Lotteries!D:D,MATCH(C419,Lotteries!A:A,0))-D419)/INDEX(Lotteries!D:D,MATCH(C419,Lotteries!A:A,0))*(INDEX(Lotteries!D:D,MATCH(C419,Lotteries!A:A,0))-INDEX(Lotteries!F:F,MATCH(C419,Lotteries!A:A,0)))/(INDEX(Lotteries!D:D,MATCH(C419,Lotteries!A:A,0))-1)</f>
        <v>0.27073334787667247</v>
      </c>
      <c r="H419" s="7"/>
    </row>
    <row r="420" spans="1:8" x14ac:dyDescent="0.3">
      <c r="A420">
        <v>419</v>
      </c>
      <c r="B420">
        <v>41</v>
      </c>
      <c r="C420" s="11">
        <v>23</v>
      </c>
      <c r="D420">
        <v>5</v>
      </c>
      <c r="E420" s="7">
        <f>INDEX(Lotteries!C:C,MATCH(C420,Lotteries!A:A,0))*D420</f>
        <v>50</v>
      </c>
      <c r="F420" s="3">
        <f>D420*INDEX(Lotteries!G:G,MATCH(C420,Lotteries!A:A,0))</f>
        <v>0.20833333333333331</v>
      </c>
      <c r="G420" s="3">
        <f>INDEX(Lotteries!F:F,MATCH(C420,Lotteries!A:A,0))*D420/INDEX(Lotteries!D:D,MATCH(C420,Lotteries!A:A,0))*(INDEX(Lotteries!D:D,MATCH(C420,Lotteries!A:A,0))-D420)/INDEX(Lotteries!D:D,MATCH(C420,Lotteries!A:A,0))*(INDEX(Lotteries!D:D,MATCH(C420,Lotteries!A:A,0))-INDEX(Lotteries!F:F,MATCH(C420,Lotteries!A:A,0)))/(INDEX(Lotteries!D:D,MATCH(C420,Lotteries!A:A,0))-1)</f>
        <v>0.19547156777196048</v>
      </c>
      <c r="H420" s="7"/>
    </row>
    <row r="421" spans="1:8" x14ac:dyDescent="0.3">
      <c r="A421">
        <v>420</v>
      </c>
      <c r="B421">
        <v>43</v>
      </c>
      <c r="C421" s="11">
        <v>23</v>
      </c>
      <c r="D421">
        <v>5</v>
      </c>
      <c r="E421" s="7">
        <f>INDEX(Lotteries!C:C,MATCH(C421,Lotteries!A:A,0))*D421</f>
        <v>50</v>
      </c>
      <c r="F421" s="3">
        <f>D421*INDEX(Lotteries!G:G,MATCH(C421,Lotteries!A:A,0))</f>
        <v>0.20833333333333331</v>
      </c>
      <c r="G421" s="3">
        <f>INDEX(Lotteries!F:F,MATCH(C421,Lotteries!A:A,0))*D421/INDEX(Lotteries!D:D,MATCH(C421,Lotteries!A:A,0))*(INDEX(Lotteries!D:D,MATCH(C421,Lotteries!A:A,0))-D421)/INDEX(Lotteries!D:D,MATCH(C421,Lotteries!A:A,0))*(INDEX(Lotteries!D:D,MATCH(C421,Lotteries!A:A,0))-INDEX(Lotteries!F:F,MATCH(C421,Lotteries!A:A,0)))/(INDEX(Lotteries!D:D,MATCH(C421,Lotteries!A:A,0))-1)</f>
        <v>0.19547156777196048</v>
      </c>
      <c r="H421" s="7"/>
    </row>
    <row r="422" spans="1:8" x14ac:dyDescent="0.3">
      <c r="A422">
        <v>421</v>
      </c>
      <c r="B422">
        <v>14</v>
      </c>
      <c r="C422" s="11">
        <v>23</v>
      </c>
      <c r="D422">
        <v>5</v>
      </c>
      <c r="E422" s="7">
        <f>INDEX(Lotteries!C:C,MATCH(C422,Lotteries!A:A,0))*D422</f>
        <v>50</v>
      </c>
      <c r="F422" s="3">
        <f>D422*INDEX(Lotteries!G:G,MATCH(C422,Lotteries!A:A,0))</f>
        <v>0.20833333333333331</v>
      </c>
      <c r="G422" s="3">
        <f>INDEX(Lotteries!F:F,MATCH(C422,Lotteries!A:A,0))*D422/INDEX(Lotteries!D:D,MATCH(C422,Lotteries!A:A,0))*(INDEX(Lotteries!D:D,MATCH(C422,Lotteries!A:A,0))-D422)/INDEX(Lotteries!D:D,MATCH(C422,Lotteries!A:A,0))*(INDEX(Lotteries!D:D,MATCH(C422,Lotteries!A:A,0))-INDEX(Lotteries!F:F,MATCH(C422,Lotteries!A:A,0)))/(INDEX(Lotteries!D:D,MATCH(C422,Lotteries!A:A,0))-1)</f>
        <v>0.19547156777196048</v>
      </c>
      <c r="H422" s="7"/>
    </row>
    <row r="423" spans="1:8" x14ac:dyDescent="0.3">
      <c r="A423">
        <v>422</v>
      </c>
      <c r="B423">
        <v>46</v>
      </c>
      <c r="C423" s="11">
        <v>23</v>
      </c>
      <c r="D423">
        <v>6</v>
      </c>
      <c r="E423" s="7">
        <f>INDEX(Lotteries!C:C,MATCH(C423,Lotteries!A:A,0))*D423</f>
        <v>60</v>
      </c>
      <c r="F423" s="3">
        <f>D423*INDEX(Lotteries!G:G,MATCH(C423,Lotteries!A:A,0))</f>
        <v>0.25</v>
      </c>
      <c r="G423" s="3">
        <f>INDEX(Lotteries!F:F,MATCH(C423,Lotteries!A:A,0))*D423/INDEX(Lotteries!D:D,MATCH(C423,Lotteries!A:A,0))*(INDEX(Lotteries!D:D,MATCH(C423,Lotteries!A:A,0))-D423)/INDEX(Lotteries!D:D,MATCH(C423,Lotteries!A:A,0))*(INDEX(Lotteries!D:D,MATCH(C423,Lotteries!A:A,0))-INDEX(Lotteries!F:F,MATCH(C423,Lotteries!A:A,0)))/(INDEX(Lotteries!D:D,MATCH(C423,Lotteries!A:A,0))-1)</f>
        <v>0.23331151832460734</v>
      </c>
      <c r="H423" s="7"/>
    </row>
    <row r="424" spans="1:8" x14ac:dyDescent="0.3">
      <c r="A424">
        <v>423</v>
      </c>
      <c r="B424">
        <v>58</v>
      </c>
      <c r="C424" s="11">
        <v>23</v>
      </c>
      <c r="D424">
        <v>4</v>
      </c>
      <c r="E424" s="7">
        <f>INDEX(Lotteries!C:C,MATCH(C424,Lotteries!A:A,0))*D424</f>
        <v>40</v>
      </c>
      <c r="F424" s="3">
        <f>D424*INDEX(Lotteries!G:G,MATCH(C424,Lotteries!A:A,0))</f>
        <v>0.16666666666666666</v>
      </c>
      <c r="G424" s="3">
        <f>INDEX(Lotteries!F:F,MATCH(C424,Lotteries!A:A,0))*D424/INDEX(Lotteries!D:D,MATCH(C424,Lotteries!A:A,0))*(INDEX(Lotteries!D:D,MATCH(C424,Lotteries!A:A,0))-D424)/INDEX(Lotteries!D:D,MATCH(C424,Lotteries!A:A,0))*(INDEX(Lotteries!D:D,MATCH(C424,Lotteries!A:A,0))-INDEX(Lotteries!F:F,MATCH(C424,Lotteries!A:A,0)))/(INDEX(Lotteries!D:D,MATCH(C424,Lotteries!A:A,0))-1)</f>
        <v>0.15721349621873182</v>
      </c>
      <c r="H424" s="7"/>
    </row>
    <row r="425" spans="1:8" x14ac:dyDescent="0.3">
      <c r="A425">
        <v>424</v>
      </c>
      <c r="B425">
        <v>36</v>
      </c>
      <c r="C425" s="11">
        <v>23</v>
      </c>
      <c r="D425">
        <v>5</v>
      </c>
      <c r="E425" s="7">
        <f>INDEX(Lotteries!C:C,MATCH(C425,Lotteries!A:A,0))*D425</f>
        <v>50</v>
      </c>
      <c r="F425" s="3">
        <f>D425*INDEX(Lotteries!G:G,MATCH(C425,Lotteries!A:A,0))</f>
        <v>0.20833333333333331</v>
      </c>
      <c r="G425" s="3">
        <f>INDEX(Lotteries!F:F,MATCH(C425,Lotteries!A:A,0))*D425/INDEX(Lotteries!D:D,MATCH(C425,Lotteries!A:A,0))*(INDEX(Lotteries!D:D,MATCH(C425,Lotteries!A:A,0))-D425)/INDEX(Lotteries!D:D,MATCH(C425,Lotteries!A:A,0))*(INDEX(Lotteries!D:D,MATCH(C425,Lotteries!A:A,0))-INDEX(Lotteries!F:F,MATCH(C425,Lotteries!A:A,0)))/(INDEX(Lotteries!D:D,MATCH(C425,Lotteries!A:A,0))-1)</f>
        <v>0.19547156777196048</v>
      </c>
      <c r="H425" s="7"/>
    </row>
    <row r="426" spans="1:8" x14ac:dyDescent="0.3">
      <c r="A426">
        <v>425</v>
      </c>
      <c r="B426">
        <v>57</v>
      </c>
      <c r="C426" s="11">
        <v>23</v>
      </c>
      <c r="D426">
        <v>6</v>
      </c>
      <c r="E426" s="7">
        <f>INDEX(Lotteries!C:C,MATCH(C426,Lotteries!A:A,0))*D426</f>
        <v>60</v>
      </c>
      <c r="F426" s="3">
        <f>D426*INDEX(Lotteries!G:G,MATCH(C426,Lotteries!A:A,0))</f>
        <v>0.25</v>
      </c>
      <c r="G426" s="3">
        <f>INDEX(Lotteries!F:F,MATCH(C426,Lotteries!A:A,0))*D426/INDEX(Lotteries!D:D,MATCH(C426,Lotteries!A:A,0))*(INDEX(Lotteries!D:D,MATCH(C426,Lotteries!A:A,0))-D426)/INDEX(Lotteries!D:D,MATCH(C426,Lotteries!A:A,0))*(INDEX(Lotteries!D:D,MATCH(C426,Lotteries!A:A,0))-INDEX(Lotteries!F:F,MATCH(C426,Lotteries!A:A,0)))/(INDEX(Lotteries!D:D,MATCH(C426,Lotteries!A:A,0))-1)</f>
        <v>0.23331151832460734</v>
      </c>
      <c r="H426" s="7"/>
    </row>
    <row r="427" spans="1:8" x14ac:dyDescent="0.3">
      <c r="A427">
        <v>426</v>
      </c>
      <c r="B427">
        <v>56</v>
      </c>
      <c r="C427" s="11">
        <v>23</v>
      </c>
      <c r="D427">
        <v>3</v>
      </c>
      <c r="E427" s="7">
        <f>INDEX(Lotteries!C:C,MATCH(C427,Lotteries!A:A,0))*D427</f>
        <v>30</v>
      </c>
      <c r="F427" s="3">
        <f>D427*INDEX(Lotteries!G:G,MATCH(C427,Lotteries!A:A,0))</f>
        <v>0.125</v>
      </c>
      <c r="G427" s="3">
        <f>INDEX(Lotteries!F:F,MATCH(C427,Lotteries!A:A,0))*D427/INDEX(Lotteries!D:D,MATCH(C427,Lotteries!A:A,0))*(INDEX(Lotteries!D:D,MATCH(C427,Lotteries!A:A,0))-D427)/INDEX(Lotteries!D:D,MATCH(C427,Lotteries!A:A,0))*(INDEX(Lotteries!D:D,MATCH(C427,Lotteries!A:A,0))-INDEX(Lotteries!F:F,MATCH(C427,Lotteries!A:A,0)))/(INDEX(Lotteries!D:D,MATCH(C427,Lotteries!A:A,0))-1)</f>
        <v>0.11853730366492146</v>
      </c>
      <c r="H427" s="7"/>
    </row>
    <row r="428" spans="1:8" x14ac:dyDescent="0.3">
      <c r="A428">
        <v>427</v>
      </c>
      <c r="B428">
        <v>52</v>
      </c>
      <c r="C428" s="11">
        <v>23</v>
      </c>
      <c r="D428">
        <v>50</v>
      </c>
      <c r="E428" s="7">
        <f>INDEX(Lotteries!C:C,MATCH(C428,Lotteries!A:A,0))*D428</f>
        <v>500</v>
      </c>
      <c r="F428" s="3">
        <f>D428*INDEX(Lotteries!G:G,MATCH(C428,Lotteries!A:A,0))</f>
        <v>2.083333333333333</v>
      </c>
      <c r="G428" s="3">
        <f>INDEX(Lotteries!F:F,MATCH(C428,Lotteries!A:A,0))*D428/INDEX(Lotteries!D:D,MATCH(C428,Lotteries!A:A,0))*(INDEX(Lotteries!D:D,MATCH(C428,Lotteries!A:A,0))-D428)/INDEX(Lotteries!D:D,MATCH(C428,Lotteries!A:A,0))*(INDEX(Lotteries!D:D,MATCH(C428,Lotteries!A:A,0))-INDEX(Lotteries!F:F,MATCH(C428,Lotteries!A:A,0)))/(INDEX(Lotteries!D:D,MATCH(C428,Lotteries!A:A,0))-1)</f>
        <v>1.4843295520651545</v>
      </c>
      <c r="H428" s="7"/>
    </row>
    <row r="429" spans="1:8" x14ac:dyDescent="0.3">
      <c r="A429">
        <v>428</v>
      </c>
      <c r="B429">
        <v>34</v>
      </c>
      <c r="C429" s="11">
        <v>23</v>
      </c>
      <c r="D429">
        <v>6</v>
      </c>
      <c r="E429" s="7">
        <f>INDEX(Lotteries!C:C,MATCH(C429,Lotteries!A:A,0))*D429</f>
        <v>60</v>
      </c>
      <c r="F429" s="3">
        <f>D429*INDEX(Lotteries!G:G,MATCH(C429,Lotteries!A:A,0))</f>
        <v>0.25</v>
      </c>
      <c r="G429" s="3">
        <f>INDEX(Lotteries!F:F,MATCH(C429,Lotteries!A:A,0))*D429/INDEX(Lotteries!D:D,MATCH(C429,Lotteries!A:A,0))*(INDEX(Lotteries!D:D,MATCH(C429,Lotteries!A:A,0))-D429)/INDEX(Lotteries!D:D,MATCH(C429,Lotteries!A:A,0))*(INDEX(Lotteries!D:D,MATCH(C429,Lotteries!A:A,0))-INDEX(Lotteries!F:F,MATCH(C429,Lotteries!A:A,0)))/(INDEX(Lotteries!D:D,MATCH(C429,Lotteries!A:A,0))-1)</f>
        <v>0.23331151832460734</v>
      </c>
      <c r="H429" s="7"/>
    </row>
    <row r="430" spans="1:8" x14ac:dyDescent="0.3">
      <c r="A430">
        <v>429</v>
      </c>
      <c r="B430">
        <v>59</v>
      </c>
      <c r="C430" s="11">
        <v>23</v>
      </c>
      <c r="D430">
        <v>5</v>
      </c>
      <c r="E430" s="7">
        <f>INDEX(Lotteries!C:C,MATCH(C430,Lotteries!A:A,0))*D430</f>
        <v>50</v>
      </c>
      <c r="F430" s="3">
        <f>D430*INDEX(Lotteries!G:G,MATCH(C430,Lotteries!A:A,0))</f>
        <v>0.20833333333333331</v>
      </c>
      <c r="G430" s="3">
        <f>INDEX(Lotteries!F:F,MATCH(C430,Lotteries!A:A,0))*D430/INDEX(Lotteries!D:D,MATCH(C430,Lotteries!A:A,0))*(INDEX(Lotteries!D:D,MATCH(C430,Lotteries!A:A,0))-D430)/INDEX(Lotteries!D:D,MATCH(C430,Lotteries!A:A,0))*(INDEX(Lotteries!D:D,MATCH(C430,Lotteries!A:A,0))-INDEX(Lotteries!F:F,MATCH(C430,Lotteries!A:A,0)))/(INDEX(Lotteries!D:D,MATCH(C430,Lotteries!A:A,0))-1)</f>
        <v>0.19547156777196048</v>
      </c>
      <c r="H430" s="7"/>
    </row>
    <row r="431" spans="1:8" x14ac:dyDescent="0.3">
      <c r="A431">
        <v>430</v>
      </c>
      <c r="B431">
        <v>44</v>
      </c>
      <c r="C431" s="11">
        <v>23</v>
      </c>
      <c r="D431">
        <v>10</v>
      </c>
      <c r="E431" s="7">
        <f>INDEX(Lotteries!C:C,MATCH(C431,Lotteries!A:A,0))*D431</f>
        <v>100</v>
      </c>
      <c r="F431" s="3">
        <f>D431*INDEX(Lotteries!G:G,MATCH(C431,Lotteries!A:A,0))</f>
        <v>0.41666666666666663</v>
      </c>
      <c r="G431" s="3">
        <f>INDEX(Lotteries!F:F,MATCH(C431,Lotteries!A:A,0))*D431/INDEX(Lotteries!D:D,MATCH(C431,Lotteries!A:A,0))*(INDEX(Lotteries!D:D,MATCH(C431,Lotteries!A:A,0))-D431)/INDEX(Lotteries!D:D,MATCH(C431,Lotteries!A:A,0))*(INDEX(Lotteries!D:D,MATCH(C431,Lotteries!A:A,0))-INDEX(Lotteries!F:F,MATCH(C431,Lotteries!A:A,0)))/(INDEX(Lotteries!D:D,MATCH(C431,Lotteries!A:A,0))-1)</f>
        <v>0.38049011052937765</v>
      </c>
      <c r="H431" s="7"/>
    </row>
    <row r="432" spans="1:8" x14ac:dyDescent="0.3">
      <c r="A432">
        <v>431</v>
      </c>
      <c r="B432">
        <v>32</v>
      </c>
      <c r="C432" s="11">
        <v>23</v>
      </c>
      <c r="D432">
        <v>10</v>
      </c>
      <c r="E432" s="7">
        <f>INDEX(Lotteries!C:C,MATCH(C432,Lotteries!A:A,0))*D432</f>
        <v>100</v>
      </c>
      <c r="F432" s="3">
        <f>D432*INDEX(Lotteries!G:G,MATCH(C432,Lotteries!A:A,0))</f>
        <v>0.41666666666666663</v>
      </c>
      <c r="G432" s="3">
        <f>INDEX(Lotteries!F:F,MATCH(C432,Lotteries!A:A,0))*D432/INDEX(Lotteries!D:D,MATCH(C432,Lotteries!A:A,0))*(INDEX(Lotteries!D:D,MATCH(C432,Lotteries!A:A,0))-D432)/INDEX(Lotteries!D:D,MATCH(C432,Lotteries!A:A,0))*(INDEX(Lotteries!D:D,MATCH(C432,Lotteries!A:A,0))-INDEX(Lotteries!F:F,MATCH(C432,Lotteries!A:A,0)))/(INDEX(Lotteries!D:D,MATCH(C432,Lotteries!A:A,0))-1)</f>
        <v>0.38049011052937765</v>
      </c>
      <c r="H432" s="7"/>
    </row>
    <row r="433" spans="1:8" x14ac:dyDescent="0.3">
      <c r="A433">
        <v>432</v>
      </c>
      <c r="B433">
        <v>29</v>
      </c>
      <c r="C433" s="11">
        <v>23</v>
      </c>
      <c r="D433">
        <v>10</v>
      </c>
      <c r="E433" s="7">
        <f>INDEX(Lotteries!C:C,MATCH(C433,Lotteries!A:A,0))*D433</f>
        <v>100</v>
      </c>
      <c r="F433" s="3">
        <f>D433*INDEX(Lotteries!G:G,MATCH(C433,Lotteries!A:A,0))</f>
        <v>0.41666666666666663</v>
      </c>
      <c r="G433" s="3">
        <f>INDEX(Lotteries!F:F,MATCH(C433,Lotteries!A:A,0))*D433/INDEX(Lotteries!D:D,MATCH(C433,Lotteries!A:A,0))*(INDEX(Lotteries!D:D,MATCH(C433,Lotteries!A:A,0))-D433)/INDEX(Lotteries!D:D,MATCH(C433,Lotteries!A:A,0))*(INDEX(Lotteries!D:D,MATCH(C433,Lotteries!A:A,0))-INDEX(Lotteries!F:F,MATCH(C433,Lotteries!A:A,0)))/(INDEX(Lotteries!D:D,MATCH(C433,Lotteries!A:A,0))-1)</f>
        <v>0.38049011052937765</v>
      </c>
      <c r="H433" s="7"/>
    </row>
    <row r="434" spans="1:8" x14ac:dyDescent="0.3">
      <c r="A434">
        <v>433</v>
      </c>
      <c r="B434">
        <v>10</v>
      </c>
      <c r="C434" s="11">
        <v>23</v>
      </c>
      <c r="D434">
        <v>10</v>
      </c>
      <c r="E434" s="7">
        <f>INDEX(Lotteries!C:C,MATCH(C434,Lotteries!A:A,0))*D434</f>
        <v>100</v>
      </c>
      <c r="F434" s="3">
        <f>D434*INDEX(Lotteries!G:G,MATCH(C434,Lotteries!A:A,0))</f>
        <v>0.41666666666666663</v>
      </c>
      <c r="G434" s="3">
        <f>INDEX(Lotteries!F:F,MATCH(C434,Lotteries!A:A,0))*D434/INDEX(Lotteries!D:D,MATCH(C434,Lotteries!A:A,0))*(INDEX(Lotteries!D:D,MATCH(C434,Lotteries!A:A,0))-D434)/INDEX(Lotteries!D:D,MATCH(C434,Lotteries!A:A,0))*(INDEX(Lotteries!D:D,MATCH(C434,Lotteries!A:A,0))-INDEX(Lotteries!F:F,MATCH(C434,Lotteries!A:A,0)))/(INDEX(Lotteries!D:D,MATCH(C434,Lotteries!A:A,0))-1)</f>
        <v>0.38049011052937765</v>
      </c>
      <c r="H434" s="7"/>
    </row>
    <row r="435" spans="1:8" x14ac:dyDescent="0.3">
      <c r="A435">
        <v>434</v>
      </c>
      <c r="B435">
        <v>27</v>
      </c>
      <c r="C435" s="11">
        <v>23</v>
      </c>
      <c r="D435">
        <v>10</v>
      </c>
      <c r="E435" s="7">
        <f>INDEX(Lotteries!C:C,MATCH(C435,Lotteries!A:A,0))*D435</f>
        <v>100</v>
      </c>
      <c r="F435" s="3">
        <f>D435*INDEX(Lotteries!G:G,MATCH(C435,Lotteries!A:A,0))</f>
        <v>0.41666666666666663</v>
      </c>
      <c r="G435" s="3">
        <f>INDEX(Lotteries!F:F,MATCH(C435,Lotteries!A:A,0))*D435/INDEX(Lotteries!D:D,MATCH(C435,Lotteries!A:A,0))*(INDEX(Lotteries!D:D,MATCH(C435,Lotteries!A:A,0))-D435)/INDEX(Lotteries!D:D,MATCH(C435,Lotteries!A:A,0))*(INDEX(Lotteries!D:D,MATCH(C435,Lotteries!A:A,0))-INDEX(Lotteries!F:F,MATCH(C435,Lotteries!A:A,0)))/(INDEX(Lotteries!D:D,MATCH(C435,Lotteries!A:A,0))-1)</f>
        <v>0.38049011052937765</v>
      </c>
      <c r="H435" s="7"/>
    </row>
    <row r="436" spans="1:8" x14ac:dyDescent="0.3">
      <c r="A436">
        <v>435</v>
      </c>
      <c r="B436">
        <v>60</v>
      </c>
      <c r="C436" s="11">
        <v>23</v>
      </c>
      <c r="D436">
        <v>10</v>
      </c>
      <c r="E436" s="7">
        <f>INDEX(Lotteries!C:C,MATCH(C436,Lotteries!A:A,0))*D436</f>
        <v>100</v>
      </c>
      <c r="F436" s="3">
        <f>D436*INDEX(Lotteries!G:G,MATCH(C436,Lotteries!A:A,0))</f>
        <v>0.41666666666666663</v>
      </c>
      <c r="G436" s="3">
        <f>INDEX(Lotteries!F:F,MATCH(C436,Lotteries!A:A,0))*D436/INDEX(Lotteries!D:D,MATCH(C436,Lotteries!A:A,0))*(INDEX(Lotteries!D:D,MATCH(C436,Lotteries!A:A,0))-D436)/INDEX(Lotteries!D:D,MATCH(C436,Lotteries!A:A,0))*(INDEX(Lotteries!D:D,MATCH(C436,Lotteries!A:A,0))-INDEX(Lotteries!F:F,MATCH(C436,Lotteries!A:A,0)))/(INDEX(Lotteries!D:D,MATCH(C436,Lotteries!A:A,0))-1)</f>
        <v>0.38049011052937765</v>
      </c>
      <c r="H436" s="7"/>
    </row>
    <row r="437" spans="1:8" x14ac:dyDescent="0.3">
      <c r="A437">
        <v>436</v>
      </c>
      <c r="B437">
        <v>54</v>
      </c>
      <c r="C437" s="11">
        <v>23</v>
      </c>
      <c r="D437">
        <v>5</v>
      </c>
      <c r="E437" s="7">
        <f>INDEX(Lotteries!C:C,MATCH(C437,Lotteries!A:A,0))*D437</f>
        <v>50</v>
      </c>
      <c r="F437" s="3">
        <f>D437*INDEX(Lotteries!G:G,MATCH(C437,Lotteries!A:A,0))</f>
        <v>0.20833333333333331</v>
      </c>
      <c r="G437" s="3">
        <f>INDEX(Lotteries!F:F,MATCH(C437,Lotteries!A:A,0))*D437/INDEX(Lotteries!D:D,MATCH(C437,Lotteries!A:A,0))*(INDEX(Lotteries!D:D,MATCH(C437,Lotteries!A:A,0))-D437)/INDEX(Lotteries!D:D,MATCH(C437,Lotteries!A:A,0))*(INDEX(Lotteries!D:D,MATCH(C437,Lotteries!A:A,0))-INDEX(Lotteries!F:F,MATCH(C437,Lotteries!A:A,0)))/(INDEX(Lotteries!D:D,MATCH(C437,Lotteries!A:A,0))-1)</f>
        <v>0.19547156777196048</v>
      </c>
      <c r="H437" s="7"/>
    </row>
    <row r="438" spans="1:8" x14ac:dyDescent="0.3">
      <c r="A438">
        <v>437</v>
      </c>
      <c r="B438">
        <v>53</v>
      </c>
      <c r="C438" s="11">
        <v>24</v>
      </c>
      <c r="D438">
        <v>10</v>
      </c>
      <c r="E438" s="7">
        <f>INDEX(Lotteries!C:C,MATCH(C438,Lotteries!A:A,0))*D438</f>
        <v>100</v>
      </c>
      <c r="F438" s="3">
        <f>D438*INDEX(Lotteries!G:G,MATCH(C438,Lotteries!A:A,0))</f>
        <v>0.57377049180327866</v>
      </c>
      <c r="G438" s="3">
        <f>INDEX(Lotteries!F:F,MATCH(C438,Lotteries!A:A,0))*D438/INDEX(Lotteries!D:D,MATCH(C438,Lotteries!A:A,0))*(INDEX(Lotteries!D:D,MATCH(C438,Lotteries!A:A,0))-D438)/INDEX(Lotteries!D:D,MATCH(C438,Lotteries!A:A,0))*(INDEX(Lotteries!D:D,MATCH(C438,Lotteries!A:A,0))-INDEX(Lotteries!F:F,MATCH(C438,Lotteries!A:A,0)))/(INDEX(Lotteries!D:D,MATCH(C438,Lotteries!A:A,0))-1)</f>
        <v>0.50062077864965648</v>
      </c>
      <c r="H438" s="7"/>
    </row>
    <row r="439" spans="1:8" x14ac:dyDescent="0.3">
      <c r="A439">
        <v>438</v>
      </c>
      <c r="B439">
        <v>37</v>
      </c>
      <c r="C439" s="11">
        <v>24</v>
      </c>
      <c r="D439">
        <v>10</v>
      </c>
      <c r="E439" s="7">
        <f>INDEX(Lotteries!C:C,MATCH(C439,Lotteries!A:A,0))*D439</f>
        <v>100</v>
      </c>
      <c r="F439" s="3">
        <f>D439*INDEX(Lotteries!G:G,MATCH(C439,Lotteries!A:A,0))</f>
        <v>0.57377049180327866</v>
      </c>
      <c r="G439" s="3">
        <f>INDEX(Lotteries!F:F,MATCH(C439,Lotteries!A:A,0))*D439/INDEX(Lotteries!D:D,MATCH(C439,Lotteries!A:A,0))*(INDEX(Lotteries!D:D,MATCH(C439,Lotteries!A:A,0))-D439)/INDEX(Lotteries!D:D,MATCH(C439,Lotteries!A:A,0))*(INDEX(Lotteries!D:D,MATCH(C439,Lotteries!A:A,0))-INDEX(Lotteries!F:F,MATCH(C439,Lotteries!A:A,0)))/(INDEX(Lotteries!D:D,MATCH(C439,Lotteries!A:A,0))-1)</f>
        <v>0.50062077864965648</v>
      </c>
      <c r="H439" s="7"/>
    </row>
    <row r="440" spans="1:8" x14ac:dyDescent="0.3">
      <c r="A440">
        <v>439</v>
      </c>
      <c r="B440">
        <v>35</v>
      </c>
      <c r="C440" s="11">
        <v>24</v>
      </c>
      <c r="D440">
        <v>5</v>
      </c>
      <c r="E440" s="7">
        <f>INDEX(Lotteries!C:C,MATCH(C440,Lotteries!A:A,0))*D440</f>
        <v>50</v>
      </c>
      <c r="F440" s="3">
        <f>D440*INDEX(Lotteries!G:G,MATCH(C440,Lotteries!A:A,0))</f>
        <v>0.28688524590163933</v>
      </c>
      <c r="G440" s="3">
        <f>INDEX(Lotteries!F:F,MATCH(C440,Lotteries!A:A,0))*D440/INDEX(Lotteries!D:D,MATCH(C440,Lotteries!A:A,0))*(INDEX(Lotteries!D:D,MATCH(C440,Lotteries!A:A,0))-D440)/INDEX(Lotteries!D:D,MATCH(C440,Lotteries!A:A,0))*(INDEX(Lotteries!D:D,MATCH(C440,Lotteries!A:A,0))-INDEX(Lotteries!F:F,MATCH(C440,Lotteries!A:A,0)))/(INDEX(Lotteries!D:D,MATCH(C440,Lotteries!A:A,0))-1)</f>
        <v>0.26148496027682949</v>
      </c>
      <c r="H440" s="7"/>
    </row>
    <row r="441" spans="1:8" x14ac:dyDescent="0.3">
      <c r="A441">
        <v>440</v>
      </c>
      <c r="B441">
        <v>15</v>
      </c>
      <c r="C441" s="11">
        <v>24</v>
      </c>
      <c r="D441">
        <v>6</v>
      </c>
      <c r="E441" s="7">
        <f>INDEX(Lotteries!C:C,MATCH(C441,Lotteries!A:A,0))*D441</f>
        <v>60</v>
      </c>
      <c r="F441" s="3">
        <f>D441*INDEX(Lotteries!G:G,MATCH(C441,Lotteries!A:A,0))</f>
        <v>0.34426229508196721</v>
      </c>
      <c r="G441" s="3">
        <f>INDEX(Lotteries!F:F,MATCH(C441,Lotteries!A:A,0))*D441/INDEX(Lotteries!D:D,MATCH(C441,Lotteries!A:A,0))*(INDEX(Lotteries!D:D,MATCH(C441,Lotteries!A:A,0))-D441)/INDEX(Lotteries!D:D,MATCH(C441,Lotteries!A:A,0))*(INDEX(Lotteries!D:D,MATCH(C441,Lotteries!A:A,0))-INDEX(Lotteries!F:F,MATCH(C441,Lotteries!A:A,0)))/(INDEX(Lotteries!D:D,MATCH(C441,Lotteries!A:A,0))-1)</f>
        <v>0.31110005530371515</v>
      </c>
      <c r="H441" s="7"/>
    </row>
    <row r="442" spans="1:8" x14ac:dyDescent="0.3">
      <c r="A442">
        <v>441</v>
      </c>
      <c r="B442">
        <v>54</v>
      </c>
      <c r="C442" s="11">
        <v>24</v>
      </c>
      <c r="D442">
        <v>5</v>
      </c>
      <c r="E442" s="7">
        <f>INDEX(Lotteries!C:C,MATCH(C442,Lotteries!A:A,0))*D442</f>
        <v>50</v>
      </c>
      <c r="F442" s="3">
        <f>D442*INDEX(Lotteries!G:G,MATCH(C442,Lotteries!A:A,0))</f>
        <v>0.28688524590163933</v>
      </c>
      <c r="G442" s="3">
        <f>INDEX(Lotteries!F:F,MATCH(C442,Lotteries!A:A,0))*D442/INDEX(Lotteries!D:D,MATCH(C442,Lotteries!A:A,0))*(INDEX(Lotteries!D:D,MATCH(C442,Lotteries!A:A,0))-D442)/INDEX(Lotteries!D:D,MATCH(C442,Lotteries!A:A,0))*(INDEX(Lotteries!D:D,MATCH(C442,Lotteries!A:A,0))-INDEX(Lotteries!F:F,MATCH(C442,Lotteries!A:A,0)))/(INDEX(Lotteries!D:D,MATCH(C442,Lotteries!A:A,0))-1)</f>
        <v>0.26148496027682949</v>
      </c>
      <c r="H442" s="7"/>
    </row>
    <row r="443" spans="1:8" x14ac:dyDescent="0.3">
      <c r="A443">
        <v>442</v>
      </c>
      <c r="B443">
        <v>33</v>
      </c>
      <c r="C443" s="11">
        <v>24</v>
      </c>
      <c r="D443">
        <v>10</v>
      </c>
      <c r="E443" s="7">
        <f>INDEX(Lotteries!C:C,MATCH(C443,Lotteries!A:A,0))*D443</f>
        <v>100</v>
      </c>
      <c r="F443" s="3">
        <f>D443*INDEX(Lotteries!G:G,MATCH(C443,Lotteries!A:A,0))</f>
        <v>0.57377049180327866</v>
      </c>
      <c r="G443" s="3">
        <f>INDEX(Lotteries!F:F,MATCH(C443,Lotteries!A:A,0))*D443/INDEX(Lotteries!D:D,MATCH(C443,Lotteries!A:A,0))*(INDEX(Lotteries!D:D,MATCH(C443,Lotteries!A:A,0))-D443)/INDEX(Lotteries!D:D,MATCH(C443,Lotteries!A:A,0))*(INDEX(Lotteries!D:D,MATCH(C443,Lotteries!A:A,0))-INDEX(Lotteries!F:F,MATCH(C443,Lotteries!A:A,0)))/(INDEX(Lotteries!D:D,MATCH(C443,Lotteries!A:A,0))-1)</f>
        <v>0.50062077864965648</v>
      </c>
      <c r="H443" s="7"/>
    </row>
    <row r="444" spans="1:8" x14ac:dyDescent="0.3">
      <c r="A444">
        <v>443</v>
      </c>
      <c r="B444">
        <v>10</v>
      </c>
      <c r="C444" s="11">
        <v>24</v>
      </c>
      <c r="D444">
        <v>10</v>
      </c>
      <c r="E444" s="7">
        <f>INDEX(Lotteries!C:C,MATCH(C444,Lotteries!A:A,0))*D444</f>
        <v>100</v>
      </c>
      <c r="F444" s="3">
        <f>D444*INDEX(Lotteries!G:G,MATCH(C444,Lotteries!A:A,0))</f>
        <v>0.57377049180327866</v>
      </c>
      <c r="G444" s="3">
        <f>INDEX(Lotteries!F:F,MATCH(C444,Lotteries!A:A,0))*D444/INDEX(Lotteries!D:D,MATCH(C444,Lotteries!A:A,0))*(INDEX(Lotteries!D:D,MATCH(C444,Lotteries!A:A,0))-D444)/INDEX(Lotteries!D:D,MATCH(C444,Lotteries!A:A,0))*(INDEX(Lotteries!D:D,MATCH(C444,Lotteries!A:A,0))-INDEX(Lotteries!F:F,MATCH(C444,Lotteries!A:A,0)))/(INDEX(Lotteries!D:D,MATCH(C444,Lotteries!A:A,0))-1)</f>
        <v>0.50062077864965648</v>
      </c>
      <c r="H444" s="7"/>
    </row>
    <row r="445" spans="1:8" x14ac:dyDescent="0.3">
      <c r="A445">
        <v>444</v>
      </c>
      <c r="B445">
        <v>34</v>
      </c>
      <c r="C445" s="11">
        <v>24</v>
      </c>
      <c r="D445">
        <v>5</v>
      </c>
      <c r="E445" s="7">
        <f>INDEX(Lotteries!C:C,MATCH(C445,Lotteries!A:A,0))*D445</f>
        <v>50</v>
      </c>
      <c r="F445" s="3">
        <f>D445*INDEX(Lotteries!G:G,MATCH(C445,Lotteries!A:A,0))</f>
        <v>0.28688524590163933</v>
      </c>
      <c r="G445" s="3">
        <f>INDEX(Lotteries!F:F,MATCH(C445,Lotteries!A:A,0))*D445/INDEX(Lotteries!D:D,MATCH(C445,Lotteries!A:A,0))*(INDEX(Lotteries!D:D,MATCH(C445,Lotteries!A:A,0))-D445)/INDEX(Lotteries!D:D,MATCH(C445,Lotteries!A:A,0))*(INDEX(Lotteries!D:D,MATCH(C445,Lotteries!A:A,0))-INDEX(Lotteries!F:F,MATCH(C445,Lotteries!A:A,0)))/(INDEX(Lotteries!D:D,MATCH(C445,Lotteries!A:A,0))-1)</f>
        <v>0.26148496027682949</v>
      </c>
      <c r="H445" s="7"/>
    </row>
    <row r="446" spans="1:8" x14ac:dyDescent="0.3">
      <c r="A446">
        <v>445</v>
      </c>
      <c r="B446">
        <v>44</v>
      </c>
      <c r="C446" s="11">
        <v>24</v>
      </c>
      <c r="D446">
        <v>10</v>
      </c>
      <c r="E446" s="7">
        <f>INDEX(Lotteries!C:C,MATCH(C446,Lotteries!A:A,0))*D446</f>
        <v>100</v>
      </c>
      <c r="F446" s="3">
        <f>D446*INDEX(Lotteries!G:G,MATCH(C446,Lotteries!A:A,0))</f>
        <v>0.57377049180327866</v>
      </c>
      <c r="G446" s="3">
        <f>INDEX(Lotteries!F:F,MATCH(C446,Lotteries!A:A,0))*D446/INDEX(Lotteries!D:D,MATCH(C446,Lotteries!A:A,0))*(INDEX(Lotteries!D:D,MATCH(C446,Lotteries!A:A,0))-D446)/INDEX(Lotteries!D:D,MATCH(C446,Lotteries!A:A,0))*(INDEX(Lotteries!D:D,MATCH(C446,Lotteries!A:A,0))-INDEX(Lotteries!F:F,MATCH(C446,Lotteries!A:A,0)))/(INDEX(Lotteries!D:D,MATCH(C446,Lotteries!A:A,0))-1)</f>
        <v>0.50062077864965648</v>
      </c>
      <c r="H446" s="7"/>
    </row>
    <row r="447" spans="1:8" x14ac:dyDescent="0.3">
      <c r="A447">
        <v>446</v>
      </c>
      <c r="B447">
        <v>11</v>
      </c>
      <c r="C447" s="11">
        <v>24</v>
      </c>
      <c r="D447">
        <v>5</v>
      </c>
      <c r="E447" s="7">
        <f>INDEX(Lotteries!C:C,MATCH(C447,Lotteries!A:A,0))*D447</f>
        <v>50</v>
      </c>
      <c r="F447" s="3">
        <f>D447*INDEX(Lotteries!G:G,MATCH(C447,Lotteries!A:A,0))</f>
        <v>0.28688524590163933</v>
      </c>
      <c r="G447" s="3">
        <f>INDEX(Lotteries!F:F,MATCH(C447,Lotteries!A:A,0))*D447/INDEX(Lotteries!D:D,MATCH(C447,Lotteries!A:A,0))*(INDEX(Lotteries!D:D,MATCH(C447,Lotteries!A:A,0))-D447)/INDEX(Lotteries!D:D,MATCH(C447,Lotteries!A:A,0))*(INDEX(Lotteries!D:D,MATCH(C447,Lotteries!A:A,0))-INDEX(Lotteries!F:F,MATCH(C447,Lotteries!A:A,0)))/(INDEX(Lotteries!D:D,MATCH(C447,Lotteries!A:A,0))-1)</f>
        <v>0.26148496027682949</v>
      </c>
      <c r="H447" s="7"/>
    </row>
    <row r="448" spans="1:8" x14ac:dyDescent="0.3">
      <c r="A448">
        <v>447</v>
      </c>
      <c r="B448">
        <v>61</v>
      </c>
      <c r="C448" s="11">
        <v>24</v>
      </c>
      <c r="D448">
        <v>5</v>
      </c>
      <c r="E448" s="7">
        <f>INDEX(Lotteries!C:C,MATCH(C448,Lotteries!A:A,0))*D448</f>
        <v>50</v>
      </c>
      <c r="F448" s="3">
        <f>D448*INDEX(Lotteries!G:G,MATCH(C448,Lotteries!A:A,0))</f>
        <v>0.28688524590163933</v>
      </c>
      <c r="G448" s="3">
        <f>INDEX(Lotteries!F:F,MATCH(C448,Lotteries!A:A,0))*D448/INDEX(Lotteries!D:D,MATCH(C448,Lotteries!A:A,0))*(INDEX(Lotteries!D:D,MATCH(C448,Lotteries!A:A,0))-D448)/INDEX(Lotteries!D:D,MATCH(C448,Lotteries!A:A,0))*(INDEX(Lotteries!D:D,MATCH(C448,Lotteries!A:A,0))-INDEX(Lotteries!F:F,MATCH(C448,Lotteries!A:A,0)))/(INDEX(Lotteries!D:D,MATCH(C448,Lotteries!A:A,0))-1)</f>
        <v>0.26148496027682949</v>
      </c>
      <c r="H448" s="7"/>
    </row>
    <row r="449" spans="1:12" x14ac:dyDescent="0.3">
      <c r="A449">
        <v>448</v>
      </c>
      <c r="B449">
        <v>48</v>
      </c>
      <c r="C449" s="11">
        <v>24</v>
      </c>
      <c r="D449">
        <v>10</v>
      </c>
      <c r="E449" s="7">
        <f>INDEX(Lotteries!C:C,MATCH(C449,Lotteries!A:A,0))*D449</f>
        <v>100</v>
      </c>
      <c r="F449" s="3">
        <f>D449*INDEX(Lotteries!G:G,MATCH(C449,Lotteries!A:A,0))</f>
        <v>0.57377049180327866</v>
      </c>
      <c r="G449" s="3">
        <f>INDEX(Lotteries!F:F,MATCH(C449,Lotteries!A:A,0))*D449/INDEX(Lotteries!D:D,MATCH(C449,Lotteries!A:A,0))*(INDEX(Lotteries!D:D,MATCH(C449,Lotteries!A:A,0))-D449)/INDEX(Lotteries!D:D,MATCH(C449,Lotteries!A:A,0))*(INDEX(Lotteries!D:D,MATCH(C449,Lotteries!A:A,0))-INDEX(Lotteries!F:F,MATCH(C449,Lotteries!A:A,0)))/(INDEX(Lotteries!D:D,MATCH(C449,Lotteries!A:A,0))-1)</f>
        <v>0.50062077864965648</v>
      </c>
      <c r="H449" s="7"/>
    </row>
    <row r="450" spans="1:12" x14ac:dyDescent="0.3">
      <c r="A450">
        <v>449</v>
      </c>
      <c r="B450">
        <v>62</v>
      </c>
      <c r="C450" s="11">
        <v>24</v>
      </c>
      <c r="D450">
        <v>7</v>
      </c>
      <c r="E450" s="7">
        <f>INDEX(Lotteries!C:C,MATCH(C450,Lotteries!A:A,0))*D450</f>
        <v>70</v>
      </c>
      <c r="F450" s="3">
        <f>D450*INDEX(Lotteries!G:G,MATCH(C450,Lotteries!A:A,0))</f>
        <v>0.40163934426229508</v>
      </c>
      <c r="G450" s="3">
        <f>INDEX(Lotteries!F:F,MATCH(C450,Lotteries!A:A,0))*D450/INDEX(Lotteries!D:D,MATCH(C450,Lotteries!A:A,0))*(INDEX(Lotteries!D:D,MATCH(C450,Lotteries!A:A,0))-D450)/INDEX(Lotteries!D:D,MATCH(C450,Lotteries!A:A,0))*(INDEX(Lotteries!D:D,MATCH(C450,Lotteries!A:A,0))-INDEX(Lotteries!F:F,MATCH(C450,Lotteries!A:A,0)))/(INDEX(Lotteries!D:D,MATCH(C450,Lotteries!A:A,0))-1)</f>
        <v>0.35982118465444063</v>
      </c>
      <c r="H450" s="7"/>
    </row>
    <row r="451" spans="1:12" x14ac:dyDescent="0.3">
      <c r="A451">
        <v>450</v>
      </c>
      <c r="B451">
        <v>43</v>
      </c>
      <c r="C451" s="11">
        <v>24</v>
      </c>
      <c r="D451">
        <v>5</v>
      </c>
      <c r="E451" s="7">
        <f>INDEX(Lotteries!C:C,MATCH(C451,Lotteries!A:A,0))*D451</f>
        <v>50</v>
      </c>
      <c r="F451" s="3">
        <f>D451*INDEX(Lotteries!G:G,MATCH(C451,Lotteries!A:A,0))</f>
        <v>0.28688524590163933</v>
      </c>
      <c r="G451" s="3">
        <f>INDEX(Lotteries!F:F,MATCH(C451,Lotteries!A:A,0))*D451/INDEX(Lotteries!D:D,MATCH(C451,Lotteries!A:A,0))*(INDEX(Lotteries!D:D,MATCH(C451,Lotteries!A:A,0))-D451)/INDEX(Lotteries!D:D,MATCH(C451,Lotteries!A:A,0))*(INDEX(Lotteries!D:D,MATCH(C451,Lotteries!A:A,0))-INDEX(Lotteries!F:F,MATCH(C451,Lotteries!A:A,0)))/(INDEX(Lotteries!D:D,MATCH(C451,Lotteries!A:A,0))-1)</f>
        <v>0.26148496027682949</v>
      </c>
      <c r="H451" s="7"/>
    </row>
    <row r="452" spans="1:12" x14ac:dyDescent="0.3">
      <c r="A452">
        <v>451</v>
      </c>
      <c r="B452">
        <v>63</v>
      </c>
      <c r="C452" s="11">
        <v>24</v>
      </c>
      <c r="D452">
        <v>4</v>
      </c>
      <c r="E452" s="7">
        <f>INDEX(Lotteries!C:C,MATCH(C452,Lotteries!A:A,0))*D452</f>
        <v>40</v>
      </c>
      <c r="F452" s="3">
        <f>D452*INDEX(Lotteries!G:G,MATCH(C452,Lotteries!A:A,0))</f>
        <v>0.22950819672131148</v>
      </c>
      <c r="G452" s="3">
        <f>INDEX(Lotteries!F:F,MATCH(C452,Lotteries!A:A,0))*D452/INDEX(Lotteries!D:D,MATCH(C452,Lotteries!A:A,0))*(INDEX(Lotteries!D:D,MATCH(C452,Lotteries!A:A,0))-D452)/INDEX(Lotteries!D:D,MATCH(C452,Lotteries!A:A,0))*(INDEX(Lotteries!D:D,MATCH(C452,Lotteries!A:A,0))-INDEX(Lotteries!F:F,MATCH(C452,Lotteries!A:A,0)))/(INDEX(Lotteries!D:D,MATCH(C452,Lotteries!A:A,0))-1)</f>
        <v>0.21097589957378385</v>
      </c>
      <c r="H452" s="7"/>
    </row>
    <row r="453" spans="1:12" x14ac:dyDescent="0.3">
      <c r="A453">
        <v>452</v>
      </c>
      <c r="B453">
        <v>41</v>
      </c>
      <c r="C453" s="11">
        <v>24</v>
      </c>
      <c r="D453">
        <v>5</v>
      </c>
      <c r="E453" s="7">
        <f>INDEX(Lotteries!C:C,MATCH(C453,Lotteries!A:A,0))*D453</f>
        <v>50</v>
      </c>
      <c r="F453" s="3">
        <f>D453*INDEX(Lotteries!G:G,MATCH(C453,Lotteries!A:A,0))</f>
        <v>0.28688524590163933</v>
      </c>
      <c r="G453" s="3">
        <f>INDEX(Lotteries!F:F,MATCH(C453,Lotteries!A:A,0))*D453/INDEX(Lotteries!D:D,MATCH(C453,Lotteries!A:A,0))*(INDEX(Lotteries!D:D,MATCH(C453,Lotteries!A:A,0))-D453)/INDEX(Lotteries!D:D,MATCH(C453,Lotteries!A:A,0))*(INDEX(Lotteries!D:D,MATCH(C453,Lotteries!A:A,0))-INDEX(Lotteries!F:F,MATCH(C453,Lotteries!A:A,0)))/(INDEX(Lotteries!D:D,MATCH(C453,Lotteries!A:A,0))-1)</f>
        <v>0.26148496027682949</v>
      </c>
      <c r="H453" s="7"/>
    </row>
    <row r="454" spans="1:12" x14ac:dyDescent="0.3">
      <c r="A454">
        <v>453</v>
      </c>
      <c r="B454">
        <v>29</v>
      </c>
      <c r="C454" s="11">
        <v>24</v>
      </c>
      <c r="D454">
        <v>10</v>
      </c>
      <c r="E454" s="7">
        <f>INDEX(Lotteries!C:C,MATCH(C454,Lotteries!A:A,0))*D454</f>
        <v>100</v>
      </c>
      <c r="F454" s="3">
        <f>D454*INDEX(Lotteries!G:G,MATCH(C454,Lotteries!A:A,0))</f>
        <v>0.57377049180327866</v>
      </c>
      <c r="G454" s="3">
        <f>INDEX(Lotteries!F:F,MATCH(C454,Lotteries!A:A,0))*D454/INDEX(Lotteries!D:D,MATCH(C454,Lotteries!A:A,0))*(INDEX(Lotteries!D:D,MATCH(C454,Lotteries!A:A,0))-D454)/INDEX(Lotteries!D:D,MATCH(C454,Lotteries!A:A,0))*(INDEX(Lotteries!D:D,MATCH(C454,Lotteries!A:A,0))-INDEX(Lotteries!F:F,MATCH(C454,Lotteries!A:A,0)))/(INDEX(Lotteries!D:D,MATCH(C454,Lotteries!A:A,0))-1)</f>
        <v>0.50062077864965648</v>
      </c>
      <c r="H454" s="7"/>
    </row>
    <row r="455" spans="1:12" x14ac:dyDescent="0.3">
      <c r="A455">
        <v>454</v>
      </c>
      <c r="B455">
        <v>35</v>
      </c>
      <c r="C455" s="11">
        <v>25</v>
      </c>
      <c r="D455">
        <v>5</v>
      </c>
      <c r="E455" s="7">
        <f>INDEX(Lotteries!C:C,MATCH(C455,Lotteries!A:A,0))*D455</f>
        <v>50</v>
      </c>
      <c r="F455" s="3">
        <f>D455*INDEX(Lotteries!G:G,MATCH(C455,Lotteries!A:A,0))</f>
        <v>0.14218009478672985</v>
      </c>
      <c r="G455" s="3">
        <f>INDEX(Lotteries!F:F,MATCH(C455,Lotteries!A:A,0))*D455/INDEX(Lotteries!D:D,MATCH(C455,Lotteries!A:A,0))*(INDEX(Lotteries!D:D,MATCH(C455,Lotteries!A:A,0))-D455)/INDEX(Lotteries!D:D,MATCH(C455,Lotteries!A:A,0))*(INDEX(Lotteries!D:D,MATCH(C455,Lotteries!A:A,0))-INDEX(Lotteries!F:F,MATCH(C455,Lotteries!A:A,0)))/(INDEX(Lotteries!D:D,MATCH(C455,Lotteries!A:A,0))-1)</f>
        <v>0.13550587684142637</v>
      </c>
      <c r="H455" s="7">
        <f>INDEX(Persons!A:A,MATCH(Sales!I455,Persons!B:B,0))</f>
        <v>35</v>
      </c>
      <c r="I455" s="2" t="str">
        <f t="shared" ref="I455:I479" si="0">MID(L455,FIND("""name"": """,L455)+9,FIND("""",L455,FIND("""name"": """,L455)+9)-FIND("""name"": """,L455)-9)</f>
        <v>Mathias</v>
      </c>
      <c r="J455">
        <f t="shared" ref="J455:J479" si="1">VALUE(MID(L455,FIND("""tickets"": ",L455)+11,MIN(IFERROR(FIND(",",L455,FIND("""tickets"": ",L455)),100),FIND("}",L455,FIND("""tickets"": ",L455)))-FIND("""tickets"": ",L455)-11))</f>
        <v>5</v>
      </c>
      <c r="L455" t="s">
        <v>133</v>
      </c>
    </row>
    <row r="456" spans="1:12" x14ac:dyDescent="0.3">
      <c r="A456">
        <v>455</v>
      </c>
      <c r="B456">
        <v>48</v>
      </c>
      <c r="C456" s="11">
        <v>25</v>
      </c>
      <c r="D456">
        <v>5</v>
      </c>
      <c r="E456" s="7">
        <f>INDEX(Lotteries!C:C,MATCH(C456,Lotteries!A:A,0))*D456</f>
        <v>50</v>
      </c>
      <c r="F456" s="3">
        <f>D456*INDEX(Lotteries!G:G,MATCH(C456,Lotteries!A:A,0))</f>
        <v>0.14218009478672985</v>
      </c>
      <c r="G456" s="3">
        <f>INDEX(Lotteries!F:F,MATCH(C456,Lotteries!A:A,0))*D456/INDEX(Lotteries!D:D,MATCH(C456,Lotteries!A:A,0))*(INDEX(Lotteries!D:D,MATCH(C456,Lotteries!A:A,0))-D456)/INDEX(Lotteries!D:D,MATCH(C456,Lotteries!A:A,0))*(INDEX(Lotteries!D:D,MATCH(C456,Lotteries!A:A,0))-INDEX(Lotteries!F:F,MATCH(C456,Lotteries!A:A,0)))/(INDEX(Lotteries!D:D,MATCH(C456,Lotteries!A:A,0))-1)</f>
        <v>0.13550587684142637</v>
      </c>
      <c r="H456" s="7">
        <f>INDEX(Persons!A:A,MATCH(Sales!I456,Persons!B:B,0))</f>
        <v>48</v>
      </c>
      <c r="I456" s="2" t="str">
        <f t="shared" si="0"/>
        <v>Ivan</v>
      </c>
      <c r="J456">
        <f t="shared" si="1"/>
        <v>5</v>
      </c>
      <c r="L456" t="s">
        <v>162</v>
      </c>
    </row>
    <row r="457" spans="1:12" x14ac:dyDescent="0.3">
      <c r="A457">
        <v>456</v>
      </c>
      <c r="B457">
        <v>52</v>
      </c>
      <c r="C457" s="11">
        <v>25</v>
      </c>
      <c r="D457">
        <v>13</v>
      </c>
      <c r="E457" s="7">
        <f>INDEX(Lotteries!C:C,MATCH(C457,Lotteries!A:A,0))*D457</f>
        <v>130</v>
      </c>
      <c r="F457" s="3">
        <f>D457*INDEX(Lotteries!G:G,MATCH(C457,Lotteries!A:A,0))</f>
        <v>0.36966824644549762</v>
      </c>
      <c r="G457" s="3">
        <f>INDEX(Lotteries!F:F,MATCH(C457,Lotteries!A:A,0))*D457/INDEX(Lotteries!D:D,MATCH(C457,Lotteries!A:A,0))*(INDEX(Lotteries!D:D,MATCH(C457,Lotteries!A:A,0))-D457)/INDEX(Lotteries!D:D,MATCH(C457,Lotteries!A:A,0))*(INDEX(Lotteries!D:D,MATCH(C457,Lotteries!A:A,0))-INDEX(Lotteries!F:F,MATCH(C457,Lotteries!A:A,0)))/(INDEX(Lotteries!D:D,MATCH(C457,Lotteries!A:A,0))-1)</f>
        <v>0.33863313299983627</v>
      </c>
      <c r="H457" s="7">
        <f>INDEX(Persons!A:A,MATCH(Sales!I457,Persons!B:B,0))</f>
        <v>52</v>
      </c>
      <c r="I457" s="2" t="str">
        <f t="shared" si="0"/>
        <v>Anders Sz</v>
      </c>
      <c r="J457">
        <f t="shared" si="1"/>
        <v>13</v>
      </c>
      <c r="L457" t="s">
        <v>163</v>
      </c>
    </row>
    <row r="458" spans="1:12" x14ac:dyDescent="0.3">
      <c r="A458">
        <v>457</v>
      </c>
      <c r="B458">
        <v>53</v>
      </c>
      <c r="C458" s="11">
        <v>25</v>
      </c>
      <c r="D458">
        <v>5</v>
      </c>
      <c r="E458" s="7">
        <f>INDEX(Lotteries!C:C,MATCH(C458,Lotteries!A:A,0))*D458</f>
        <v>50</v>
      </c>
      <c r="F458" s="3">
        <f>D458*INDEX(Lotteries!G:G,MATCH(C458,Lotteries!A:A,0))</f>
        <v>0.14218009478672985</v>
      </c>
      <c r="G458" s="3">
        <f>INDEX(Lotteries!F:F,MATCH(C458,Lotteries!A:A,0))*D458/INDEX(Lotteries!D:D,MATCH(C458,Lotteries!A:A,0))*(INDEX(Lotteries!D:D,MATCH(C458,Lotteries!A:A,0))-D458)/INDEX(Lotteries!D:D,MATCH(C458,Lotteries!A:A,0))*(INDEX(Lotteries!D:D,MATCH(C458,Lotteries!A:A,0))-INDEX(Lotteries!F:F,MATCH(C458,Lotteries!A:A,0)))/(INDEX(Lotteries!D:D,MATCH(C458,Lotteries!A:A,0))-1)</f>
        <v>0.13550587684142637</v>
      </c>
      <c r="H458" s="7">
        <f>INDEX(Persons!A:A,MATCH(Sales!I458,Persons!B:B,0))</f>
        <v>53</v>
      </c>
      <c r="I458" s="2" t="str">
        <f t="shared" si="0"/>
        <v>Sondre</v>
      </c>
      <c r="J458">
        <f t="shared" si="1"/>
        <v>5</v>
      </c>
      <c r="L458" t="s">
        <v>164</v>
      </c>
    </row>
    <row r="459" spans="1:12" x14ac:dyDescent="0.3">
      <c r="A459">
        <v>458</v>
      </c>
      <c r="B459">
        <v>14</v>
      </c>
      <c r="C459" s="11">
        <v>25</v>
      </c>
      <c r="D459">
        <v>5</v>
      </c>
      <c r="E459" s="7">
        <f>INDEX(Lotteries!C:C,MATCH(C459,Lotteries!A:A,0))*D459</f>
        <v>50</v>
      </c>
      <c r="F459" s="3">
        <f>D459*INDEX(Lotteries!G:G,MATCH(C459,Lotteries!A:A,0))</f>
        <v>0.14218009478672985</v>
      </c>
      <c r="G459" s="3">
        <f>INDEX(Lotteries!F:F,MATCH(C459,Lotteries!A:A,0))*D459/INDEX(Lotteries!D:D,MATCH(C459,Lotteries!A:A,0))*(INDEX(Lotteries!D:D,MATCH(C459,Lotteries!A:A,0))-D459)/INDEX(Lotteries!D:D,MATCH(C459,Lotteries!A:A,0))*(INDEX(Lotteries!D:D,MATCH(C459,Lotteries!A:A,0))-INDEX(Lotteries!F:F,MATCH(C459,Lotteries!A:A,0)))/(INDEX(Lotteries!D:D,MATCH(C459,Lotteries!A:A,0))-1)</f>
        <v>0.13550587684142637</v>
      </c>
      <c r="H459" s="7">
        <f>INDEX(Persons!A:A,MATCH(Sales!I459,Persons!B:B,0))</f>
        <v>14</v>
      </c>
      <c r="I459" s="2" t="str">
        <f t="shared" si="0"/>
        <v>Truls</v>
      </c>
      <c r="J459">
        <f t="shared" si="1"/>
        <v>5</v>
      </c>
      <c r="L459" t="s">
        <v>165</v>
      </c>
    </row>
    <row r="460" spans="1:12" x14ac:dyDescent="0.3">
      <c r="A460">
        <v>459</v>
      </c>
      <c r="B460">
        <v>33</v>
      </c>
      <c r="C460" s="11">
        <v>25</v>
      </c>
      <c r="D460">
        <v>10</v>
      </c>
      <c r="E460" s="7">
        <f>INDEX(Lotteries!C:C,MATCH(C460,Lotteries!A:A,0))*D460</f>
        <v>100</v>
      </c>
      <c r="F460" s="3">
        <f>D460*INDEX(Lotteries!G:G,MATCH(C460,Lotteries!A:A,0))</f>
        <v>0.28436018957345971</v>
      </c>
      <c r="G460" s="3">
        <f>INDEX(Lotteries!F:F,MATCH(C460,Lotteries!A:A,0))*D460/INDEX(Lotteries!D:D,MATCH(C460,Lotteries!A:A,0))*(INDEX(Lotteries!D:D,MATCH(C460,Lotteries!A:A,0))-D460)/INDEX(Lotteries!D:D,MATCH(C460,Lotteries!A:A,0))*(INDEX(Lotteries!D:D,MATCH(C460,Lotteries!A:A,0))-INDEX(Lotteries!F:F,MATCH(C460,Lotteries!A:A,0)))/(INDEX(Lotteries!D:D,MATCH(C460,Lotteries!A:A,0))-1)</f>
        <v>0.26443379849637566</v>
      </c>
      <c r="H460" s="7">
        <f>INDEX(Persons!A:A,MATCH(Sales!I460,Persons!B:B,0))</f>
        <v>33</v>
      </c>
      <c r="I460" s="2" t="str">
        <f t="shared" si="0"/>
        <v>Anders A</v>
      </c>
      <c r="J460">
        <f t="shared" si="1"/>
        <v>10</v>
      </c>
      <c r="L460" t="s">
        <v>144</v>
      </c>
    </row>
    <row r="461" spans="1:12" x14ac:dyDescent="0.3">
      <c r="A461">
        <v>460</v>
      </c>
      <c r="B461">
        <v>37</v>
      </c>
      <c r="C461" s="11">
        <v>25</v>
      </c>
      <c r="D461">
        <v>10</v>
      </c>
      <c r="E461" s="7">
        <f>INDEX(Lotteries!C:C,MATCH(C461,Lotteries!A:A,0))*D461</f>
        <v>100</v>
      </c>
      <c r="F461" s="3">
        <f>D461*INDEX(Lotteries!G:G,MATCH(C461,Lotteries!A:A,0))</f>
        <v>0.28436018957345971</v>
      </c>
      <c r="G461" s="3">
        <f>INDEX(Lotteries!F:F,MATCH(C461,Lotteries!A:A,0))*D461/INDEX(Lotteries!D:D,MATCH(C461,Lotteries!A:A,0))*(INDEX(Lotteries!D:D,MATCH(C461,Lotteries!A:A,0))-D461)/INDEX(Lotteries!D:D,MATCH(C461,Lotteries!A:A,0))*(INDEX(Lotteries!D:D,MATCH(C461,Lotteries!A:A,0))-INDEX(Lotteries!F:F,MATCH(C461,Lotteries!A:A,0)))/(INDEX(Lotteries!D:D,MATCH(C461,Lotteries!A:A,0))-1)</f>
        <v>0.26443379849637566</v>
      </c>
      <c r="H461" s="7">
        <f>INDEX(Persons!A:A,MATCH(Sales!I461,Persons!B:B,0))</f>
        <v>37</v>
      </c>
      <c r="I461" s="2" t="str">
        <f t="shared" si="0"/>
        <v>Ruben O</v>
      </c>
      <c r="J461">
        <f t="shared" si="1"/>
        <v>10</v>
      </c>
      <c r="L461" t="s">
        <v>166</v>
      </c>
    </row>
    <row r="462" spans="1:12" x14ac:dyDescent="0.3">
      <c r="A462">
        <v>461</v>
      </c>
      <c r="B462">
        <v>29</v>
      </c>
      <c r="C462" s="11">
        <v>25</v>
      </c>
      <c r="D462">
        <v>10</v>
      </c>
      <c r="E462" s="7">
        <f>INDEX(Lotteries!C:C,MATCH(C462,Lotteries!A:A,0))*D462</f>
        <v>100</v>
      </c>
      <c r="F462" s="3">
        <f>D462*INDEX(Lotteries!G:G,MATCH(C462,Lotteries!A:A,0))</f>
        <v>0.28436018957345971</v>
      </c>
      <c r="G462" s="3">
        <f>INDEX(Lotteries!F:F,MATCH(C462,Lotteries!A:A,0))*D462/INDEX(Lotteries!D:D,MATCH(C462,Lotteries!A:A,0))*(INDEX(Lotteries!D:D,MATCH(C462,Lotteries!A:A,0))-D462)/INDEX(Lotteries!D:D,MATCH(C462,Lotteries!A:A,0))*(INDEX(Lotteries!D:D,MATCH(C462,Lotteries!A:A,0))-INDEX(Lotteries!F:F,MATCH(C462,Lotteries!A:A,0)))/(INDEX(Lotteries!D:D,MATCH(C462,Lotteries!A:A,0))-1)</f>
        <v>0.26443379849637566</v>
      </c>
      <c r="H462" s="7">
        <f>INDEX(Persons!A:A,MATCH(Sales!I462,Persons!B:B,0))</f>
        <v>29</v>
      </c>
      <c r="I462" s="2" t="str">
        <f t="shared" si="0"/>
        <v>Magnus B</v>
      </c>
      <c r="J462">
        <f t="shared" si="1"/>
        <v>10</v>
      </c>
      <c r="L462" t="s">
        <v>167</v>
      </c>
    </row>
    <row r="463" spans="1:12" x14ac:dyDescent="0.3">
      <c r="A463">
        <v>462</v>
      </c>
      <c r="B463">
        <v>52</v>
      </c>
      <c r="C463" s="11">
        <v>25</v>
      </c>
      <c r="D463">
        <v>14</v>
      </c>
      <c r="E463" s="7">
        <f>INDEX(Lotteries!C:C,MATCH(C463,Lotteries!A:A,0))*D463</f>
        <v>140</v>
      </c>
      <c r="F463" s="3">
        <f>D463*INDEX(Lotteries!G:G,MATCH(C463,Lotteries!A:A,0))</f>
        <v>0.3981042654028436</v>
      </c>
      <c r="G463" s="3">
        <f>INDEX(Lotteries!F:F,MATCH(C463,Lotteries!A:A,0))*D463/INDEX(Lotteries!D:D,MATCH(C463,Lotteries!A:A,0))*(INDEX(Lotteries!D:D,MATCH(C463,Lotteries!A:A,0))-D463)/INDEX(Lotteries!D:D,MATCH(C463,Lotteries!A:A,0))*(INDEX(Lotteries!D:D,MATCH(C463,Lotteries!A:A,0))-INDEX(Lotteries!F:F,MATCH(C463,Lotteries!A:A,0)))/(INDEX(Lotteries!D:D,MATCH(C463,Lotteries!A:A,0))-1)</f>
        <v>0.36284000808607175</v>
      </c>
      <c r="H463" s="7">
        <f>INDEX(Persons!A:A,MATCH(Sales!I463,Persons!B:B,0))</f>
        <v>52</v>
      </c>
      <c r="I463" s="2" t="str">
        <f t="shared" si="0"/>
        <v>Anders Sz</v>
      </c>
      <c r="J463">
        <f t="shared" si="1"/>
        <v>14</v>
      </c>
      <c r="L463" t="s">
        <v>168</v>
      </c>
    </row>
    <row r="464" spans="1:12" x14ac:dyDescent="0.3">
      <c r="A464">
        <v>463</v>
      </c>
      <c r="B464">
        <v>58</v>
      </c>
      <c r="C464" s="11">
        <v>25</v>
      </c>
      <c r="D464">
        <v>10</v>
      </c>
      <c r="E464" s="7">
        <f>INDEX(Lotteries!C:C,MATCH(C464,Lotteries!A:A,0))*D464</f>
        <v>100</v>
      </c>
      <c r="F464" s="3">
        <f>D464*INDEX(Lotteries!G:G,MATCH(C464,Lotteries!A:A,0))</f>
        <v>0.28436018957345971</v>
      </c>
      <c r="G464" s="3">
        <f>INDEX(Lotteries!F:F,MATCH(C464,Lotteries!A:A,0))*D464/INDEX(Lotteries!D:D,MATCH(C464,Lotteries!A:A,0))*(INDEX(Lotteries!D:D,MATCH(C464,Lotteries!A:A,0))-D464)/INDEX(Lotteries!D:D,MATCH(C464,Lotteries!A:A,0))*(INDEX(Lotteries!D:D,MATCH(C464,Lotteries!A:A,0))-INDEX(Lotteries!F:F,MATCH(C464,Lotteries!A:A,0)))/(INDEX(Lotteries!D:D,MATCH(C464,Lotteries!A:A,0))-1)</f>
        <v>0.26443379849637566</v>
      </c>
      <c r="H464" s="7">
        <f>INDEX(Persons!A:A,MATCH(Sales!I464,Persons!B:B,0))</f>
        <v>58</v>
      </c>
      <c r="I464" s="2" t="str">
        <f t="shared" si="0"/>
        <v>Eli</v>
      </c>
      <c r="J464">
        <f t="shared" si="1"/>
        <v>10</v>
      </c>
      <c r="L464" t="s">
        <v>169</v>
      </c>
    </row>
    <row r="465" spans="1:12" x14ac:dyDescent="0.3">
      <c r="A465">
        <v>464</v>
      </c>
      <c r="B465">
        <v>46</v>
      </c>
      <c r="C465" s="11">
        <v>25</v>
      </c>
      <c r="D465">
        <v>6</v>
      </c>
      <c r="E465" s="7">
        <f>INDEX(Lotteries!C:C,MATCH(C465,Lotteries!A:A,0))*D465</f>
        <v>60</v>
      </c>
      <c r="F465" s="3">
        <f>D465*INDEX(Lotteries!G:G,MATCH(C465,Lotteries!A:A,0))</f>
        <v>0.17061611374407581</v>
      </c>
      <c r="G465" s="3">
        <f>INDEX(Lotteries!F:F,MATCH(C465,Lotteries!A:A,0))*D465/INDEX(Lotteries!D:D,MATCH(C465,Lotteries!A:A,0))*(INDEX(Lotteries!D:D,MATCH(C465,Lotteries!A:A,0))-D465)/INDEX(Lotteries!D:D,MATCH(C465,Lotteries!A:A,0))*(INDEX(Lotteries!D:D,MATCH(C465,Lotteries!A:A,0))-INDEX(Lotteries!F:F,MATCH(C465,Lotteries!A:A,0)))/(INDEX(Lotteries!D:D,MATCH(C465,Lotteries!A:A,0))-1)</f>
        <v>0.16181769758733439</v>
      </c>
      <c r="H465" s="7">
        <f>INDEX(Persons!A:A,MATCH(Sales!I465,Persons!B:B,0))</f>
        <v>46</v>
      </c>
      <c r="I465" s="2" t="str">
        <f t="shared" si="0"/>
        <v>Ciaran</v>
      </c>
      <c r="J465">
        <f t="shared" si="1"/>
        <v>6</v>
      </c>
      <c r="L465" t="s">
        <v>170</v>
      </c>
    </row>
    <row r="466" spans="1:12" x14ac:dyDescent="0.3">
      <c r="A466">
        <v>465</v>
      </c>
      <c r="B466">
        <v>32</v>
      </c>
      <c r="C466" s="11">
        <v>25</v>
      </c>
      <c r="D466">
        <v>20</v>
      </c>
      <c r="E466" s="7">
        <f>INDEX(Lotteries!C:C,MATCH(C466,Lotteries!A:A,0))*D466</f>
        <v>200</v>
      </c>
      <c r="F466" s="3">
        <f>D466*INDEX(Lotteries!G:G,MATCH(C466,Lotteries!A:A,0))</f>
        <v>0.56872037914691942</v>
      </c>
      <c r="G466" s="3">
        <f>INDEX(Lotteries!F:F,MATCH(C466,Lotteries!A:A,0))*D466/INDEX(Lotteries!D:D,MATCH(C466,Lotteries!A:A,0))*(INDEX(Lotteries!D:D,MATCH(C466,Lotteries!A:A,0))-D466)/INDEX(Lotteries!D:D,MATCH(C466,Lotteries!A:A,0))*(INDEX(Lotteries!D:D,MATCH(C466,Lotteries!A:A,0))-INDEX(Lotteries!F:F,MATCH(C466,Lotteries!A:A,0)))/(INDEX(Lotteries!D:D,MATCH(C466,Lotteries!A:A,0))-1)</f>
        <v>0.50255577624684333</v>
      </c>
      <c r="H466" s="7">
        <f>INDEX(Persons!A:A,MATCH(Sales!I466,Persons!B:B,0))</f>
        <v>32</v>
      </c>
      <c r="I466" s="2" t="str">
        <f t="shared" si="0"/>
        <v>Martin</v>
      </c>
      <c r="J466">
        <f t="shared" si="1"/>
        <v>20</v>
      </c>
      <c r="L466" t="s">
        <v>171</v>
      </c>
    </row>
    <row r="467" spans="1:12" x14ac:dyDescent="0.3">
      <c r="A467">
        <v>466</v>
      </c>
      <c r="B467">
        <v>47</v>
      </c>
      <c r="C467" s="11">
        <v>25</v>
      </c>
      <c r="D467">
        <v>15</v>
      </c>
      <c r="E467" s="7">
        <f>INDEX(Lotteries!C:C,MATCH(C467,Lotteries!A:A,0))*D467</f>
        <v>150</v>
      </c>
      <c r="F467" s="3">
        <f>D467*INDEX(Lotteries!G:G,MATCH(C467,Lotteries!A:A,0))</f>
        <v>0.42654028436018954</v>
      </c>
      <c r="G467" s="3">
        <f>INDEX(Lotteries!F:F,MATCH(C467,Lotteries!A:A,0))*D467/INDEX(Lotteries!D:D,MATCH(C467,Lotteries!A:A,0))*(INDEX(Lotteries!D:D,MATCH(C467,Lotteries!A:A,0))-D467)/INDEX(Lotteries!D:D,MATCH(C467,Lotteries!A:A,0))*(INDEX(Lotteries!D:D,MATCH(C467,Lotteries!A:A,0))-INDEX(Lotteries!F:F,MATCH(C467,Lotteries!A:A,0)))/(INDEX(Lotteries!D:D,MATCH(C467,Lotteries!A:A,0))-1)</f>
        <v>0.38678376496484806</v>
      </c>
      <c r="H467" s="7">
        <f>INDEX(Persons!A:A,MATCH(Sales!I467,Persons!B:B,0))</f>
        <v>47</v>
      </c>
      <c r="I467" s="2" t="str">
        <f t="shared" si="0"/>
        <v>Kenneth</v>
      </c>
      <c r="J467">
        <f t="shared" si="1"/>
        <v>15</v>
      </c>
      <c r="L467" t="s">
        <v>172</v>
      </c>
    </row>
    <row r="468" spans="1:12" x14ac:dyDescent="0.3">
      <c r="A468">
        <v>467</v>
      </c>
      <c r="B468">
        <v>10</v>
      </c>
      <c r="C468" s="11">
        <v>25</v>
      </c>
      <c r="D468">
        <v>10</v>
      </c>
      <c r="E468" s="7">
        <f>INDEX(Lotteries!C:C,MATCH(C468,Lotteries!A:A,0))*D468</f>
        <v>100</v>
      </c>
      <c r="F468" s="3">
        <f>D468*INDEX(Lotteries!G:G,MATCH(C468,Lotteries!A:A,0))</f>
        <v>0.28436018957345971</v>
      </c>
      <c r="G468" s="3">
        <f>INDEX(Lotteries!F:F,MATCH(C468,Lotteries!A:A,0))*D468/INDEX(Lotteries!D:D,MATCH(C468,Lotteries!A:A,0))*(INDEX(Lotteries!D:D,MATCH(C468,Lotteries!A:A,0))-D468)/INDEX(Lotteries!D:D,MATCH(C468,Lotteries!A:A,0))*(INDEX(Lotteries!D:D,MATCH(C468,Lotteries!A:A,0))-INDEX(Lotteries!F:F,MATCH(C468,Lotteries!A:A,0)))/(INDEX(Lotteries!D:D,MATCH(C468,Lotteries!A:A,0))-1)</f>
        <v>0.26443379849637566</v>
      </c>
      <c r="H468" s="7">
        <f>INDEX(Persons!A:A,MATCH(Sales!I468,Persons!B:B,0))</f>
        <v>10</v>
      </c>
      <c r="I468" s="2" t="str">
        <f t="shared" si="0"/>
        <v>Odd</v>
      </c>
      <c r="J468">
        <f t="shared" si="1"/>
        <v>10</v>
      </c>
      <c r="L468" t="s">
        <v>173</v>
      </c>
    </row>
    <row r="469" spans="1:12" x14ac:dyDescent="0.3">
      <c r="A469">
        <v>468</v>
      </c>
      <c r="B469">
        <v>52</v>
      </c>
      <c r="C469" s="11">
        <v>25</v>
      </c>
      <c r="D469">
        <v>14</v>
      </c>
      <c r="E469" s="7">
        <f>INDEX(Lotteries!C:C,MATCH(C469,Lotteries!A:A,0))*D469</f>
        <v>140</v>
      </c>
      <c r="F469" s="3">
        <f>D469*INDEX(Lotteries!G:G,MATCH(C469,Lotteries!A:A,0))</f>
        <v>0.3981042654028436</v>
      </c>
      <c r="G469" s="3">
        <f>INDEX(Lotteries!F:F,MATCH(C469,Lotteries!A:A,0))*D469/INDEX(Lotteries!D:D,MATCH(C469,Lotteries!A:A,0))*(INDEX(Lotteries!D:D,MATCH(C469,Lotteries!A:A,0))-D469)/INDEX(Lotteries!D:D,MATCH(C469,Lotteries!A:A,0))*(INDEX(Lotteries!D:D,MATCH(C469,Lotteries!A:A,0))-INDEX(Lotteries!F:F,MATCH(C469,Lotteries!A:A,0)))/(INDEX(Lotteries!D:D,MATCH(C469,Lotteries!A:A,0))-1)</f>
        <v>0.36284000808607175</v>
      </c>
      <c r="H469" s="7">
        <f>INDEX(Persons!A:A,MATCH(Sales!I469,Persons!B:B,0))</f>
        <v>52</v>
      </c>
      <c r="I469" s="2" t="str">
        <f t="shared" si="0"/>
        <v>Anders Sz</v>
      </c>
      <c r="J469">
        <f t="shared" si="1"/>
        <v>14</v>
      </c>
      <c r="L469" t="s">
        <v>174</v>
      </c>
    </row>
    <row r="470" spans="1:12" x14ac:dyDescent="0.3">
      <c r="A470">
        <v>469</v>
      </c>
      <c r="B470">
        <v>34</v>
      </c>
      <c r="C470" s="11">
        <v>25</v>
      </c>
      <c r="D470">
        <v>6</v>
      </c>
      <c r="E470" s="7">
        <f>INDEX(Lotteries!C:C,MATCH(C470,Lotteries!A:A,0))*D470</f>
        <v>60</v>
      </c>
      <c r="F470" s="3">
        <f>D470*INDEX(Lotteries!G:G,MATCH(C470,Lotteries!A:A,0))</f>
        <v>0.17061611374407581</v>
      </c>
      <c r="G470" s="3">
        <f>INDEX(Lotteries!F:F,MATCH(C470,Lotteries!A:A,0))*D470/INDEX(Lotteries!D:D,MATCH(C470,Lotteries!A:A,0))*(INDEX(Lotteries!D:D,MATCH(C470,Lotteries!A:A,0))-D470)/INDEX(Lotteries!D:D,MATCH(C470,Lotteries!A:A,0))*(INDEX(Lotteries!D:D,MATCH(C470,Lotteries!A:A,0))-INDEX(Lotteries!F:F,MATCH(C470,Lotteries!A:A,0)))/(INDEX(Lotteries!D:D,MATCH(C470,Lotteries!A:A,0))-1)</f>
        <v>0.16181769758733439</v>
      </c>
      <c r="H470" s="7">
        <f>INDEX(Persons!A:A,MATCH(Sales!I470,Persons!B:B,0))</f>
        <v>34</v>
      </c>
      <c r="I470" s="2" t="str">
        <f t="shared" si="0"/>
        <v>Asgeir</v>
      </c>
      <c r="J470">
        <f t="shared" si="1"/>
        <v>6</v>
      </c>
      <c r="L470" t="s">
        <v>175</v>
      </c>
    </row>
    <row r="471" spans="1:12" x14ac:dyDescent="0.3">
      <c r="A471">
        <v>470</v>
      </c>
      <c r="B471">
        <v>36</v>
      </c>
      <c r="C471" s="11">
        <v>25</v>
      </c>
      <c r="D471">
        <v>5</v>
      </c>
      <c r="E471" s="7">
        <f>INDEX(Lotteries!C:C,MATCH(C471,Lotteries!A:A,0))*D471</f>
        <v>50</v>
      </c>
      <c r="F471" s="3">
        <f>D471*INDEX(Lotteries!G:G,MATCH(C471,Lotteries!A:A,0))</f>
        <v>0.14218009478672985</v>
      </c>
      <c r="G471" s="3">
        <f>INDEX(Lotteries!F:F,MATCH(C471,Lotteries!A:A,0))*D471/INDEX(Lotteries!D:D,MATCH(C471,Lotteries!A:A,0))*(INDEX(Lotteries!D:D,MATCH(C471,Lotteries!A:A,0))-D471)/INDEX(Lotteries!D:D,MATCH(C471,Lotteries!A:A,0))*(INDEX(Lotteries!D:D,MATCH(C471,Lotteries!A:A,0))-INDEX(Lotteries!F:F,MATCH(C471,Lotteries!A:A,0)))/(INDEX(Lotteries!D:D,MATCH(C471,Lotteries!A:A,0))-1)</f>
        <v>0.13550587684142637</v>
      </c>
      <c r="H471" s="7">
        <f>INDEX(Persons!A:A,MATCH(Sales!I471,Persons!B:B,0))</f>
        <v>36</v>
      </c>
      <c r="I471" s="2" t="str">
        <f t="shared" si="0"/>
        <v>Ingvild</v>
      </c>
      <c r="J471">
        <f t="shared" si="1"/>
        <v>5</v>
      </c>
      <c r="L471" t="s">
        <v>176</v>
      </c>
    </row>
    <row r="472" spans="1:12" x14ac:dyDescent="0.3">
      <c r="A472">
        <v>471</v>
      </c>
      <c r="B472">
        <v>45</v>
      </c>
      <c r="C472" s="11">
        <v>25</v>
      </c>
      <c r="D472">
        <v>10</v>
      </c>
      <c r="E472" s="7">
        <f>INDEX(Lotteries!C:C,MATCH(C472,Lotteries!A:A,0))*D472</f>
        <v>100</v>
      </c>
      <c r="F472" s="3">
        <f>D472*INDEX(Lotteries!G:G,MATCH(C472,Lotteries!A:A,0))</f>
        <v>0.28436018957345971</v>
      </c>
      <c r="G472" s="3">
        <f>INDEX(Lotteries!F:F,MATCH(C472,Lotteries!A:A,0))*D472/INDEX(Lotteries!D:D,MATCH(C472,Lotteries!A:A,0))*(INDEX(Lotteries!D:D,MATCH(C472,Lotteries!A:A,0))-D472)/INDEX(Lotteries!D:D,MATCH(C472,Lotteries!A:A,0))*(INDEX(Lotteries!D:D,MATCH(C472,Lotteries!A:A,0))-INDEX(Lotteries!F:F,MATCH(C472,Lotteries!A:A,0)))/(INDEX(Lotteries!D:D,MATCH(C472,Lotteries!A:A,0))-1)</f>
        <v>0.26443379849637566</v>
      </c>
      <c r="H472" s="7">
        <f>INDEX(Persons!A:A,MATCH(Sales!I472,Persons!B:B,0))</f>
        <v>45</v>
      </c>
      <c r="I472" s="2" t="str">
        <f t="shared" si="0"/>
        <v>Fridtjof</v>
      </c>
      <c r="J472">
        <f t="shared" si="1"/>
        <v>10</v>
      </c>
      <c r="L472" t="s">
        <v>177</v>
      </c>
    </row>
    <row r="473" spans="1:12" x14ac:dyDescent="0.3">
      <c r="A473">
        <v>472</v>
      </c>
      <c r="B473">
        <v>24</v>
      </c>
      <c r="C473" s="11">
        <v>25</v>
      </c>
      <c r="D473">
        <v>5</v>
      </c>
      <c r="E473" s="7">
        <f>INDEX(Lotteries!C:C,MATCH(C473,Lotteries!A:A,0))*D473</f>
        <v>50</v>
      </c>
      <c r="F473" s="3">
        <f>D473*INDEX(Lotteries!G:G,MATCH(C473,Lotteries!A:A,0))</f>
        <v>0.14218009478672985</v>
      </c>
      <c r="G473" s="3">
        <f>INDEX(Lotteries!F:F,MATCH(C473,Lotteries!A:A,0))*D473/INDEX(Lotteries!D:D,MATCH(C473,Lotteries!A:A,0))*(INDEX(Lotteries!D:D,MATCH(C473,Lotteries!A:A,0))-D473)/INDEX(Lotteries!D:D,MATCH(C473,Lotteries!A:A,0))*(INDEX(Lotteries!D:D,MATCH(C473,Lotteries!A:A,0))-INDEX(Lotteries!F:F,MATCH(C473,Lotteries!A:A,0)))/(INDEX(Lotteries!D:D,MATCH(C473,Lotteries!A:A,0))-1)</f>
        <v>0.13550587684142637</v>
      </c>
      <c r="H473" s="7">
        <f>INDEX(Persons!A:A,MATCH(Sales!I473,Persons!B:B,0))</f>
        <v>24</v>
      </c>
      <c r="I473" s="2" t="str">
        <f t="shared" si="0"/>
        <v>Terje</v>
      </c>
      <c r="J473">
        <f t="shared" si="1"/>
        <v>5</v>
      </c>
      <c r="L473" t="s">
        <v>178</v>
      </c>
    </row>
    <row r="474" spans="1:12" x14ac:dyDescent="0.3">
      <c r="A474">
        <v>473</v>
      </c>
      <c r="B474">
        <v>11</v>
      </c>
      <c r="C474" s="11">
        <v>25</v>
      </c>
      <c r="D474">
        <v>5</v>
      </c>
      <c r="E474" s="7">
        <f>INDEX(Lotteries!C:C,MATCH(C474,Lotteries!A:A,0))*D474</f>
        <v>50</v>
      </c>
      <c r="F474" s="3">
        <f>D474*INDEX(Lotteries!G:G,MATCH(C474,Lotteries!A:A,0))</f>
        <v>0.14218009478672985</v>
      </c>
      <c r="G474" s="3">
        <f>INDEX(Lotteries!F:F,MATCH(C474,Lotteries!A:A,0))*D474/INDEX(Lotteries!D:D,MATCH(C474,Lotteries!A:A,0))*(INDEX(Lotteries!D:D,MATCH(C474,Lotteries!A:A,0))-D474)/INDEX(Lotteries!D:D,MATCH(C474,Lotteries!A:A,0))*(INDEX(Lotteries!D:D,MATCH(C474,Lotteries!A:A,0))-INDEX(Lotteries!F:F,MATCH(C474,Lotteries!A:A,0)))/(INDEX(Lotteries!D:D,MATCH(C474,Lotteries!A:A,0))-1)</f>
        <v>0.13550587684142637</v>
      </c>
      <c r="H474" s="7">
        <f>INDEX(Persons!A:A,MATCH(Sales!I474,Persons!B:B,0))</f>
        <v>11</v>
      </c>
      <c r="I474" s="2" t="str">
        <f t="shared" si="0"/>
        <v>Stein</v>
      </c>
      <c r="J474">
        <f t="shared" si="1"/>
        <v>5</v>
      </c>
      <c r="L474" t="s">
        <v>145</v>
      </c>
    </row>
    <row r="475" spans="1:12" x14ac:dyDescent="0.3">
      <c r="A475">
        <v>474</v>
      </c>
      <c r="B475">
        <v>44</v>
      </c>
      <c r="C475" s="11">
        <v>25</v>
      </c>
      <c r="D475">
        <v>5</v>
      </c>
      <c r="E475" s="7">
        <f>INDEX(Lotteries!C:C,MATCH(C475,Lotteries!A:A,0))*D475</f>
        <v>50</v>
      </c>
      <c r="F475" s="3">
        <f>D475*INDEX(Lotteries!G:G,MATCH(C475,Lotteries!A:A,0))</f>
        <v>0.14218009478672985</v>
      </c>
      <c r="G475" s="3">
        <f>INDEX(Lotteries!F:F,MATCH(C475,Lotteries!A:A,0))*D475/INDEX(Lotteries!D:D,MATCH(C475,Lotteries!A:A,0))*(INDEX(Lotteries!D:D,MATCH(C475,Lotteries!A:A,0))-D475)/INDEX(Lotteries!D:D,MATCH(C475,Lotteries!A:A,0))*(INDEX(Lotteries!D:D,MATCH(C475,Lotteries!A:A,0))-INDEX(Lotteries!F:F,MATCH(C475,Lotteries!A:A,0)))/(INDEX(Lotteries!D:D,MATCH(C475,Lotteries!A:A,0))-1)</f>
        <v>0.13550587684142637</v>
      </c>
      <c r="H475" s="7">
        <f>INDEX(Persons!A:A,MATCH(Sales!I475,Persons!B:B,0))</f>
        <v>44</v>
      </c>
      <c r="I475" s="2" t="str">
        <f t="shared" si="0"/>
        <v>Jan</v>
      </c>
      <c r="J475">
        <f t="shared" si="1"/>
        <v>5</v>
      </c>
      <c r="L475" t="s">
        <v>179</v>
      </c>
    </row>
    <row r="476" spans="1:12" x14ac:dyDescent="0.3">
      <c r="A476">
        <v>475</v>
      </c>
      <c r="B476">
        <v>60</v>
      </c>
      <c r="C476" s="11">
        <v>25</v>
      </c>
      <c r="D476">
        <v>1</v>
      </c>
      <c r="E476" s="7">
        <f>INDEX(Lotteries!C:C,MATCH(C476,Lotteries!A:A,0))*D476</f>
        <v>10</v>
      </c>
      <c r="F476" s="3">
        <f>D476*INDEX(Lotteries!G:G,MATCH(C476,Lotteries!A:A,0))</f>
        <v>2.843601895734597E-2</v>
      </c>
      <c r="G476" s="3">
        <f>INDEX(Lotteries!F:F,MATCH(C476,Lotteries!A:A,0))*D476/INDEX(Lotteries!D:D,MATCH(C476,Lotteries!A:A,0))*(INDEX(Lotteries!D:D,MATCH(C476,Lotteries!A:A,0))-D476)/INDEX(Lotteries!D:D,MATCH(C476,Lotteries!A:A,0))*(INDEX(Lotteries!D:D,MATCH(C476,Lotteries!A:A,0))-INDEX(Lotteries!F:F,MATCH(C476,Lotteries!A:A,0)))/(INDEX(Lotteries!D:D,MATCH(C476,Lotteries!A:A,0))-1)</f>
        <v>2.7627411783203434E-2</v>
      </c>
      <c r="H476" s="7">
        <f>INDEX(Persons!A:A,MATCH(Sales!I476,Persons!B:B,0))</f>
        <v>60</v>
      </c>
      <c r="I476" s="2" t="str">
        <f t="shared" si="0"/>
        <v>Kristin G</v>
      </c>
      <c r="J476">
        <f t="shared" si="1"/>
        <v>1</v>
      </c>
      <c r="L476" t="s">
        <v>181</v>
      </c>
    </row>
    <row r="477" spans="1:12" x14ac:dyDescent="0.3">
      <c r="A477">
        <v>476</v>
      </c>
      <c r="B477">
        <v>15</v>
      </c>
      <c r="C477" s="11">
        <v>25</v>
      </c>
      <c r="D477">
        <v>6</v>
      </c>
      <c r="E477" s="7">
        <f>INDEX(Lotteries!C:C,MATCH(C477,Lotteries!A:A,0))*D477</f>
        <v>60</v>
      </c>
      <c r="F477" s="3">
        <f>D477*INDEX(Lotteries!G:G,MATCH(C477,Lotteries!A:A,0))</f>
        <v>0.17061611374407581</v>
      </c>
      <c r="G477" s="3">
        <f>INDEX(Lotteries!F:F,MATCH(C477,Lotteries!A:A,0))*D477/INDEX(Lotteries!D:D,MATCH(C477,Lotteries!A:A,0))*(INDEX(Lotteries!D:D,MATCH(C477,Lotteries!A:A,0))-D477)/INDEX(Lotteries!D:D,MATCH(C477,Lotteries!A:A,0))*(INDEX(Lotteries!D:D,MATCH(C477,Lotteries!A:A,0))-INDEX(Lotteries!F:F,MATCH(C477,Lotteries!A:A,0)))/(INDEX(Lotteries!D:D,MATCH(C477,Lotteries!A:A,0))-1)</f>
        <v>0.16181769758733439</v>
      </c>
      <c r="H477" s="7">
        <f>INDEX(Persons!A:A,MATCH(Sales!I477,Persons!B:B,0))</f>
        <v>15</v>
      </c>
      <c r="I477" s="2" t="str">
        <f t="shared" si="0"/>
        <v>Yngvar</v>
      </c>
      <c r="J477">
        <f t="shared" si="1"/>
        <v>6</v>
      </c>
      <c r="L477" t="s">
        <v>143</v>
      </c>
    </row>
    <row r="478" spans="1:12" x14ac:dyDescent="0.3">
      <c r="A478">
        <v>477</v>
      </c>
      <c r="B478">
        <v>13</v>
      </c>
      <c r="C478" s="11">
        <v>25</v>
      </c>
      <c r="D478">
        <v>10</v>
      </c>
      <c r="E478" s="7">
        <f>INDEX(Lotteries!C:C,MATCH(C478,Lotteries!A:A,0))*D478</f>
        <v>100</v>
      </c>
      <c r="F478" s="3">
        <f>D478*INDEX(Lotteries!G:G,MATCH(C478,Lotteries!A:A,0))</f>
        <v>0.28436018957345971</v>
      </c>
      <c r="G478" s="3">
        <f>INDEX(Lotteries!F:F,MATCH(C478,Lotteries!A:A,0))*D478/INDEX(Lotteries!D:D,MATCH(C478,Lotteries!A:A,0))*(INDEX(Lotteries!D:D,MATCH(C478,Lotteries!A:A,0))-D478)/INDEX(Lotteries!D:D,MATCH(C478,Lotteries!A:A,0))*(INDEX(Lotteries!D:D,MATCH(C478,Lotteries!A:A,0))-INDEX(Lotteries!F:F,MATCH(C478,Lotteries!A:A,0)))/(INDEX(Lotteries!D:D,MATCH(C478,Lotteries!A:A,0))-1)</f>
        <v>0.26443379849637566</v>
      </c>
      <c r="H478" s="7">
        <f>INDEX(Persons!A:A,MATCH(Sales!I478,Persons!B:B,0))</f>
        <v>13</v>
      </c>
      <c r="I478" s="2" t="str">
        <f t="shared" si="0"/>
        <v>Sven</v>
      </c>
      <c r="J478">
        <f t="shared" si="1"/>
        <v>10</v>
      </c>
      <c r="L478" t="s">
        <v>182</v>
      </c>
    </row>
    <row r="479" spans="1:12" x14ac:dyDescent="0.3">
      <c r="A479">
        <v>478</v>
      </c>
      <c r="B479">
        <v>61</v>
      </c>
      <c r="C479" s="11">
        <v>25</v>
      </c>
      <c r="D479">
        <v>6</v>
      </c>
      <c r="E479" s="7">
        <f>INDEX(Lotteries!C:C,MATCH(C479,Lotteries!A:A,0))*D479</f>
        <v>60</v>
      </c>
      <c r="F479" s="3">
        <f>D479*INDEX(Lotteries!G:G,MATCH(C479,Lotteries!A:A,0))</f>
        <v>0.17061611374407581</v>
      </c>
      <c r="G479" s="3">
        <f>INDEX(Lotteries!F:F,MATCH(C479,Lotteries!A:A,0))*D479/INDEX(Lotteries!D:D,MATCH(C479,Lotteries!A:A,0))*(INDEX(Lotteries!D:D,MATCH(C479,Lotteries!A:A,0))-D479)/INDEX(Lotteries!D:D,MATCH(C479,Lotteries!A:A,0))*(INDEX(Lotteries!D:D,MATCH(C479,Lotteries!A:A,0))-INDEX(Lotteries!F:F,MATCH(C479,Lotteries!A:A,0)))/(INDEX(Lotteries!D:D,MATCH(C479,Lotteries!A:A,0))-1)</f>
        <v>0.16181769758733439</v>
      </c>
      <c r="H479" s="7">
        <f>INDEX(Persons!A:A,MATCH(Sales!I479,Persons!B:B,0))</f>
        <v>61</v>
      </c>
      <c r="I479" s="2" t="str">
        <f t="shared" si="0"/>
        <v>Tone</v>
      </c>
      <c r="J479">
        <f t="shared" si="1"/>
        <v>6</v>
      </c>
      <c r="L479" t="s">
        <v>180</v>
      </c>
    </row>
    <row r="480" spans="1:12" x14ac:dyDescent="0.3">
      <c r="A480">
        <v>479</v>
      </c>
      <c r="B480">
        <v>33</v>
      </c>
      <c r="C480" s="11">
        <v>26</v>
      </c>
      <c r="D480">
        <v>10</v>
      </c>
      <c r="E480" s="7">
        <f>INDEX(Lotteries!C:C,MATCH(C480,Lotteries!A:A,0))*D480</f>
        <v>100</v>
      </c>
      <c r="F480" s="3">
        <f>D480*INDEX(Lotteries!G:G,MATCH(C480,Lotteries!A:A,0))</f>
        <v>0.58823529411764708</v>
      </c>
      <c r="G480" s="3">
        <f>INDEX(Lotteries!F:F,MATCH(C480,Lotteries!A:A,0))*D480/INDEX(Lotteries!D:D,MATCH(C480,Lotteries!A:A,0))*(INDEX(Lotteries!D:D,MATCH(C480,Lotteries!A:A,0))-D480)/INDEX(Lotteries!D:D,MATCH(C480,Lotteries!A:A,0))*(INDEX(Lotteries!D:D,MATCH(C480,Lotteries!A:A,0))-INDEX(Lotteries!F:F,MATCH(C480,Lotteries!A:A,0)))/(INDEX(Lotteries!D:D,MATCH(C480,Lotteries!A:A,0))-1)</f>
        <v>0.51672433679354102</v>
      </c>
      <c r="H480" s="7">
        <f>INDEX(Persons!A:A,MATCH(Sales!I480,Persons!B:B,0))</f>
        <v>33</v>
      </c>
      <c r="I480" s="2" t="str">
        <f t="shared" ref="I480:I498" si="2">MID(L480,FIND("""name"": """,L480)+9,FIND("""",L480,FIND("""name"": """,L480)+9)-FIND("""name"": """,L480)-9)</f>
        <v>Anders A</v>
      </c>
      <c r="J480">
        <f t="shared" ref="J480:J498" si="3">VALUE(MID(L480,FIND("""tickets"": ",L480)+11,MIN(IFERROR(FIND(",",L480,FIND("""tickets"": ",L480)),100),FIND("}",L480,FIND("""tickets"": ",L480)))-FIND("""tickets"": ",L480)-11))</f>
        <v>10</v>
      </c>
      <c r="L480" t="s">
        <v>190</v>
      </c>
    </row>
    <row r="481" spans="1:12" x14ac:dyDescent="0.3">
      <c r="A481">
        <v>480</v>
      </c>
      <c r="B481">
        <v>41</v>
      </c>
      <c r="C481" s="11">
        <v>26</v>
      </c>
      <c r="D481">
        <v>5</v>
      </c>
      <c r="E481" s="7">
        <f>INDEX(Lotteries!C:C,MATCH(C481,Lotteries!A:A,0))*D481</f>
        <v>50</v>
      </c>
      <c r="F481" s="3">
        <f>D481*INDEX(Lotteries!G:G,MATCH(C481,Lotteries!A:A,0))</f>
        <v>0.29411764705882354</v>
      </c>
      <c r="G481" s="3">
        <f>INDEX(Lotteries!F:F,MATCH(C481,Lotteries!A:A,0))*D481/INDEX(Lotteries!D:D,MATCH(C481,Lotteries!A:A,0))*(INDEX(Lotteries!D:D,MATCH(C481,Lotteries!A:A,0))-D481)/INDEX(Lotteries!D:D,MATCH(C481,Lotteries!A:A,0))*(INDEX(Lotteries!D:D,MATCH(C481,Lotteries!A:A,0))-INDEX(Lotteries!F:F,MATCH(C481,Lotteries!A:A,0)))/(INDEX(Lotteries!D:D,MATCH(C481,Lotteries!A:A,0))-1)</f>
        <v>0.26861463539664238</v>
      </c>
      <c r="H481" s="7">
        <f>INDEX(Persons!A:A,MATCH(Sales!I481,Persons!B:B,0))</f>
        <v>41</v>
      </c>
      <c r="I481" s="2" t="str">
        <f t="shared" si="2"/>
        <v>Ruben B</v>
      </c>
      <c r="J481">
        <f t="shared" si="3"/>
        <v>5</v>
      </c>
      <c r="L481" t="s">
        <v>191</v>
      </c>
    </row>
    <row r="482" spans="1:12" x14ac:dyDescent="0.3">
      <c r="A482">
        <v>481</v>
      </c>
      <c r="B482">
        <v>10</v>
      </c>
      <c r="C482" s="11">
        <v>26</v>
      </c>
      <c r="D482">
        <v>10</v>
      </c>
      <c r="E482" s="7">
        <f>INDEX(Lotteries!C:C,MATCH(C482,Lotteries!A:A,0))*D482</f>
        <v>100</v>
      </c>
      <c r="F482" s="3">
        <f>D482*INDEX(Lotteries!G:G,MATCH(C482,Lotteries!A:A,0))</f>
        <v>0.58823529411764708</v>
      </c>
      <c r="G482" s="3">
        <f>INDEX(Lotteries!F:F,MATCH(C482,Lotteries!A:A,0))*D482/INDEX(Lotteries!D:D,MATCH(C482,Lotteries!A:A,0))*(INDEX(Lotteries!D:D,MATCH(C482,Lotteries!A:A,0))-D482)/INDEX(Lotteries!D:D,MATCH(C482,Lotteries!A:A,0))*(INDEX(Lotteries!D:D,MATCH(C482,Lotteries!A:A,0))-INDEX(Lotteries!F:F,MATCH(C482,Lotteries!A:A,0)))/(INDEX(Lotteries!D:D,MATCH(C482,Lotteries!A:A,0))-1)</f>
        <v>0.51672433679354102</v>
      </c>
      <c r="H482" s="7">
        <f>INDEX(Persons!A:A,MATCH(Sales!I482,Persons!B:B,0))</f>
        <v>10</v>
      </c>
      <c r="I482" s="2" t="str">
        <f t="shared" si="2"/>
        <v>Odd</v>
      </c>
      <c r="J482">
        <f t="shared" si="3"/>
        <v>10</v>
      </c>
      <c r="L482" t="s">
        <v>192</v>
      </c>
    </row>
    <row r="483" spans="1:12" x14ac:dyDescent="0.3">
      <c r="A483">
        <v>482</v>
      </c>
      <c r="B483">
        <v>35</v>
      </c>
      <c r="C483" s="11">
        <v>26</v>
      </c>
      <c r="D483">
        <v>5</v>
      </c>
      <c r="E483" s="7">
        <f>INDEX(Lotteries!C:C,MATCH(C483,Lotteries!A:A,0))*D483</f>
        <v>50</v>
      </c>
      <c r="F483" s="3">
        <f>D483*INDEX(Lotteries!G:G,MATCH(C483,Lotteries!A:A,0))</f>
        <v>0.29411764705882354</v>
      </c>
      <c r="G483" s="3">
        <f>INDEX(Lotteries!F:F,MATCH(C483,Lotteries!A:A,0))*D483/INDEX(Lotteries!D:D,MATCH(C483,Lotteries!A:A,0))*(INDEX(Lotteries!D:D,MATCH(C483,Lotteries!A:A,0))-D483)/INDEX(Lotteries!D:D,MATCH(C483,Lotteries!A:A,0))*(INDEX(Lotteries!D:D,MATCH(C483,Lotteries!A:A,0))-INDEX(Lotteries!F:F,MATCH(C483,Lotteries!A:A,0)))/(INDEX(Lotteries!D:D,MATCH(C483,Lotteries!A:A,0))-1)</f>
        <v>0.26861463539664238</v>
      </c>
      <c r="H483" s="7">
        <f>INDEX(Persons!A:A,MATCH(Sales!I483,Persons!B:B,0))</f>
        <v>35</v>
      </c>
      <c r="I483" s="2" t="str">
        <f t="shared" si="2"/>
        <v>Mathias</v>
      </c>
      <c r="J483">
        <f t="shared" si="3"/>
        <v>5</v>
      </c>
      <c r="L483" t="s">
        <v>133</v>
      </c>
    </row>
    <row r="484" spans="1:12" x14ac:dyDescent="0.3">
      <c r="A484">
        <v>483</v>
      </c>
      <c r="B484">
        <v>46</v>
      </c>
      <c r="C484" s="11">
        <v>26</v>
      </c>
      <c r="D484">
        <v>4</v>
      </c>
      <c r="E484" s="7">
        <f>INDEX(Lotteries!C:C,MATCH(C484,Lotteries!A:A,0))*D484</f>
        <v>40</v>
      </c>
      <c r="F484" s="3">
        <f>D484*INDEX(Lotteries!G:G,MATCH(C484,Lotteries!A:A,0))</f>
        <v>0.23529411764705882</v>
      </c>
      <c r="G484" s="3">
        <f>INDEX(Lotteries!F:F,MATCH(C484,Lotteries!A:A,0))*D484/INDEX(Lotteries!D:D,MATCH(C484,Lotteries!A:A,0))*(INDEX(Lotteries!D:D,MATCH(C484,Lotteries!A:A,0))-D484)/INDEX(Lotteries!D:D,MATCH(C484,Lotteries!A:A,0))*(INDEX(Lotteries!D:D,MATCH(C484,Lotteries!A:A,0))-INDEX(Lotteries!F:F,MATCH(C484,Lotteries!A:A,0)))/(INDEX(Lotteries!D:D,MATCH(C484,Lotteries!A:A,0))-1)</f>
        <v>0.21653210303729334</v>
      </c>
      <c r="H484" s="7">
        <f>INDEX(Persons!A:A,MATCH(Sales!I484,Persons!B:B,0))</f>
        <v>46</v>
      </c>
      <c r="I484" s="2" t="str">
        <f t="shared" si="2"/>
        <v>Ciaran</v>
      </c>
      <c r="J484">
        <f t="shared" si="3"/>
        <v>4</v>
      </c>
      <c r="L484" t="s">
        <v>193</v>
      </c>
    </row>
    <row r="485" spans="1:12" x14ac:dyDescent="0.3">
      <c r="A485">
        <v>484</v>
      </c>
      <c r="B485">
        <v>45</v>
      </c>
      <c r="C485" s="11">
        <v>26</v>
      </c>
      <c r="D485">
        <v>10</v>
      </c>
      <c r="E485" s="7">
        <f>INDEX(Lotteries!C:C,MATCH(C485,Lotteries!A:A,0))*D485</f>
        <v>100</v>
      </c>
      <c r="F485" s="3">
        <f>D485*INDEX(Lotteries!G:G,MATCH(C485,Lotteries!A:A,0))</f>
        <v>0.58823529411764708</v>
      </c>
      <c r="G485" s="3">
        <f>INDEX(Lotteries!F:F,MATCH(C485,Lotteries!A:A,0))*D485/INDEX(Lotteries!D:D,MATCH(C485,Lotteries!A:A,0))*(INDEX(Lotteries!D:D,MATCH(C485,Lotteries!A:A,0))-D485)/INDEX(Lotteries!D:D,MATCH(C485,Lotteries!A:A,0))*(INDEX(Lotteries!D:D,MATCH(C485,Lotteries!A:A,0))-INDEX(Lotteries!F:F,MATCH(C485,Lotteries!A:A,0)))/(INDEX(Lotteries!D:D,MATCH(C485,Lotteries!A:A,0))-1)</f>
        <v>0.51672433679354102</v>
      </c>
      <c r="H485" s="7">
        <f>INDEX(Persons!A:A,MATCH(Sales!I485,Persons!B:B,0))</f>
        <v>45</v>
      </c>
      <c r="I485" s="2" t="str">
        <f t="shared" si="2"/>
        <v>Fridtjof</v>
      </c>
      <c r="J485">
        <f t="shared" si="3"/>
        <v>10</v>
      </c>
      <c r="L485" t="s">
        <v>177</v>
      </c>
    </row>
    <row r="486" spans="1:12" x14ac:dyDescent="0.3">
      <c r="A486">
        <v>485</v>
      </c>
      <c r="B486">
        <v>53</v>
      </c>
      <c r="C486" s="11">
        <v>26</v>
      </c>
      <c r="D486">
        <v>5</v>
      </c>
      <c r="E486" s="7">
        <f>INDEX(Lotteries!C:C,MATCH(C486,Lotteries!A:A,0))*D486</f>
        <v>50</v>
      </c>
      <c r="F486" s="3">
        <f>D486*INDEX(Lotteries!G:G,MATCH(C486,Lotteries!A:A,0))</f>
        <v>0.29411764705882354</v>
      </c>
      <c r="G486" s="3">
        <f>INDEX(Lotteries!F:F,MATCH(C486,Lotteries!A:A,0))*D486/INDEX(Lotteries!D:D,MATCH(C486,Lotteries!A:A,0))*(INDEX(Lotteries!D:D,MATCH(C486,Lotteries!A:A,0))-D486)/INDEX(Lotteries!D:D,MATCH(C486,Lotteries!A:A,0))*(INDEX(Lotteries!D:D,MATCH(C486,Lotteries!A:A,0))-INDEX(Lotteries!F:F,MATCH(C486,Lotteries!A:A,0)))/(INDEX(Lotteries!D:D,MATCH(C486,Lotteries!A:A,0))-1)</f>
        <v>0.26861463539664238</v>
      </c>
      <c r="H486" s="7">
        <f>INDEX(Persons!A:A,MATCH(Sales!I486,Persons!B:B,0))</f>
        <v>53</v>
      </c>
      <c r="I486" s="2" t="str">
        <f t="shared" si="2"/>
        <v>Sondre</v>
      </c>
      <c r="J486">
        <f t="shared" si="3"/>
        <v>5</v>
      </c>
      <c r="L486" t="s">
        <v>164</v>
      </c>
    </row>
    <row r="487" spans="1:12" x14ac:dyDescent="0.3">
      <c r="A487">
        <v>486</v>
      </c>
      <c r="B487">
        <v>66</v>
      </c>
      <c r="C487" s="11">
        <v>26</v>
      </c>
      <c r="D487">
        <v>5</v>
      </c>
      <c r="E487" s="7">
        <f>INDEX(Lotteries!C:C,MATCH(C487,Lotteries!A:A,0))*D487</f>
        <v>50</v>
      </c>
      <c r="F487" s="3">
        <f>D487*INDEX(Lotteries!G:G,MATCH(C487,Lotteries!A:A,0))</f>
        <v>0.29411764705882354</v>
      </c>
      <c r="G487" s="3">
        <f>INDEX(Lotteries!F:F,MATCH(C487,Lotteries!A:A,0))*D487/INDEX(Lotteries!D:D,MATCH(C487,Lotteries!A:A,0))*(INDEX(Lotteries!D:D,MATCH(C487,Lotteries!A:A,0))-D487)/INDEX(Lotteries!D:D,MATCH(C487,Lotteries!A:A,0))*(INDEX(Lotteries!D:D,MATCH(C487,Lotteries!A:A,0))-INDEX(Lotteries!F:F,MATCH(C487,Lotteries!A:A,0)))/(INDEX(Lotteries!D:D,MATCH(C487,Lotteries!A:A,0))-1)</f>
        <v>0.26861463539664238</v>
      </c>
      <c r="H487" s="7">
        <f>INDEX(Persons!A:A,MATCH(Sales!I487,Persons!B:B,0))</f>
        <v>66</v>
      </c>
      <c r="I487" s="2" t="str">
        <f t="shared" si="2"/>
        <v>Gaute</v>
      </c>
      <c r="J487">
        <f t="shared" si="3"/>
        <v>5</v>
      </c>
      <c r="L487" t="s">
        <v>194</v>
      </c>
    </row>
    <row r="488" spans="1:12" x14ac:dyDescent="0.3">
      <c r="A488">
        <v>487</v>
      </c>
      <c r="B488">
        <v>59</v>
      </c>
      <c r="C488" s="11">
        <v>26</v>
      </c>
      <c r="D488">
        <v>10</v>
      </c>
      <c r="E488" s="7">
        <f>INDEX(Lotteries!C:C,MATCH(C488,Lotteries!A:A,0))*D488</f>
        <v>100</v>
      </c>
      <c r="F488" s="3">
        <f>D488*INDEX(Lotteries!G:G,MATCH(C488,Lotteries!A:A,0))</f>
        <v>0.58823529411764708</v>
      </c>
      <c r="G488" s="3">
        <f>INDEX(Lotteries!F:F,MATCH(C488,Lotteries!A:A,0))*D488/INDEX(Lotteries!D:D,MATCH(C488,Lotteries!A:A,0))*(INDEX(Lotteries!D:D,MATCH(C488,Lotteries!A:A,0))-D488)/INDEX(Lotteries!D:D,MATCH(C488,Lotteries!A:A,0))*(INDEX(Lotteries!D:D,MATCH(C488,Lotteries!A:A,0))-INDEX(Lotteries!F:F,MATCH(C488,Lotteries!A:A,0)))/(INDEX(Lotteries!D:D,MATCH(C488,Lotteries!A:A,0))-1)</f>
        <v>0.51672433679354102</v>
      </c>
      <c r="H488" s="7">
        <f>INDEX(Persons!A:A,MATCH(Sales!I488,Persons!B:B,0))</f>
        <v>59</v>
      </c>
      <c r="I488" s="2" t="str">
        <f t="shared" si="2"/>
        <v>Jøran</v>
      </c>
      <c r="J488">
        <f t="shared" si="3"/>
        <v>10</v>
      </c>
      <c r="L488" t="s">
        <v>195</v>
      </c>
    </row>
    <row r="489" spans="1:12" x14ac:dyDescent="0.3">
      <c r="A489">
        <v>488</v>
      </c>
      <c r="B489">
        <v>37</v>
      </c>
      <c r="C489" s="11">
        <v>26</v>
      </c>
      <c r="D489">
        <v>10</v>
      </c>
      <c r="E489" s="7">
        <f>INDEX(Lotteries!C:C,MATCH(C489,Lotteries!A:A,0))*D489</f>
        <v>100</v>
      </c>
      <c r="F489" s="3">
        <f>D489*INDEX(Lotteries!G:G,MATCH(C489,Lotteries!A:A,0))</f>
        <v>0.58823529411764708</v>
      </c>
      <c r="G489" s="3">
        <f>INDEX(Lotteries!F:F,MATCH(C489,Lotteries!A:A,0))*D489/INDEX(Lotteries!D:D,MATCH(C489,Lotteries!A:A,0))*(INDEX(Lotteries!D:D,MATCH(C489,Lotteries!A:A,0))-D489)/INDEX(Lotteries!D:D,MATCH(C489,Lotteries!A:A,0))*(INDEX(Lotteries!D:D,MATCH(C489,Lotteries!A:A,0))-INDEX(Lotteries!F:F,MATCH(C489,Lotteries!A:A,0)))/(INDEX(Lotteries!D:D,MATCH(C489,Lotteries!A:A,0))-1)</f>
        <v>0.51672433679354102</v>
      </c>
      <c r="H489" s="7">
        <f>INDEX(Persons!A:A,MATCH(Sales!I489,Persons!B:B,0))</f>
        <v>37</v>
      </c>
      <c r="I489" s="2" t="str">
        <f t="shared" si="2"/>
        <v>Ruben O</v>
      </c>
      <c r="J489">
        <f t="shared" si="3"/>
        <v>10</v>
      </c>
      <c r="L489" t="s">
        <v>166</v>
      </c>
    </row>
    <row r="490" spans="1:12" x14ac:dyDescent="0.3">
      <c r="A490">
        <v>489</v>
      </c>
      <c r="B490">
        <v>57</v>
      </c>
      <c r="C490" s="11">
        <v>26</v>
      </c>
      <c r="D490">
        <v>4</v>
      </c>
      <c r="E490" s="7">
        <f>INDEX(Lotteries!C:C,MATCH(C490,Lotteries!A:A,0))*D490</f>
        <v>40</v>
      </c>
      <c r="F490" s="3">
        <f>D490*INDEX(Lotteries!G:G,MATCH(C490,Lotteries!A:A,0))</f>
        <v>0.23529411764705882</v>
      </c>
      <c r="G490" s="3">
        <f>INDEX(Lotteries!F:F,MATCH(C490,Lotteries!A:A,0))*D490/INDEX(Lotteries!D:D,MATCH(C490,Lotteries!A:A,0))*(INDEX(Lotteries!D:D,MATCH(C490,Lotteries!A:A,0))-D490)/INDEX(Lotteries!D:D,MATCH(C490,Lotteries!A:A,0))*(INDEX(Lotteries!D:D,MATCH(C490,Lotteries!A:A,0))-INDEX(Lotteries!F:F,MATCH(C490,Lotteries!A:A,0)))/(INDEX(Lotteries!D:D,MATCH(C490,Lotteries!A:A,0))-1)</f>
        <v>0.21653210303729334</v>
      </c>
      <c r="H490" s="7">
        <f>INDEX(Persons!A:A,MATCH(Sales!I490,Persons!B:B,0))</f>
        <v>57</v>
      </c>
      <c r="I490" s="2" t="str">
        <f t="shared" si="2"/>
        <v>Helga</v>
      </c>
      <c r="J490">
        <f t="shared" si="3"/>
        <v>4</v>
      </c>
      <c r="L490" t="s">
        <v>196</v>
      </c>
    </row>
    <row r="491" spans="1:12" x14ac:dyDescent="0.3">
      <c r="A491">
        <v>490</v>
      </c>
      <c r="B491">
        <v>14</v>
      </c>
      <c r="C491" s="11">
        <v>26</v>
      </c>
      <c r="D491">
        <v>10</v>
      </c>
      <c r="E491" s="7">
        <f>INDEX(Lotteries!C:C,MATCH(C491,Lotteries!A:A,0))*D491</f>
        <v>100</v>
      </c>
      <c r="F491" s="3">
        <f>D491*INDEX(Lotteries!G:G,MATCH(C491,Lotteries!A:A,0))</f>
        <v>0.58823529411764708</v>
      </c>
      <c r="G491" s="3">
        <f>INDEX(Lotteries!F:F,MATCH(C491,Lotteries!A:A,0))*D491/INDEX(Lotteries!D:D,MATCH(C491,Lotteries!A:A,0))*(INDEX(Lotteries!D:D,MATCH(C491,Lotteries!A:A,0))-D491)/INDEX(Lotteries!D:D,MATCH(C491,Lotteries!A:A,0))*(INDEX(Lotteries!D:D,MATCH(C491,Lotteries!A:A,0))-INDEX(Lotteries!F:F,MATCH(C491,Lotteries!A:A,0)))/(INDEX(Lotteries!D:D,MATCH(C491,Lotteries!A:A,0))-1)</f>
        <v>0.51672433679354102</v>
      </c>
      <c r="H491" s="7">
        <f>INDEX(Persons!A:A,MATCH(Sales!I491,Persons!B:B,0))</f>
        <v>14</v>
      </c>
      <c r="I491" s="2" t="str">
        <f t="shared" si="2"/>
        <v>Truls</v>
      </c>
      <c r="J491">
        <f t="shared" si="3"/>
        <v>10</v>
      </c>
      <c r="L491" t="s">
        <v>197</v>
      </c>
    </row>
    <row r="492" spans="1:12" x14ac:dyDescent="0.3">
      <c r="A492">
        <v>491</v>
      </c>
      <c r="B492">
        <v>61</v>
      </c>
      <c r="C492" s="11">
        <v>26</v>
      </c>
      <c r="D492">
        <v>3</v>
      </c>
      <c r="E492" s="7">
        <f>INDEX(Lotteries!C:C,MATCH(C492,Lotteries!A:A,0))*D492</f>
        <v>30</v>
      </c>
      <c r="F492" s="3">
        <f>D492*INDEX(Lotteries!G:G,MATCH(C492,Lotteries!A:A,0))</f>
        <v>0.1764705882352941</v>
      </c>
      <c r="G492" s="3">
        <f>INDEX(Lotteries!F:F,MATCH(C492,Lotteries!A:A,0))*D492/INDEX(Lotteries!D:D,MATCH(C492,Lotteries!A:A,0))*(INDEX(Lotteries!D:D,MATCH(C492,Lotteries!A:A,0))-D492)/INDEX(Lotteries!D:D,MATCH(C492,Lotteries!A:A,0))*(INDEX(Lotteries!D:D,MATCH(C492,Lotteries!A:A,0))-INDEX(Lotteries!F:F,MATCH(C492,Lotteries!A:A,0)))/(INDEX(Lotteries!D:D,MATCH(C492,Lotteries!A:A,0))-1)</f>
        <v>0.16362937331795463</v>
      </c>
      <c r="H492" s="7">
        <f>INDEX(Persons!A:A,MATCH(Sales!I492,Persons!B:B,0))</f>
        <v>61</v>
      </c>
      <c r="I492" s="2" t="str">
        <f t="shared" si="2"/>
        <v>Tone</v>
      </c>
      <c r="J492">
        <f t="shared" si="3"/>
        <v>3</v>
      </c>
      <c r="L492" t="s">
        <v>198</v>
      </c>
    </row>
    <row r="493" spans="1:12" x14ac:dyDescent="0.3">
      <c r="A493">
        <v>492</v>
      </c>
      <c r="B493">
        <v>65</v>
      </c>
      <c r="C493" s="11">
        <v>26</v>
      </c>
      <c r="D493">
        <v>10</v>
      </c>
      <c r="E493" s="7">
        <f>INDEX(Lotteries!C:C,MATCH(C493,Lotteries!A:A,0))*D493</f>
        <v>100</v>
      </c>
      <c r="F493" s="3">
        <f>D493*INDEX(Lotteries!G:G,MATCH(C493,Lotteries!A:A,0))</f>
        <v>0.58823529411764708</v>
      </c>
      <c r="G493" s="3">
        <f>INDEX(Lotteries!F:F,MATCH(C493,Lotteries!A:A,0))*D493/INDEX(Lotteries!D:D,MATCH(C493,Lotteries!A:A,0))*(INDEX(Lotteries!D:D,MATCH(C493,Lotteries!A:A,0))-D493)/INDEX(Lotteries!D:D,MATCH(C493,Lotteries!A:A,0))*(INDEX(Lotteries!D:D,MATCH(C493,Lotteries!A:A,0))-INDEX(Lotteries!F:F,MATCH(C493,Lotteries!A:A,0)))/(INDEX(Lotteries!D:D,MATCH(C493,Lotteries!A:A,0))-1)</f>
        <v>0.51672433679354102</v>
      </c>
      <c r="H493" s="7">
        <f>INDEX(Persons!A:A,MATCH(Sales!I493,Persons!B:B,0))</f>
        <v>65</v>
      </c>
      <c r="I493" s="2" t="str">
        <f t="shared" si="2"/>
        <v>Johan</v>
      </c>
      <c r="J493">
        <f t="shared" si="3"/>
        <v>10</v>
      </c>
      <c r="L493" t="s">
        <v>199</v>
      </c>
    </row>
    <row r="494" spans="1:12" x14ac:dyDescent="0.3">
      <c r="A494">
        <v>493</v>
      </c>
      <c r="B494">
        <v>29</v>
      </c>
      <c r="C494" s="11">
        <v>26</v>
      </c>
      <c r="D494">
        <v>10</v>
      </c>
      <c r="E494" s="7">
        <f>INDEX(Lotteries!C:C,MATCH(C494,Lotteries!A:A,0))*D494</f>
        <v>100</v>
      </c>
      <c r="F494" s="3">
        <f>D494*INDEX(Lotteries!G:G,MATCH(C494,Lotteries!A:A,0))</f>
        <v>0.58823529411764708</v>
      </c>
      <c r="G494" s="3">
        <f>INDEX(Lotteries!F:F,MATCH(C494,Lotteries!A:A,0))*D494/INDEX(Lotteries!D:D,MATCH(C494,Lotteries!A:A,0))*(INDEX(Lotteries!D:D,MATCH(C494,Lotteries!A:A,0))-D494)/INDEX(Lotteries!D:D,MATCH(C494,Lotteries!A:A,0))*(INDEX(Lotteries!D:D,MATCH(C494,Lotteries!A:A,0))-INDEX(Lotteries!F:F,MATCH(C494,Lotteries!A:A,0)))/(INDEX(Lotteries!D:D,MATCH(C494,Lotteries!A:A,0))-1)</f>
        <v>0.51672433679354102</v>
      </c>
      <c r="H494" s="7">
        <f>INDEX(Persons!A:A,MATCH(Sales!I494,Persons!B:B,0))</f>
        <v>29</v>
      </c>
      <c r="I494" s="2" t="str">
        <f t="shared" si="2"/>
        <v>Magnus B</v>
      </c>
      <c r="J494">
        <f t="shared" si="3"/>
        <v>10</v>
      </c>
      <c r="L494" t="s">
        <v>167</v>
      </c>
    </row>
    <row r="495" spans="1:12" x14ac:dyDescent="0.3">
      <c r="A495">
        <v>494</v>
      </c>
      <c r="B495">
        <v>63</v>
      </c>
      <c r="C495" s="11">
        <v>26</v>
      </c>
      <c r="D495">
        <v>6</v>
      </c>
      <c r="E495" s="7">
        <f>INDEX(Lotteries!C:C,MATCH(C495,Lotteries!A:A,0))*D495</f>
        <v>60</v>
      </c>
      <c r="F495" s="3">
        <f>D495*INDEX(Lotteries!G:G,MATCH(C495,Lotteries!A:A,0))</f>
        <v>0.3529411764705882</v>
      </c>
      <c r="G495" s="3">
        <f>INDEX(Lotteries!F:F,MATCH(C495,Lotteries!A:A,0))*D495/INDEX(Lotteries!D:D,MATCH(C495,Lotteries!A:A,0))*(INDEX(Lotteries!D:D,MATCH(C495,Lotteries!A:A,0))-D495)/INDEX(Lotteries!D:D,MATCH(C495,Lotteries!A:A,0))*(INDEX(Lotteries!D:D,MATCH(C495,Lotteries!A:A,0))-INDEX(Lotteries!F:F,MATCH(C495,Lotteries!A:A,0)))/(INDEX(Lotteries!D:D,MATCH(C495,Lotteries!A:A,0))-1)</f>
        <v>0.31987697039600155</v>
      </c>
      <c r="H495" s="7">
        <f>INDEX(Persons!A:A,MATCH(Sales!I495,Persons!B:B,0))</f>
        <v>63</v>
      </c>
      <c r="I495" s="2" t="str">
        <f t="shared" si="2"/>
        <v>Håkon</v>
      </c>
      <c r="J495">
        <f t="shared" si="3"/>
        <v>6</v>
      </c>
      <c r="L495" t="s">
        <v>200</v>
      </c>
    </row>
    <row r="496" spans="1:12" x14ac:dyDescent="0.3">
      <c r="A496">
        <v>495</v>
      </c>
      <c r="B496">
        <v>32</v>
      </c>
      <c r="C496" s="11">
        <v>26</v>
      </c>
      <c r="D496">
        <v>10</v>
      </c>
      <c r="E496" s="7">
        <f>INDEX(Lotteries!C:C,MATCH(C496,Lotteries!A:A,0))*D496</f>
        <v>100</v>
      </c>
      <c r="F496" s="3">
        <f>D496*INDEX(Lotteries!G:G,MATCH(C496,Lotteries!A:A,0))</f>
        <v>0.58823529411764708</v>
      </c>
      <c r="G496" s="3">
        <f>INDEX(Lotteries!F:F,MATCH(C496,Lotteries!A:A,0))*D496/INDEX(Lotteries!D:D,MATCH(C496,Lotteries!A:A,0))*(INDEX(Lotteries!D:D,MATCH(C496,Lotteries!A:A,0))-D496)/INDEX(Lotteries!D:D,MATCH(C496,Lotteries!A:A,0))*(INDEX(Lotteries!D:D,MATCH(C496,Lotteries!A:A,0))-INDEX(Lotteries!F:F,MATCH(C496,Lotteries!A:A,0)))/(INDEX(Lotteries!D:D,MATCH(C496,Lotteries!A:A,0))-1)</f>
        <v>0.51672433679354102</v>
      </c>
      <c r="H496" s="7">
        <f>INDEX(Persons!A:A,MATCH(Sales!I496,Persons!B:B,0))</f>
        <v>32</v>
      </c>
      <c r="I496" s="2" t="str">
        <f t="shared" si="2"/>
        <v>Martin</v>
      </c>
      <c r="J496">
        <f t="shared" si="3"/>
        <v>10</v>
      </c>
      <c r="L496" t="s">
        <v>201</v>
      </c>
    </row>
    <row r="497" spans="1:12" x14ac:dyDescent="0.3">
      <c r="A497">
        <v>496</v>
      </c>
      <c r="B497">
        <v>48</v>
      </c>
      <c r="C497" s="11">
        <v>26</v>
      </c>
      <c r="D497">
        <v>5</v>
      </c>
      <c r="E497" s="7">
        <f>INDEX(Lotteries!C:C,MATCH(C497,Lotteries!A:A,0))*D497</f>
        <v>50</v>
      </c>
      <c r="F497" s="3">
        <f>D497*INDEX(Lotteries!G:G,MATCH(C497,Lotteries!A:A,0))</f>
        <v>0.29411764705882354</v>
      </c>
      <c r="G497" s="3">
        <f>INDEX(Lotteries!F:F,MATCH(C497,Lotteries!A:A,0))*D497/INDEX(Lotteries!D:D,MATCH(C497,Lotteries!A:A,0))*(INDEX(Lotteries!D:D,MATCH(C497,Lotteries!A:A,0))-D497)/INDEX(Lotteries!D:D,MATCH(C497,Lotteries!A:A,0))*(INDEX(Lotteries!D:D,MATCH(C497,Lotteries!A:A,0))-INDEX(Lotteries!F:F,MATCH(C497,Lotteries!A:A,0)))/(INDEX(Lotteries!D:D,MATCH(C497,Lotteries!A:A,0))-1)</f>
        <v>0.26861463539664238</v>
      </c>
      <c r="H497" s="7">
        <f>INDEX(Persons!A:A,MATCH(Sales!I497,Persons!B:B,0))</f>
        <v>48</v>
      </c>
      <c r="I497" s="2" t="str">
        <f t="shared" si="2"/>
        <v>Ivan</v>
      </c>
      <c r="J497">
        <f t="shared" si="3"/>
        <v>5</v>
      </c>
      <c r="L497" t="s">
        <v>202</v>
      </c>
    </row>
    <row r="498" spans="1:12" x14ac:dyDescent="0.3">
      <c r="A498">
        <v>497</v>
      </c>
      <c r="B498">
        <v>64</v>
      </c>
      <c r="C498" s="11">
        <v>26</v>
      </c>
      <c r="D498">
        <v>4</v>
      </c>
      <c r="E498" s="7">
        <f>INDEX(Lotteries!C:C,MATCH(C498,Lotteries!A:A,0))*D498</f>
        <v>40</v>
      </c>
      <c r="F498" s="3">
        <f>D498*INDEX(Lotteries!G:G,MATCH(C498,Lotteries!A:A,0))</f>
        <v>0.23529411764705882</v>
      </c>
      <c r="G498" s="3">
        <f>INDEX(Lotteries!F:F,MATCH(C498,Lotteries!A:A,0))*D498/INDEX(Lotteries!D:D,MATCH(C498,Lotteries!A:A,0))*(INDEX(Lotteries!D:D,MATCH(C498,Lotteries!A:A,0))-D498)/INDEX(Lotteries!D:D,MATCH(C498,Lotteries!A:A,0))*(INDEX(Lotteries!D:D,MATCH(C498,Lotteries!A:A,0))-INDEX(Lotteries!F:F,MATCH(C498,Lotteries!A:A,0)))/(INDEX(Lotteries!D:D,MATCH(C498,Lotteries!A:A,0))-1)</f>
        <v>0.21653210303729334</v>
      </c>
      <c r="H498" s="7">
        <f>INDEX(Persons!A:A,MATCH(Sales!I498,Persons!B:B,0))</f>
        <v>64</v>
      </c>
      <c r="I498" s="2" t="str">
        <f t="shared" si="2"/>
        <v>Øystein</v>
      </c>
      <c r="J498">
        <f t="shared" si="3"/>
        <v>4</v>
      </c>
      <c r="L498" t="s">
        <v>203</v>
      </c>
    </row>
    <row r="499" spans="1:12" x14ac:dyDescent="0.3">
      <c r="A499">
        <v>498</v>
      </c>
      <c r="B499">
        <v>15</v>
      </c>
      <c r="C499" s="11">
        <v>27</v>
      </c>
      <c r="D499">
        <v>10</v>
      </c>
      <c r="E499" s="7">
        <f>INDEX(Lotteries!C:C,MATCH(C499,Lotteries!A:A,0))*D499</f>
        <v>100</v>
      </c>
      <c r="F499" s="3">
        <f>D499*INDEX(Lotteries!G:G,MATCH(C499,Lotteries!A:A,0))</f>
        <v>0.49586776859504134</v>
      </c>
      <c r="G499" s="3">
        <f>INDEX(Lotteries!F:F,MATCH(C499,Lotteries!A:A,0))*D499/INDEX(Lotteries!D:D,MATCH(C499,Lotteries!A:A,0))*(INDEX(Lotteries!D:D,MATCH(C499,Lotteries!A:A,0))-D499)/INDEX(Lotteries!D:D,MATCH(C499,Lotteries!A:A,0))*(INDEX(Lotteries!D:D,MATCH(C499,Lotteries!A:A,0))-INDEX(Lotteries!F:F,MATCH(C499,Lotteries!A:A,0)))/(INDEX(Lotteries!D:D,MATCH(C499,Lotteries!A:A,0))-1)</f>
        <v>0.43593333788675637</v>
      </c>
      <c r="H499" s="7">
        <f>INDEX(Persons!A:A,MATCH(Sales!I499,Persons!B:B,0))</f>
        <v>15</v>
      </c>
      <c r="I499" s="2" t="s">
        <v>16</v>
      </c>
      <c r="J499">
        <v>10</v>
      </c>
    </row>
    <row r="500" spans="1:12" x14ac:dyDescent="0.3">
      <c r="A500">
        <v>499</v>
      </c>
      <c r="B500">
        <v>67</v>
      </c>
      <c r="C500" s="11">
        <v>27</v>
      </c>
      <c r="D500">
        <v>5</v>
      </c>
      <c r="E500" s="7">
        <f>INDEX(Lotteries!C:C,MATCH(C500,Lotteries!A:A,0))*D500</f>
        <v>50</v>
      </c>
      <c r="F500" s="3">
        <f>D500*INDEX(Lotteries!G:G,MATCH(C500,Lotteries!A:A,0))</f>
        <v>0.24793388429752067</v>
      </c>
      <c r="G500" s="3">
        <f>INDEX(Lotteries!F:F,MATCH(C500,Lotteries!A:A,0))*D500/INDEX(Lotteries!D:D,MATCH(C500,Lotteries!A:A,0))*(INDEX(Lotteries!D:D,MATCH(C500,Lotteries!A:A,0))-D500)/INDEX(Lotteries!D:D,MATCH(C500,Lotteries!A:A,0))*(INDEX(Lotteries!D:D,MATCH(C500,Lotteries!A:A,0))-INDEX(Lotteries!F:F,MATCH(C500,Lotteries!A:A,0)))/(INDEX(Lotteries!D:D,MATCH(C500,Lotteries!A:A,0))-1)</f>
        <v>0.22778498736425107</v>
      </c>
      <c r="H500" s="7">
        <f>INDEX(Persons!A:A,MATCH(Sales!I500,Persons!B:B,0))</f>
        <v>67</v>
      </c>
      <c r="I500" s="2" t="s">
        <v>207</v>
      </c>
      <c r="J500">
        <v>5</v>
      </c>
    </row>
    <row r="501" spans="1:12" x14ac:dyDescent="0.3">
      <c r="A501">
        <v>500</v>
      </c>
      <c r="B501">
        <v>27</v>
      </c>
      <c r="C501" s="11">
        <v>27</v>
      </c>
      <c r="D501">
        <v>10</v>
      </c>
      <c r="E501" s="7">
        <f>INDEX(Lotteries!C:C,MATCH(C501,Lotteries!A:A,0))*D501</f>
        <v>100</v>
      </c>
      <c r="F501" s="3">
        <f>D501*INDEX(Lotteries!G:G,MATCH(C501,Lotteries!A:A,0))</f>
        <v>0.49586776859504134</v>
      </c>
      <c r="G501" s="3">
        <f>INDEX(Lotteries!F:F,MATCH(C501,Lotteries!A:A,0))*D501/INDEX(Lotteries!D:D,MATCH(C501,Lotteries!A:A,0))*(INDEX(Lotteries!D:D,MATCH(C501,Lotteries!A:A,0))-D501)/INDEX(Lotteries!D:D,MATCH(C501,Lotteries!A:A,0))*(INDEX(Lotteries!D:D,MATCH(C501,Lotteries!A:A,0))-INDEX(Lotteries!F:F,MATCH(C501,Lotteries!A:A,0)))/(INDEX(Lotteries!D:D,MATCH(C501,Lotteries!A:A,0))-1)</f>
        <v>0.43593333788675637</v>
      </c>
      <c r="H501" s="7">
        <f>INDEX(Persons!A:A,MATCH(Sales!I501,Persons!B:B,0))</f>
        <v>27</v>
      </c>
      <c r="I501" s="2" t="s">
        <v>142</v>
      </c>
      <c r="J501">
        <v>10</v>
      </c>
    </row>
    <row r="502" spans="1:12" x14ac:dyDescent="0.3">
      <c r="A502">
        <v>501</v>
      </c>
      <c r="B502">
        <v>68</v>
      </c>
      <c r="C502" s="11">
        <v>27</v>
      </c>
      <c r="D502">
        <v>5</v>
      </c>
      <c r="E502" s="7">
        <f>INDEX(Lotteries!C:C,MATCH(C502,Lotteries!A:A,0))*D502</f>
        <v>50</v>
      </c>
      <c r="F502" s="3">
        <f>D502*INDEX(Lotteries!G:G,MATCH(C502,Lotteries!A:A,0))</f>
        <v>0.24793388429752067</v>
      </c>
      <c r="G502" s="3">
        <f>INDEX(Lotteries!F:F,MATCH(C502,Lotteries!A:A,0))*D502/INDEX(Lotteries!D:D,MATCH(C502,Lotteries!A:A,0))*(INDEX(Lotteries!D:D,MATCH(C502,Lotteries!A:A,0))-D502)/INDEX(Lotteries!D:D,MATCH(C502,Lotteries!A:A,0))*(INDEX(Lotteries!D:D,MATCH(C502,Lotteries!A:A,0))-INDEX(Lotteries!F:F,MATCH(C502,Lotteries!A:A,0)))/(INDEX(Lotteries!D:D,MATCH(C502,Lotteries!A:A,0))-1)</f>
        <v>0.22778498736425107</v>
      </c>
      <c r="H502" s="7">
        <f>INDEX(Persons!A:A,MATCH(Sales!I502,Persons!B:B,0))</f>
        <v>68</v>
      </c>
      <c r="I502" s="2" t="s">
        <v>208</v>
      </c>
      <c r="J502">
        <v>5</v>
      </c>
    </row>
    <row r="503" spans="1:12" x14ac:dyDescent="0.3">
      <c r="A503">
        <v>502</v>
      </c>
      <c r="B503">
        <v>47</v>
      </c>
      <c r="C503" s="11">
        <v>27</v>
      </c>
      <c r="D503">
        <v>10</v>
      </c>
      <c r="E503" s="7">
        <f>INDEX(Lotteries!C:C,MATCH(C503,Lotteries!A:A,0))*D503</f>
        <v>100</v>
      </c>
      <c r="F503" s="3">
        <f>D503*INDEX(Lotteries!G:G,MATCH(C503,Lotteries!A:A,0))</f>
        <v>0.49586776859504134</v>
      </c>
      <c r="G503" s="3">
        <f>INDEX(Lotteries!F:F,MATCH(C503,Lotteries!A:A,0))*D503/INDEX(Lotteries!D:D,MATCH(C503,Lotteries!A:A,0))*(INDEX(Lotteries!D:D,MATCH(C503,Lotteries!A:A,0))-D503)/INDEX(Lotteries!D:D,MATCH(C503,Lotteries!A:A,0))*(INDEX(Lotteries!D:D,MATCH(C503,Lotteries!A:A,0))-INDEX(Lotteries!F:F,MATCH(C503,Lotteries!A:A,0)))/(INDEX(Lotteries!D:D,MATCH(C503,Lotteries!A:A,0))-1)</f>
        <v>0.43593333788675637</v>
      </c>
      <c r="H503" s="7">
        <f>INDEX(Persons!A:A,MATCH(Sales!I503,Persons!B:B,0))</f>
        <v>47</v>
      </c>
      <c r="I503" s="2" t="s">
        <v>7</v>
      </c>
      <c r="J503">
        <v>10</v>
      </c>
    </row>
    <row r="504" spans="1:12" x14ac:dyDescent="0.3">
      <c r="A504">
        <v>503</v>
      </c>
      <c r="B504">
        <v>69</v>
      </c>
      <c r="C504" s="11">
        <v>27</v>
      </c>
      <c r="D504">
        <v>5</v>
      </c>
      <c r="E504" s="7">
        <f>INDEX(Lotteries!C:C,MATCH(C504,Lotteries!A:A,0))*D504</f>
        <v>50</v>
      </c>
      <c r="F504" s="3">
        <f>D504*INDEX(Lotteries!G:G,MATCH(C504,Lotteries!A:A,0))</f>
        <v>0.24793388429752067</v>
      </c>
      <c r="G504" s="3">
        <f>INDEX(Lotteries!F:F,MATCH(C504,Lotteries!A:A,0))*D504/INDEX(Lotteries!D:D,MATCH(C504,Lotteries!A:A,0))*(INDEX(Lotteries!D:D,MATCH(C504,Lotteries!A:A,0))-D504)/INDEX(Lotteries!D:D,MATCH(C504,Lotteries!A:A,0))*(INDEX(Lotteries!D:D,MATCH(C504,Lotteries!A:A,0))-INDEX(Lotteries!F:F,MATCH(C504,Lotteries!A:A,0)))/(INDEX(Lotteries!D:D,MATCH(C504,Lotteries!A:A,0))-1)</f>
        <v>0.22778498736425107</v>
      </c>
      <c r="H504" s="7">
        <f>INDEX(Persons!A:A,MATCH(Sales!I504,Persons!B:B,0))</f>
        <v>69</v>
      </c>
      <c r="I504" s="2" t="s">
        <v>209</v>
      </c>
      <c r="J504">
        <v>5</v>
      </c>
    </row>
    <row r="505" spans="1:12" x14ac:dyDescent="0.3">
      <c r="A505">
        <v>504</v>
      </c>
      <c r="B505">
        <v>70</v>
      </c>
      <c r="C505" s="11">
        <v>27</v>
      </c>
      <c r="D505">
        <v>1</v>
      </c>
      <c r="E505" s="7">
        <f>INDEX(Lotteries!C:C,MATCH(C505,Lotteries!A:A,0))*D505</f>
        <v>10</v>
      </c>
      <c r="F505" s="3">
        <f>D505*INDEX(Lotteries!G:G,MATCH(C505,Lotteries!A:A,0))</f>
        <v>4.9586776859504134E-2</v>
      </c>
      <c r="G505" s="3">
        <f>INDEX(Lotteries!F:F,MATCH(C505,Lotteries!A:A,0))*D505/INDEX(Lotteries!D:D,MATCH(C505,Lotteries!A:A,0))*(INDEX(Lotteries!D:D,MATCH(C505,Lotteries!A:A,0))-D505)/INDEX(Lotteries!D:D,MATCH(C505,Lotteries!A:A,0))*(INDEX(Lotteries!D:D,MATCH(C505,Lotteries!A:A,0))-INDEX(Lotteries!F:F,MATCH(C505,Lotteries!A:A,0)))/(INDEX(Lotteries!D:D,MATCH(C505,Lotteries!A:A,0))-1)</f>
        <v>4.7127928420189875E-2</v>
      </c>
      <c r="H505" s="7">
        <f>INDEX(Persons!A:A,MATCH(Sales!I505,Persons!B:B,0))</f>
        <v>70</v>
      </c>
      <c r="I505" s="2" t="s">
        <v>210</v>
      </c>
      <c r="J505">
        <v>1</v>
      </c>
    </row>
    <row r="506" spans="1:12" x14ac:dyDescent="0.3">
      <c r="A506">
        <v>505</v>
      </c>
      <c r="B506">
        <v>37</v>
      </c>
      <c r="C506" s="11">
        <v>27</v>
      </c>
      <c r="D506">
        <v>10</v>
      </c>
      <c r="E506" s="7">
        <f>INDEX(Lotteries!C:C,MATCH(C506,Lotteries!A:A,0))*D506</f>
        <v>100</v>
      </c>
      <c r="F506" s="3">
        <f>D506*INDEX(Lotteries!G:G,MATCH(C506,Lotteries!A:A,0))</f>
        <v>0.49586776859504134</v>
      </c>
      <c r="G506" s="3">
        <f>INDEX(Lotteries!F:F,MATCH(C506,Lotteries!A:A,0))*D506/INDEX(Lotteries!D:D,MATCH(C506,Lotteries!A:A,0))*(INDEX(Lotteries!D:D,MATCH(C506,Lotteries!A:A,0))-D506)/INDEX(Lotteries!D:D,MATCH(C506,Lotteries!A:A,0))*(INDEX(Lotteries!D:D,MATCH(C506,Lotteries!A:A,0))-INDEX(Lotteries!F:F,MATCH(C506,Lotteries!A:A,0)))/(INDEX(Lotteries!D:D,MATCH(C506,Lotteries!A:A,0))-1)</f>
        <v>0.43593333788675637</v>
      </c>
      <c r="H506" s="7">
        <f>INDEX(Persons!A:A,MATCH(Sales!I506,Persons!B:B,0))</f>
        <v>37</v>
      </c>
      <c r="I506" s="2" t="s">
        <v>79</v>
      </c>
      <c r="J506">
        <v>10</v>
      </c>
    </row>
    <row r="507" spans="1:12" x14ac:dyDescent="0.3">
      <c r="A507">
        <v>506</v>
      </c>
      <c r="B507">
        <v>35</v>
      </c>
      <c r="C507" s="11">
        <v>27</v>
      </c>
      <c r="D507">
        <v>5</v>
      </c>
      <c r="E507" s="7">
        <f>INDEX(Lotteries!C:C,MATCH(C507,Lotteries!A:A,0))*D507</f>
        <v>50</v>
      </c>
      <c r="F507" s="3">
        <f>D507*INDEX(Lotteries!G:G,MATCH(C507,Lotteries!A:A,0))</f>
        <v>0.24793388429752067</v>
      </c>
      <c r="G507" s="3">
        <f>INDEX(Lotteries!F:F,MATCH(C507,Lotteries!A:A,0))*D507/INDEX(Lotteries!D:D,MATCH(C507,Lotteries!A:A,0))*(INDEX(Lotteries!D:D,MATCH(C507,Lotteries!A:A,0))-D507)/INDEX(Lotteries!D:D,MATCH(C507,Lotteries!A:A,0))*(INDEX(Lotteries!D:D,MATCH(C507,Lotteries!A:A,0))-INDEX(Lotteries!F:F,MATCH(C507,Lotteries!A:A,0)))/(INDEX(Lotteries!D:D,MATCH(C507,Lotteries!A:A,0))-1)</f>
        <v>0.22778498736425107</v>
      </c>
      <c r="H507" s="7">
        <f>INDEX(Persons!A:A,MATCH(Sales!I507,Persons!B:B,0))</f>
        <v>35</v>
      </c>
      <c r="I507" s="2" t="s">
        <v>46</v>
      </c>
      <c r="J507">
        <v>5</v>
      </c>
    </row>
    <row r="508" spans="1:12" x14ac:dyDescent="0.3">
      <c r="A508">
        <v>507</v>
      </c>
      <c r="B508">
        <v>54</v>
      </c>
      <c r="C508" s="11">
        <v>27</v>
      </c>
      <c r="D508">
        <v>5</v>
      </c>
      <c r="E508" s="7">
        <f>INDEX(Lotteries!C:C,MATCH(C508,Lotteries!A:A,0))*D508</f>
        <v>50</v>
      </c>
      <c r="F508" s="3">
        <f>D508*INDEX(Lotteries!G:G,MATCH(C508,Lotteries!A:A,0))</f>
        <v>0.24793388429752067</v>
      </c>
      <c r="G508" s="3">
        <f>INDEX(Lotteries!F:F,MATCH(C508,Lotteries!A:A,0))*D508/INDEX(Lotteries!D:D,MATCH(C508,Lotteries!A:A,0))*(INDEX(Lotteries!D:D,MATCH(C508,Lotteries!A:A,0))-D508)/INDEX(Lotteries!D:D,MATCH(C508,Lotteries!A:A,0))*(INDEX(Lotteries!D:D,MATCH(C508,Lotteries!A:A,0))-INDEX(Lotteries!F:F,MATCH(C508,Lotteries!A:A,0)))/(INDEX(Lotteries!D:D,MATCH(C508,Lotteries!A:A,0))-1)</f>
        <v>0.22778498736425107</v>
      </c>
      <c r="H508" s="7">
        <f>INDEX(Persons!A:A,MATCH(Sales!I508,Persons!B:B,0))</f>
        <v>54</v>
      </c>
      <c r="I508" s="2" t="s">
        <v>134</v>
      </c>
      <c r="J508">
        <v>5</v>
      </c>
    </row>
    <row r="509" spans="1:12" x14ac:dyDescent="0.3">
      <c r="A509">
        <v>508</v>
      </c>
      <c r="B509">
        <v>43</v>
      </c>
      <c r="C509" s="11">
        <v>27</v>
      </c>
      <c r="D509">
        <v>5</v>
      </c>
      <c r="E509" s="7">
        <f>INDEX(Lotteries!C:C,MATCH(C509,Lotteries!A:A,0))*D509</f>
        <v>50</v>
      </c>
      <c r="F509" s="3">
        <f>D509*INDEX(Lotteries!G:G,MATCH(C509,Lotteries!A:A,0))</f>
        <v>0.24793388429752067</v>
      </c>
      <c r="G509" s="3">
        <f>INDEX(Lotteries!F:F,MATCH(C509,Lotteries!A:A,0))*D509/INDEX(Lotteries!D:D,MATCH(C509,Lotteries!A:A,0))*(INDEX(Lotteries!D:D,MATCH(C509,Lotteries!A:A,0))-D509)/INDEX(Lotteries!D:D,MATCH(C509,Lotteries!A:A,0))*(INDEX(Lotteries!D:D,MATCH(C509,Lotteries!A:A,0))-INDEX(Lotteries!F:F,MATCH(C509,Lotteries!A:A,0)))/(INDEX(Lotteries!D:D,MATCH(C509,Lotteries!A:A,0))-1)</f>
        <v>0.22778498736425107</v>
      </c>
      <c r="H509" s="7">
        <f>INDEX(Persons!A:A,MATCH(Sales!I509,Persons!B:B,0))</f>
        <v>43</v>
      </c>
      <c r="I509" s="2" t="s">
        <v>81</v>
      </c>
      <c r="J509">
        <v>5</v>
      </c>
    </row>
    <row r="510" spans="1:12" x14ac:dyDescent="0.3">
      <c r="A510">
        <v>509</v>
      </c>
      <c r="B510">
        <v>12</v>
      </c>
      <c r="C510" s="11">
        <v>27</v>
      </c>
      <c r="D510">
        <v>5</v>
      </c>
      <c r="E510" s="7">
        <f>INDEX(Lotteries!C:C,MATCH(C510,Lotteries!A:A,0))*D510</f>
        <v>50</v>
      </c>
      <c r="F510" s="3">
        <f>D510*INDEX(Lotteries!G:G,MATCH(C510,Lotteries!A:A,0))</f>
        <v>0.24793388429752067</v>
      </c>
      <c r="G510" s="3">
        <f>INDEX(Lotteries!F:F,MATCH(C510,Lotteries!A:A,0))*D510/INDEX(Lotteries!D:D,MATCH(C510,Lotteries!A:A,0))*(INDEX(Lotteries!D:D,MATCH(C510,Lotteries!A:A,0))-D510)/INDEX(Lotteries!D:D,MATCH(C510,Lotteries!A:A,0))*(INDEX(Lotteries!D:D,MATCH(C510,Lotteries!A:A,0))-INDEX(Lotteries!F:F,MATCH(C510,Lotteries!A:A,0)))/(INDEX(Lotteries!D:D,MATCH(C510,Lotteries!A:A,0))-1)</f>
        <v>0.22778498736425107</v>
      </c>
      <c r="H510" s="7">
        <f>INDEX(Persons!A:A,MATCH(Sales!I510,Persons!B:B,0))</f>
        <v>12</v>
      </c>
      <c r="I510" s="2" t="s">
        <v>13</v>
      </c>
      <c r="J510">
        <v>5</v>
      </c>
    </row>
    <row r="511" spans="1:12" x14ac:dyDescent="0.3">
      <c r="A511">
        <v>510</v>
      </c>
      <c r="B511">
        <v>66</v>
      </c>
      <c r="C511" s="11">
        <v>27</v>
      </c>
      <c r="D511">
        <v>5</v>
      </c>
      <c r="E511" s="7">
        <f>INDEX(Lotteries!C:C,MATCH(C511,Lotteries!A:A,0))*D511</f>
        <v>50</v>
      </c>
      <c r="F511" s="3">
        <f>D511*INDEX(Lotteries!G:G,MATCH(C511,Lotteries!A:A,0))</f>
        <v>0.24793388429752067</v>
      </c>
      <c r="G511" s="3">
        <f>INDEX(Lotteries!F:F,MATCH(C511,Lotteries!A:A,0))*D511/INDEX(Lotteries!D:D,MATCH(C511,Lotteries!A:A,0))*(INDEX(Lotteries!D:D,MATCH(C511,Lotteries!A:A,0))-D511)/INDEX(Lotteries!D:D,MATCH(C511,Lotteries!A:A,0))*(INDEX(Lotteries!D:D,MATCH(C511,Lotteries!A:A,0))-INDEX(Lotteries!F:F,MATCH(C511,Lotteries!A:A,0)))/(INDEX(Lotteries!D:D,MATCH(C511,Lotteries!A:A,0))-1)</f>
        <v>0.22778498736425107</v>
      </c>
      <c r="H511" s="7">
        <f>INDEX(Persons!A:A,MATCH(Sales!I511,Persons!B:B,0))</f>
        <v>66</v>
      </c>
      <c r="I511" s="2" t="s">
        <v>205</v>
      </c>
      <c r="J511">
        <v>5</v>
      </c>
    </row>
    <row r="512" spans="1:12" x14ac:dyDescent="0.3">
      <c r="A512">
        <v>511</v>
      </c>
      <c r="B512">
        <v>33</v>
      </c>
      <c r="C512" s="11">
        <v>27</v>
      </c>
      <c r="D512">
        <v>10</v>
      </c>
      <c r="E512" s="7">
        <f>INDEX(Lotteries!C:C,MATCH(C512,Lotteries!A:A,0))*D512</f>
        <v>100</v>
      </c>
      <c r="F512" s="3">
        <f>D512*INDEX(Lotteries!G:G,MATCH(C512,Lotteries!A:A,0))</f>
        <v>0.49586776859504134</v>
      </c>
      <c r="G512" s="3">
        <f>INDEX(Lotteries!F:F,MATCH(C512,Lotteries!A:A,0))*D512/INDEX(Lotteries!D:D,MATCH(C512,Lotteries!A:A,0))*(INDEX(Lotteries!D:D,MATCH(C512,Lotteries!A:A,0))-D512)/INDEX(Lotteries!D:D,MATCH(C512,Lotteries!A:A,0))*(INDEX(Lotteries!D:D,MATCH(C512,Lotteries!A:A,0))-INDEX(Lotteries!F:F,MATCH(C512,Lotteries!A:A,0)))/(INDEX(Lotteries!D:D,MATCH(C512,Lotteries!A:A,0))-1)</f>
        <v>0.43593333788675637</v>
      </c>
      <c r="H512" s="7">
        <f>INDEX(Persons!A:A,MATCH(Sales!I512,Persons!B:B,0))</f>
        <v>33</v>
      </c>
      <c r="I512" s="2" t="s">
        <v>75</v>
      </c>
      <c r="J512">
        <v>10</v>
      </c>
    </row>
    <row r="513" spans="1:10" x14ac:dyDescent="0.3">
      <c r="A513">
        <v>512</v>
      </c>
      <c r="B513">
        <v>10</v>
      </c>
      <c r="C513" s="11">
        <v>27</v>
      </c>
      <c r="D513">
        <v>10</v>
      </c>
      <c r="E513" s="7">
        <f>INDEX(Lotteries!C:C,MATCH(C513,Lotteries!A:A,0))*D513</f>
        <v>100</v>
      </c>
      <c r="F513" s="3">
        <f>D513*INDEX(Lotteries!G:G,MATCH(C513,Lotteries!A:A,0))</f>
        <v>0.49586776859504134</v>
      </c>
      <c r="G513" s="3">
        <f>INDEX(Lotteries!F:F,MATCH(C513,Lotteries!A:A,0))*D513/INDEX(Lotteries!D:D,MATCH(C513,Lotteries!A:A,0))*(INDEX(Lotteries!D:D,MATCH(C513,Lotteries!A:A,0))-D513)/INDEX(Lotteries!D:D,MATCH(C513,Lotteries!A:A,0))*(INDEX(Lotteries!D:D,MATCH(C513,Lotteries!A:A,0))-INDEX(Lotteries!F:F,MATCH(C513,Lotteries!A:A,0)))/(INDEX(Lotteries!D:D,MATCH(C513,Lotteries!A:A,0))-1)</f>
        <v>0.43593333788675637</v>
      </c>
      <c r="H513" s="7">
        <f>INDEX(Persons!A:A,MATCH(Sales!I513,Persons!B:B,0))</f>
        <v>10</v>
      </c>
      <c r="I513" s="2" t="s">
        <v>11</v>
      </c>
      <c r="J513">
        <v>10</v>
      </c>
    </row>
    <row r="514" spans="1:10" x14ac:dyDescent="0.3">
      <c r="A514">
        <v>513</v>
      </c>
      <c r="B514">
        <v>63</v>
      </c>
      <c r="C514" s="11">
        <v>27</v>
      </c>
      <c r="D514">
        <v>5</v>
      </c>
      <c r="E514" s="7">
        <f>INDEX(Lotteries!C:C,MATCH(C514,Lotteries!A:A,0))*D514</f>
        <v>50</v>
      </c>
      <c r="F514" s="3">
        <f>D514*INDEX(Lotteries!G:G,MATCH(C514,Lotteries!A:A,0))</f>
        <v>0.24793388429752067</v>
      </c>
      <c r="G514" s="3">
        <f>INDEX(Lotteries!F:F,MATCH(C514,Lotteries!A:A,0))*D514/INDEX(Lotteries!D:D,MATCH(C514,Lotteries!A:A,0))*(INDEX(Lotteries!D:D,MATCH(C514,Lotteries!A:A,0))-D514)/INDEX(Lotteries!D:D,MATCH(C514,Lotteries!A:A,0))*(INDEX(Lotteries!D:D,MATCH(C514,Lotteries!A:A,0))-INDEX(Lotteries!F:F,MATCH(C514,Lotteries!A:A,0)))/(INDEX(Lotteries!D:D,MATCH(C514,Lotteries!A:A,0))-1)</f>
        <v>0.22778498736425107</v>
      </c>
      <c r="H514" s="7">
        <f>INDEX(Persons!A:A,MATCH(Sales!I514,Persons!B:B,0))</f>
        <v>63</v>
      </c>
      <c r="I514" s="2" t="s">
        <v>148</v>
      </c>
      <c r="J514">
        <v>5</v>
      </c>
    </row>
    <row r="515" spans="1:10" x14ac:dyDescent="0.3">
      <c r="A515">
        <v>514</v>
      </c>
      <c r="B515">
        <v>45</v>
      </c>
      <c r="C515" s="11">
        <v>27</v>
      </c>
      <c r="D515">
        <v>10</v>
      </c>
      <c r="E515" s="7">
        <f>INDEX(Lotteries!C:C,MATCH(C515,Lotteries!A:A,0))*D515</f>
        <v>100</v>
      </c>
      <c r="F515" s="3">
        <f>D515*INDEX(Lotteries!G:G,MATCH(C515,Lotteries!A:A,0))</f>
        <v>0.49586776859504134</v>
      </c>
      <c r="G515" s="3">
        <f>INDEX(Lotteries!F:F,MATCH(C515,Lotteries!A:A,0))*D515/INDEX(Lotteries!D:D,MATCH(C515,Lotteries!A:A,0))*(INDEX(Lotteries!D:D,MATCH(C515,Lotteries!A:A,0))-D515)/INDEX(Lotteries!D:D,MATCH(C515,Lotteries!A:A,0))*(INDEX(Lotteries!D:D,MATCH(C515,Lotteries!A:A,0))-INDEX(Lotteries!F:F,MATCH(C515,Lotteries!A:A,0)))/(INDEX(Lotteries!D:D,MATCH(C515,Lotteries!A:A,0))-1)</f>
        <v>0.43593333788675637</v>
      </c>
      <c r="H515" s="7">
        <f>INDEX(Persons!A:A,MATCH(Sales!I515,Persons!B:B,0))</f>
        <v>45</v>
      </c>
      <c r="I515" s="2" t="s">
        <v>96</v>
      </c>
      <c r="J515">
        <v>10</v>
      </c>
    </row>
    <row r="516" spans="1:10" x14ac:dyDescent="0.3">
      <c r="A516">
        <v>515</v>
      </c>
      <c r="B516">
        <v>61</v>
      </c>
      <c r="C516" s="11">
        <v>27</v>
      </c>
      <c r="D516">
        <v>5</v>
      </c>
      <c r="E516" s="7">
        <f>INDEX(Lotteries!C:C,MATCH(C516,Lotteries!A:A,0))*D516</f>
        <v>50</v>
      </c>
      <c r="F516" s="3">
        <f>D516*INDEX(Lotteries!G:G,MATCH(C516,Lotteries!A:A,0))</f>
        <v>0.24793388429752067</v>
      </c>
      <c r="G516" s="3">
        <f>INDEX(Lotteries!F:F,MATCH(C516,Lotteries!A:A,0))*D516/INDEX(Lotteries!D:D,MATCH(C516,Lotteries!A:A,0))*(INDEX(Lotteries!D:D,MATCH(C516,Lotteries!A:A,0))-D516)/INDEX(Lotteries!D:D,MATCH(C516,Lotteries!A:A,0))*(INDEX(Lotteries!D:D,MATCH(C516,Lotteries!A:A,0))-INDEX(Lotteries!F:F,MATCH(C516,Lotteries!A:A,0)))/(INDEX(Lotteries!D:D,MATCH(C516,Lotteries!A:A,0))-1)</f>
        <v>0.22778498736425107</v>
      </c>
      <c r="H516" s="7">
        <f>INDEX(Persons!A:A,MATCH(Sales!I516,Persons!B:B,0))</f>
        <v>61</v>
      </c>
      <c r="I516" s="2" t="s">
        <v>146</v>
      </c>
      <c r="J51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8"/>
  <sheetViews>
    <sheetView showGridLines="0" workbookViewId="0">
      <pane ySplit="1" topLeftCell="A125" activePane="bottomLeft" state="frozen"/>
      <selection pane="bottomLeft" activeCell="G153" sqref="G153"/>
    </sheetView>
  </sheetViews>
  <sheetFormatPr defaultColWidth="8.88671875" defaultRowHeight="14.4" x14ac:dyDescent="0.3"/>
  <cols>
    <col min="6" max="6" width="8.88671875" style="2"/>
  </cols>
  <sheetData>
    <row r="1" spans="1:8" x14ac:dyDescent="0.3">
      <c r="A1" s="19" t="s">
        <v>0</v>
      </c>
      <c r="B1" s="19" t="s">
        <v>19</v>
      </c>
      <c r="C1" s="19" t="s">
        <v>18</v>
      </c>
      <c r="D1" s="19" t="s">
        <v>21</v>
      </c>
      <c r="E1" s="140"/>
      <c r="G1" t="s">
        <v>43</v>
      </c>
      <c r="H1">
        <f>SUM(D:D)</f>
        <v>169</v>
      </c>
    </row>
    <row r="2" spans="1:8" x14ac:dyDescent="0.3">
      <c r="A2">
        <v>1</v>
      </c>
      <c r="B2">
        <v>3</v>
      </c>
      <c r="C2">
        <v>1</v>
      </c>
      <c r="D2">
        <v>1</v>
      </c>
    </row>
    <row r="3" spans="1:8" x14ac:dyDescent="0.3">
      <c r="A3">
        <v>2</v>
      </c>
      <c r="B3">
        <v>5</v>
      </c>
      <c r="C3">
        <v>1</v>
      </c>
      <c r="D3">
        <v>1</v>
      </c>
    </row>
    <row r="4" spans="1:8" x14ac:dyDescent="0.3">
      <c r="A4">
        <v>3</v>
      </c>
      <c r="B4">
        <v>7</v>
      </c>
      <c r="C4">
        <v>1</v>
      </c>
      <c r="D4">
        <v>1</v>
      </c>
    </row>
    <row r="5" spans="1:8" x14ac:dyDescent="0.3">
      <c r="A5">
        <v>4</v>
      </c>
      <c r="B5">
        <v>8</v>
      </c>
      <c r="C5">
        <v>1</v>
      </c>
      <c r="D5">
        <v>1</v>
      </c>
    </row>
    <row r="6" spans="1:8" x14ac:dyDescent="0.3">
      <c r="A6">
        <v>5</v>
      </c>
      <c r="B6">
        <v>9</v>
      </c>
      <c r="C6">
        <v>1</v>
      </c>
      <c r="D6">
        <v>1</v>
      </c>
    </row>
    <row r="7" spans="1:8" x14ac:dyDescent="0.3">
      <c r="A7">
        <v>6</v>
      </c>
      <c r="B7">
        <v>12</v>
      </c>
      <c r="C7">
        <v>1</v>
      </c>
      <c r="D7">
        <v>1</v>
      </c>
    </row>
    <row r="8" spans="1:8" x14ac:dyDescent="0.3">
      <c r="A8">
        <v>7</v>
      </c>
      <c r="B8">
        <v>14</v>
      </c>
      <c r="C8">
        <v>1</v>
      </c>
      <c r="D8">
        <v>2</v>
      </c>
    </row>
    <row r="9" spans="1:8" x14ac:dyDescent="0.3">
      <c r="A9">
        <v>8</v>
      </c>
      <c r="B9">
        <v>15</v>
      </c>
      <c r="C9">
        <v>1</v>
      </c>
      <c r="D9">
        <v>2</v>
      </c>
    </row>
    <row r="10" spans="1:8" x14ac:dyDescent="0.3">
      <c r="A10">
        <v>9</v>
      </c>
      <c r="B10">
        <v>19</v>
      </c>
      <c r="C10">
        <v>2</v>
      </c>
      <c r="D10">
        <v>1</v>
      </c>
    </row>
    <row r="11" spans="1:8" x14ac:dyDescent="0.3">
      <c r="A11">
        <v>10</v>
      </c>
      <c r="B11">
        <v>20</v>
      </c>
      <c r="C11">
        <v>2</v>
      </c>
      <c r="D11">
        <v>1</v>
      </c>
    </row>
    <row r="12" spans="1:8" x14ac:dyDescent="0.3">
      <c r="A12">
        <v>11</v>
      </c>
      <c r="B12">
        <v>8</v>
      </c>
      <c r="C12">
        <v>2</v>
      </c>
      <c r="D12">
        <v>1</v>
      </c>
    </row>
    <row r="13" spans="1:8" x14ac:dyDescent="0.3">
      <c r="A13">
        <v>12</v>
      </c>
      <c r="B13">
        <v>22</v>
      </c>
      <c r="C13">
        <v>2</v>
      </c>
      <c r="D13">
        <v>1</v>
      </c>
    </row>
    <row r="14" spans="1:8" x14ac:dyDescent="0.3">
      <c r="A14">
        <v>13</v>
      </c>
      <c r="B14">
        <v>10</v>
      </c>
      <c r="C14">
        <v>2</v>
      </c>
      <c r="D14">
        <v>1</v>
      </c>
    </row>
    <row r="15" spans="1:8" x14ac:dyDescent="0.3">
      <c r="A15">
        <v>14</v>
      </c>
      <c r="B15">
        <v>23</v>
      </c>
      <c r="C15">
        <v>2</v>
      </c>
      <c r="D15">
        <v>1</v>
      </c>
    </row>
    <row r="16" spans="1:8" x14ac:dyDescent="0.3">
      <c r="A16">
        <v>15</v>
      </c>
      <c r="B16">
        <v>3</v>
      </c>
      <c r="C16">
        <v>3</v>
      </c>
      <c r="D16">
        <v>1</v>
      </c>
    </row>
    <row r="17" spans="1:4" x14ac:dyDescent="0.3">
      <c r="A17">
        <v>16</v>
      </c>
      <c r="B17">
        <v>5</v>
      </c>
      <c r="C17">
        <v>3</v>
      </c>
      <c r="D17">
        <v>1</v>
      </c>
    </row>
    <row r="18" spans="1:4" x14ac:dyDescent="0.3">
      <c r="A18">
        <v>17</v>
      </c>
      <c r="B18">
        <v>6</v>
      </c>
      <c r="C18">
        <v>3</v>
      </c>
      <c r="D18">
        <v>1</v>
      </c>
    </row>
    <row r="19" spans="1:4" x14ac:dyDescent="0.3">
      <c r="A19">
        <v>18</v>
      </c>
      <c r="B19">
        <v>21</v>
      </c>
      <c r="C19">
        <v>3</v>
      </c>
      <c r="D19">
        <v>1</v>
      </c>
    </row>
    <row r="20" spans="1:4" x14ac:dyDescent="0.3">
      <c r="A20">
        <v>19</v>
      </c>
      <c r="B20">
        <v>8</v>
      </c>
      <c r="C20">
        <v>3</v>
      </c>
      <c r="D20">
        <v>1</v>
      </c>
    </row>
    <row r="21" spans="1:4" x14ac:dyDescent="0.3">
      <c r="A21">
        <v>20</v>
      </c>
      <c r="B21">
        <v>10</v>
      </c>
      <c r="C21">
        <v>3</v>
      </c>
      <c r="D21">
        <v>1</v>
      </c>
    </row>
    <row r="22" spans="1:4" x14ac:dyDescent="0.3">
      <c r="A22">
        <v>21</v>
      </c>
      <c r="B22">
        <v>23</v>
      </c>
      <c r="C22">
        <v>4</v>
      </c>
      <c r="D22">
        <v>1</v>
      </c>
    </row>
    <row r="23" spans="1:4" x14ac:dyDescent="0.3">
      <c r="A23">
        <v>22</v>
      </c>
      <c r="B23">
        <v>8</v>
      </c>
      <c r="C23">
        <v>4</v>
      </c>
      <c r="D23">
        <v>1</v>
      </c>
    </row>
    <row r="24" spans="1:4" x14ac:dyDescent="0.3">
      <c r="A24">
        <v>23</v>
      </c>
      <c r="B24">
        <v>9</v>
      </c>
      <c r="C24">
        <v>4</v>
      </c>
      <c r="D24">
        <v>1</v>
      </c>
    </row>
    <row r="25" spans="1:4" x14ac:dyDescent="0.3">
      <c r="A25">
        <v>24</v>
      </c>
      <c r="B25">
        <v>4</v>
      </c>
      <c r="C25">
        <v>4</v>
      </c>
      <c r="D25">
        <v>1</v>
      </c>
    </row>
    <row r="26" spans="1:4" x14ac:dyDescent="0.3">
      <c r="A26">
        <v>25</v>
      </c>
      <c r="B26">
        <v>29</v>
      </c>
      <c r="C26">
        <v>4</v>
      </c>
      <c r="D26">
        <v>1</v>
      </c>
    </row>
    <row r="27" spans="1:4" x14ac:dyDescent="0.3">
      <c r="A27">
        <v>26</v>
      </c>
      <c r="B27">
        <v>9</v>
      </c>
      <c r="C27">
        <v>5</v>
      </c>
      <c r="D27">
        <v>1</v>
      </c>
    </row>
    <row r="28" spans="1:4" x14ac:dyDescent="0.3">
      <c r="A28">
        <v>27</v>
      </c>
      <c r="B28">
        <v>13</v>
      </c>
      <c r="C28">
        <v>5</v>
      </c>
      <c r="D28">
        <v>1</v>
      </c>
    </row>
    <row r="29" spans="1:4" x14ac:dyDescent="0.3">
      <c r="A29">
        <v>28</v>
      </c>
      <c r="B29">
        <v>19</v>
      </c>
      <c r="C29">
        <v>5</v>
      </c>
      <c r="D29">
        <v>1</v>
      </c>
    </row>
    <row r="30" spans="1:4" x14ac:dyDescent="0.3">
      <c r="A30">
        <v>29</v>
      </c>
      <c r="B30">
        <v>7</v>
      </c>
      <c r="C30">
        <v>5</v>
      </c>
      <c r="D30">
        <v>1</v>
      </c>
    </row>
    <row r="31" spans="1:4" x14ac:dyDescent="0.3">
      <c r="A31">
        <v>30</v>
      </c>
      <c r="B31">
        <v>1</v>
      </c>
      <c r="C31">
        <v>5</v>
      </c>
      <c r="D31">
        <v>1</v>
      </c>
    </row>
    <row r="32" spans="1:4" x14ac:dyDescent="0.3">
      <c r="A32">
        <v>31</v>
      </c>
      <c r="B32">
        <v>14</v>
      </c>
      <c r="C32">
        <v>6</v>
      </c>
      <c r="D32">
        <v>1</v>
      </c>
    </row>
    <row r="33" spans="1:4" x14ac:dyDescent="0.3">
      <c r="A33">
        <v>32</v>
      </c>
      <c r="B33">
        <v>10</v>
      </c>
      <c r="C33">
        <v>6</v>
      </c>
      <c r="D33">
        <v>1</v>
      </c>
    </row>
    <row r="34" spans="1:4" x14ac:dyDescent="0.3">
      <c r="A34">
        <v>33</v>
      </c>
      <c r="B34">
        <v>7</v>
      </c>
      <c r="C34">
        <v>6</v>
      </c>
      <c r="D34">
        <v>1</v>
      </c>
    </row>
    <row r="35" spans="1:4" x14ac:dyDescent="0.3">
      <c r="A35">
        <v>34</v>
      </c>
      <c r="B35">
        <v>12</v>
      </c>
      <c r="C35">
        <v>6</v>
      </c>
      <c r="D35">
        <v>1</v>
      </c>
    </row>
    <row r="36" spans="1:4" x14ac:dyDescent="0.3">
      <c r="A36">
        <v>35</v>
      </c>
      <c r="B36">
        <v>24</v>
      </c>
      <c r="C36">
        <v>6</v>
      </c>
      <c r="D36">
        <v>1</v>
      </c>
    </row>
    <row r="37" spans="1:4" x14ac:dyDescent="0.3">
      <c r="A37">
        <v>36</v>
      </c>
      <c r="B37">
        <v>29</v>
      </c>
      <c r="C37">
        <v>7</v>
      </c>
      <c r="D37">
        <v>1</v>
      </c>
    </row>
    <row r="38" spans="1:4" x14ac:dyDescent="0.3">
      <c r="A38">
        <v>37</v>
      </c>
      <c r="B38">
        <v>9</v>
      </c>
      <c r="C38">
        <v>7</v>
      </c>
      <c r="D38">
        <v>1</v>
      </c>
    </row>
    <row r="39" spans="1:4" x14ac:dyDescent="0.3">
      <c r="A39">
        <v>38</v>
      </c>
      <c r="B39">
        <v>20</v>
      </c>
      <c r="C39">
        <v>7</v>
      </c>
      <c r="D39">
        <v>1</v>
      </c>
    </row>
    <row r="40" spans="1:4" x14ac:dyDescent="0.3">
      <c r="A40">
        <v>39</v>
      </c>
      <c r="B40">
        <v>32</v>
      </c>
      <c r="C40">
        <v>7</v>
      </c>
      <c r="D40">
        <v>1</v>
      </c>
    </row>
    <row r="41" spans="1:4" x14ac:dyDescent="0.3">
      <c r="A41">
        <v>40</v>
      </c>
      <c r="B41">
        <v>5</v>
      </c>
      <c r="C41">
        <v>7</v>
      </c>
      <c r="D41">
        <v>1</v>
      </c>
    </row>
    <row r="42" spans="1:4" x14ac:dyDescent="0.3">
      <c r="A42">
        <v>41</v>
      </c>
      <c r="B42">
        <v>5</v>
      </c>
      <c r="C42">
        <v>7</v>
      </c>
      <c r="D42">
        <v>1</v>
      </c>
    </row>
    <row r="43" spans="1:4" x14ac:dyDescent="0.3">
      <c r="A43">
        <v>42</v>
      </c>
      <c r="B43">
        <v>31</v>
      </c>
      <c r="C43">
        <v>7</v>
      </c>
      <c r="D43">
        <v>1</v>
      </c>
    </row>
    <row r="44" spans="1:4" x14ac:dyDescent="0.3">
      <c r="A44">
        <v>43</v>
      </c>
      <c r="B44">
        <v>9</v>
      </c>
      <c r="C44">
        <v>8</v>
      </c>
      <c r="D44">
        <v>1</v>
      </c>
    </row>
    <row r="45" spans="1:4" x14ac:dyDescent="0.3">
      <c r="A45">
        <v>44</v>
      </c>
      <c r="B45">
        <v>36</v>
      </c>
      <c r="C45">
        <v>8</v>
      </c>
      <c r="D45">
        <v>1</v>
      </c>
    </row>
    <row r="46" spans="1:4" x14ac:dyDescent="0.3">
      <c r="A46">
        <v>45</v>
      </c>
      <c r="B46">
        <v>38</v>
      </c>
      <c r="C46">
        <v>8</v>
      </c>
      <c r="D46">
        <v>1</v>
      </c>
    </row>
    <row r="47" spans="1:4" x14ac:dyDescent="0.3">
      <c r="A47">
        <v>46</v>
      </c>
      <c r="B47">
        <v>37</v>
      </c>
      <c r="C47">
        <v>8</v>
      </c>
      <c r="D47">
        <v>1</v>
      </c>
    </row>
    <row r="48" spans="1:4" x14ac:dyDescent="0.3">
      <c r="A48">
        <v>47</v>
      </c>
      <c r="B48">
        <v>2</v>
      </c>
      <c r="C48">
        <v>8</v>
      </c>
      <c r="D48">
        <v>1</v>
      </c>
    </row>
    <row r="49" spans="1:4" x14ac:dyDescent="0.3">
      <c r="A49">
        <v>48</v>
      </c>
      <c r="B49">
        <v>8</v>
      </c>
      <c r="C49">
        <v>8</v>
      </c>
      <c r="D49">
        <v>1</v>
      </c>
    </row>
    <row r="50" spans="1:4" x14ac:dyDescent="0.3">
      <c r="A50">
        <v>49</v>
      </c>
      <c r="B50">
        <v>38</v>
      </c>
      <c r="C50">
        <v>8</v>
      </c>
      <c r="D50">
        <v>1</v>
      </c>
    </row>
    <row r="51" spans="1:4" x14ac:dyDescent="0.3">
      <c r="A51">
        <v>50</v>
      </c>
      <c r="B51">
        <v>8</v>
      </c>
      <c r="C51">
        <v>9</v>
      </c>
      <c r="D51">
        <v>1</v>
      </c>
    </row>
    <row r="52" spans="1:4" x14ac:dyDescent="0.3">
      <c r="A52">
        <v>51</v>
      </c>
      <c r="B52">
        <v>9</v>
      </c>
      <c r="C52">
        <v>9</v>
      </c>
      <c r="D52">
        <v>1</v>
      </c>
    </row>
    <row r="53" spans="1:4" x14ac:dyDescent="0.3">
      <c r="A53">
        <v>52</v>
      </c>
      <c r="B53">
        <v>37</v>
      </c>
      <c r="C53">
        <v>9</v>
      </c>
      <c r="D53">
        <v>1</v>
      </c>
    </row>
    <row r="54" spans="1:4" x14ac:dyDescent="0.3">
      <c r="A54">
        <v>53</v>
      </c>
      <c r="B54">
        <v>2</v>
      </c>
      <c r="C54">
        <v>9</v>
      </c>
      <c r="D54">
        <v>1</v>
      </c>
    </row>
    <row r="55" spans="1:4" x14ac:dyDescent="0.3">
      <c r="A55">
        <v>54</v>
      </c>
      <c r="B55">
        <v>12</v>
      </c>
      <c r="C55">
        <v>9</v>
      </c>
      <c r="D55">
        <v>1</v>
      </c>
    </row>
    <row r="56" spans="1:4" x14ac:dyDescent="0.3">
      <c r="A56">
        <v>55</v>
      </c>
      <c r="B56">
        <v>15</v>
      </c>
      <c r="C56">
        <v>10</v>
      </c>
      <c r="D56">
        <v>1</v>
      </c>
    </row>
    <row r="57" spans="1:4" x14ac:dyDescent="0.3">
      <c r="A57">
        <v>56</v>
      </c>
      <c r="B57">
        <v>23</v>
      </c>
      <c r="C57">
        <v>10</v>
      </c>
      <c r="D57">
        <v>2</v>
      </c>
    </row>
    <row r="58" spans="1:4" x14ac:dyDescent="0.3">
      <c r="A58">
        <v>57</v>
      </c>
      <c r="B58">
        <v>35</v>
      </c>
      <c r="C58">
        <v>10</v>
      </c>
      <c r="D58">
        <v>1</v>
      </c>
    </row>
    <row r="59" spans="1:4" x14ac:dyDescent="0.3">
      <c r="A59">
        <v>58</v>
      </c>
      <c r="B59">
        <v>8</v>
      </c>
      <c r="C59">
        <v>10</v>
      </c>
      <c r="D59">
        <v>1</v>
      </c>
    </row>
    <row r="60" spans="1:4" x14ac:dyDescent="0.3">
      <c r="A60">
        <v>59</v>
      </c>
      <c r="B60">
        <v>33</v>
      </c>
      <c r="C60">
        <v>11</v>
      </c>
      <c r="D60">
        <v>1</v>
      </c>
    </row>
    <row r="61" spans="1:4" x14ac:dyDescent="0.3">
      <c r="A61">
        <v>60</v>
      </c>
      <c r="B61">
        <v>14</v>
      </c>
      <c r="C61">
        <v>11</v>
      </c>
      <c r="D61">
        <v>1</v>
      </c>
    </row>
    <row r="62" spans="1:4" x14ac:dyDescent="0.3">
      <c r="A62">
        <v>61</v>
      </c>
      <c r="B62">
        <v>20</v>
      </c>
      <c r="C62">
        <v>11</v>
      </c>
      <c r="D62">
        <v>1</v>
      </c>
    </row>
    <row r="63" spans="1:4" x14ac:dyDescent="0.3">
      <c r="A63">
        <v>62</v>
      </c>
      <c r="B63">
        <v>18</v>
      </c>
      <c r="C63">
        <v>11</v>
      </c>
      <c r="D63">
        <v>1</v>
      </c>
    </row>
    <row r="64" spans="1:4" x14ac:dyDescent="0.3">
      <c r="A64">
        <v>63</v>
      </c>
      <c r="B64">
        <v>1</v>
      </c>
      <c r="C64">
        <v>11</v>
      </c>
      <c r="D64">
        <v>1</v>
      </c>
    </row>
    <row r="65" spans="1:4" x14ac:dyDescent="0.3">
      <c r="A65">
        <v>64</v>
      </c>
      <c r="B65">
        <v>38</v>
      </c>
      <c r="C65">
        <v>11</v>
      </c>
      <c r="D65">
        <v>1</v>
      </c>
    </row>
    <row r="66" spans="1:4" x14ac:dyDescent="0.3">
      <c r="A66">
        <v>65</v>
      </c>
      <c r="B66">
        <v>9</v>
      </c>
      <c r="C66">
        <v>12</v>
      </c>
      <c r="D66">
        <v>1</v>
      </c>
    </row>
    <row r="67" spans="1:4" x14ac:dyDescent="0.3">
      <c r="A67">
        <v>66</v>
      </c>
      <c r="B67">
        <v>19</v>
      </c>
      <c r="C67">
        <v>12</v>
      </c>
      <c r="D67">
        <v>2</v>
      </c>
    </row>
    <row r="68" spans="1:4" x14ac:dyDescent="0.3">
      <c r="A68">
        <v>67</v>
      </c>
      <c r="B68">
        <v>4</v>
      </c>
      <c r="C68">
        <v>12</v>
      </c>
      <c r="D68">
        <v>2</v>
      </c>
    </row>
    <row r="69" spans="1:4" x14ac:dyDescent="0.3">
      <c r="A69">
        <v>68</v>
      </c>
      <c r="B69">
        <v>32</v>
      </c>
      <c r="C69">
        <v>12</v>
      </c>
      <c r="D69">
        <v>1</v>
      </c>
    </row>
    <row r="70" spans="1:4" x14ac:dyDescent="0.3">
      <c r="A70">
        <v>69</v>
      </c>
      <c r="B70">
        <v>35</v>
      </c>
      <c r="C70">
        <v>13</v>
      </c>
      <c r="D70">
        <v>1</v>
      </c>
    </row>
    <row r="71" spans="1:4" x14ac:dyDescent="0.3">
      <c r="A71">
        <v>70</v>
      </c>
      <c r="B71">
        <v>33</v>
      </c>
      <c r="C71">
        <v>13</v>
      </c>
      <c r="D71">
        <v>1</v>
      </c>
    </row>
    <row r="72" spans="1:4" x14ac:dyDescent="0.3">
      <c r="A72">
        <v>71</v>
      </c>
      <c r="B72">
        <v>38</v>
      </c>
      <c r="C72">
        <v>13</v>
      </c>
      <c r="D72">
        <v>1</v>
      </c>
    </row>
    <row r="73" spans="1:4" x14ac:dyDescent="0.3">
      <c r="A73">
        <v>72</v>
      </c>
      <c r="B73">
        <v>14</v>
      </c>
      <c r="C73">
        <v>13</v>
      </c>
      <c r="D73">
        <v>1</v>
      </c>
    </row>
    <row r="74" spans="1:4" x14ac:dyDescent="0.3">
      <c r="A74">
        <v>73</v>
      </c>
      <c r="B74">
        <v>8</v>
      </c>
      <c r="C74">
        <v>13</v>
      </c>
      <c r="D74">
        <v>1</v>
      </c>
    </row>
    <row r="75" spans="1:4" x14ac:dyDescent="0.3">
      <c r="A75">
        <v>74</v>
      </c>
      <c r="B75">
        <v>36</v>
      </c>
      <c r="C75">
        <v>14</v>
      </c>
      <c r="D75">
        <v>1</v>
      </c>
    </row>
    <row r="76" spans="1:4" x14ac:dyDescent="0.3">
      <c r="A76">
        <v>75</v>
      </c>
      <c r="B76">
        <v>41</v>
      </c>
      <c r="C76">
        <v>14</v>
      </c>
      <c r="D76">
        <v>2</v>
      </c>
    </row>
    <row r="77" spans="1:4" x14ac:dyDescent="0.3">
      <c r="A77">
        <v>76</v>
      </c>
      <c r="B77">
        <v>7</v>
      </c>
      <c r="C77">
        <v>14</v>
      </c>
      <c r="D77">
        <v>1</v>
      </c>
    </row>
    <row r="78" spans="1:4" x14ac:dyDescent="0.3">
      <c r="A78">
        <v>77</v>
      </c>
      <c r="B78">
        <v>1</v>
      </c>
      <c r="C78">
        <v>14</v>
      </c>
      <c r="D78">
        <v>1</v>
      </c>
    </row>
    <row r="79" spans="1:4" x14ac:dyDescent="0.3">
      <c r="A79">
        <v>78</v>
      </c>
      <c r="B79">
        <v>43</v>
      </c>
      <c r="C79">
        <v>14</v>
      </c>
      <c r="D79">
        <v>1</v>
      </c>
    </row>
    <row r="80" spans="1:4" x14ac:dyDescent="0.3">
      <c r="A80">
        <v>79</v>
      </c>
      <c r="B80">
        <v>33</v>
      </c>
      <c r="C80">
        <v>15</v>
      </c>
      <c r="D80">
        <v>1</v>
      </c>
    </row>
    <row r="81" spans="1:4" x14ac:dyDescent="0.3">
      <c r="A81">
        <v>80</v>
      </c>
      <c r="B81">
        <v>6</v>
      </c>
      <c r="C81">
        <v>15</v>
      </c>
      <c r="D81">
        <v>1</v>
      </c>
    </row>
    <row r="82" spans="1:4" x14ac:dyDescent="0.3">
      <c r="A82">
        <v>81</v>
      </c>
      <c r="B82">
        <v>37</v>
      </c>
      <c r="C82">
        <v>15</v>
      </c>
      <c r="D82">
        <v>1</v>
      </c>
    </row>
    <row r="83" spans="1:4" x14ac:dyDescent="0.3">
      <c r="A83">
        <v>82</v>
      </c>
      <c r="B83">
        <v>34</v>
      </c>
      <c r="C83">
        <v>15</v>
      </c>
      <c r="D83">
        <v>1</v>
      </c>
    </row>
    <row r="84" spans="1:4" x14ac:dyDescent="0.3">
      <c r="A84">
        <v>83</v>
      </c>
      <c r="B84">
        <v>44</v>
      </c>
      <c r="C84">
        <v>15</v>
      </c>
      <c r="D84">
        <v>1</v>
      </c>
    </row>
    <row r="85" spans="1:4" x14ac:dyDescent="0.3">
      <c r="A85">
        <v>84</v>
      </c>
      <c r="B85">
        <v>15</v>
      </c>
      <c r="C85">
        <v>15</v>
      </c>
      <c r="D85">
        <v>1</v>
      </c>
    </row>
    <row r="86" spans="1:4" x14ac:dyDescent="0.3">
      <c r="A86">
        <v>85</v>
      </c>
      <c r="B86">
        <v>41</v>
      </c>
      <c r="C86">
        <v>16</v>
      </c>
      <c r="D86">
        <v>1</v>
      </c>
    </row>
    <row r="87" spans="1:4" x14ac:dyDescent="0.3">
      <c r="A87">
        <v>86</v>
      </c>
      <c r="B87">
        <v>5</v>
      </c>
      <c r="C87">
        <v>16</v>
      </c>
      <c r="D87">
        <v>1</v>
      </c>
    </row>
    <row r="88" spans="1:4" x14ac:dyDescent="0.3">
      <c r="A88">
        <v>87</v>
      </c>
      <c r="B88">
        <v>14</v>
      </c>
      <c r="C88">
        <v>16</v>
      </c>
      <c r="D88">
        <v>1</v>
      </c>
    </row>
    <row r="89" spans="1:4" x14ac:dyDescent="0.3">
      <c r="A89">
        <v>88</v>
      </c>
      <c r="B89">
        <v>15</v>
      </c>
      <c r="C89">
        <v>16</v>
      </c>
      <c r="D89">
        <v>1</v>
      </c>
    </row>
    <row r="90" spans="1:4" x14ac:dyDescent="0.3">
      <c r="A90">
        <v>89</v>
      </c>
      <c r="B90">
        <v>10</v>
      </c>
      <c r="C90">
        <v>16</v>
      </c>
      <c r="D90">
        <v>2</v>
      </c>
    </row>
    <row r="91" spans="1:4" x14ac:dyDescent="0.3">
      <c r="A91">
        <v>90</v>
      </c>
      <c r="B91">
        <v>48</v>
      </c>
      <c r="C91">
        <v>17</v>
      </c>
      <c r="D91">
        <v>1</v>
      </c>
    </row>
    <row r="92" spans="1:4" x14ac:dyDescent="0.3">
      <c r="A92">
        <v>91</v>
      </c>
      <c r="B92">
        <v>46</v>
      </c>
      <c r="C92">
        <v>17</v>
      </c>
      <c r="D92">
        <v>1</v>
      </c>
    </row>
    <row r="93" spans="1:4" x14ac:dyDescent="0.3">
      <c r="A93">
        <v>92</v>
      </c>
      <c r="B93">
        <v>1</v>
      </c>
      <c r="C93">
        <v>17</v>
      </c>
      <c r="D93">
        <v>2</v>
      </c>
    </row>
    <row r="94" spans="1:4" x14ac:dyDescent="0.3">
      <c r="A94">
        <v>93</v>
      </c>
      <c r="B94">
        <v>42</v>
      </c>
      <c r="C94">
        <v>17</v>
      </c>
      <c r="D94">
        <v>1</v>
      </c>
    </row>
    <row r="95" spans="1:4" x14ac:dyDescent="0.3">
      <c r="A95">
        <v>94</v>
      </c>
      <c r="B95">
        <v>20</v>
      </c>
      <c r="C95">
        <v>17</v>
      </c>
      <c r="D95">
        <v>1</v>
      </c>
    </row>
    <row r="96" spans="1:4" x14ac:dyDescent="0.3">
      <c r="A96">
        <v>95</v>
      </c>
      <c r="B96">
        <v>32</v>
      </c>
      <c r="C96">
        <v>17</v>
      </c>
      <c r="D96">
        <v>1</v>
      </c>
    </row>
    <row r="97" spans="1:4" x14ac:dyDescent="0.3">
      <c r="A97">
        <v>96</v>
      </c>
      <c r="B97">
        <v>37</v>
      </c>
      <c r="C97">
        <v>18</v>
      </c>
      <c r="D97">
        <v>1</v>
      </c>
    </row>
    <row r="98" spans="1:4" x14ac:dyDescent="0.3">
      <c r="A98">
        <v>97</v>
      </c>
      <c r="B98">
        <v>33</v>
      </c>
      <c r="C98">
        <v>18</v>
      </c>
      <c r="D98">
        <v>2</v>
      </c>
    </row>
    <row r="99" spans="1:4" x14ac:dyDescent="0.3">
      <c r="A99">
        <v>98</v>
      </c>
      <c r="B99">
        <v>44</v>
      </c>
      <c r="C99">
        <v>18</v>
      </c>
      <c r="D99">
        <v>1</v>
      </c>
    </row>
    <row r="100" spans="1:4" x14ac:dyDescent="0.3">
      <c r="A100">
        <v>99</v>
      </c>
      <c r="B100">
        <v>10</v>
      </c>
      <c r="C100">
        <v>18</v>
      </c>
      <c r="D100">
        <v>1</v>
      </c>
    </row>
    <row r="101" spans="1:4" x14ac:dyDescent="0.3">
      <c r="A101">
        <v>100</v>
      </c>
      <c r="B101">
        <v>41</v>
      </c>
      <c r="C101">
        <v>18</v>
      </c>
      <c r="D101">
        <v>1</v>
      </c>
    </row>
    <row r="102" spans="1:4" x14ac:dyDescent="0.3">
      <c r="A102">
        <v>101</v>
      </c>
      <c r="B102">
        <v>15</v>
      </c>
      <c r="C102">
        <v>19</v>
      </c>
      <c r="D102">
        <v>1</v>
      </c>
    </row>
    <row r="103" spans="1:4" x14ac:dyDescent="0.3">
      <c r="A103">
        <v>102</v>
      </c>
      <c r="B103">
        <v>10</v>
      </c>
      <c r="C103">
        <v>19</v>
      </c>
      <c r="D103">
        <v>1</v>
      </c>
    </row>
    <row r="104" spans="1:4" x14ac:dyDescent="0.3">
      <c r="A104">
        <v>103</v>
      </c>
      <c r="B104">
        <v>14</v>
      </c>
      <c r="C104">
        <v>19</v>
      </c>
      <c r="D104">
        <v>1</v>
      </c>
    </row>
    <row r="105" spans="1:4" x14ac:dyDescent="0.3">
      <c r="A105">
        <v>104</v>
      </c>
      <c r="B105">
        <v>46</v>
      </c>
      <c r="C105">
        <v>19</v>
      </c>
      <c r="D105">
        <v>1</v>
      </c>
    </row>
    <row r="106" spans="1:4" x14ac:dyDescent="0.3">
      <c r="A106">
        <v>105</v>
      </c>
      <c r="B106">
        <v>52</v>
      </c>
      <c r="C106">
        <v>19</v>
      </c>
      <c r="D106">
        <v>1</v>
      </c>
    </row>
    <row r="107" spans="1:4" x14ac:dyDescent="0.3">
      <c r="A107">
        <v>106</v>
      </c>
      <c r="B107">
        <v>20</v>
      </c>
      <c r="C107">
        <v>19</v>
      </c>
      <c r="D107">
        <v>2</v>
      </c>
    </row>
    <row r="108" spans="1:4" x14ac:dyDescent="0.3">
      <c r="A108">
        <v>107</v>
      </c>
      <c r="B108">
        <v>32</v>
      </c>
      <c r="C108">
        <v>19</v>
      </c>
      <c r="D108">
        <v>1</v>
      </c>
    </row>
    <row r="109" spans="1:4" x14ac:dyDescent="0.3">
      <c r="A109">
        <v>108</v>
      </c>
      <c r="B109">
        <v>13</v>
      </c>
      <c r="C109">
        <v>20</v>
      </c>
      <c r="D109">
        <v>1</v>
      </c>
    </row>
    <row r="110" spans="1:4" x14ac:dyDescent="0.3">
      <c r="A110">
        <v>109</v>
      </c>
      <c r="B110">
        <v>10</v>
      </c>
      <c r="C110">
        <v>20</v>
      </c>
      <c r="D110">
        <v>1</v>
      </c>
    </row>
    <row r="111" spans="1:4" x14ac:dyDescent="0.3">
      <c r="A111">
        <v>110</v>
      </c>
      <c r="B111">
        <v>29</v>
      </c>
      <c r="C111">
        <v>20</v>
      </c>
      <c r="D111">
        <v>2</v>
      </c>
    </row>
    <row r="112" spans="1:4" x14ac:dyDescent="0.3">
      <c r="A112">
        <v>111</v>
      </c>
      <c r="B112">
        <v>33</v>
      </c>
      <c r="C112">
        <v>20</v>
      </c>
      <c r="D112">
        <v>1</v>
      </c>
    </row>
    <row r="113" spans="1:4" x14ac:dyDescent="0.3">
      <c r="A113">
        <v>112</v>
      </c>
      <c r="B113">
        <v>48</v>
      </c>
      <c r="C113">
        <v>20</v>
      </c>
      <c r="D113">
        <v>1</v>
      </c>
    </row>
    <row r="114" spans="1:4" x14ac:dyDescent="0.3">
      <c r="A114">
        <v>113</v>
      </c>
      <c r="B114">
        <v>17</v>
      </c>
      <c r="C114">
        <v>21</v>
      </c>
      <c r="D114">
        <v>1</v>
      </c>
    </row>
    <row r="115" spans="1:4" x14ac:dyDescent="0.3">
      <c r="A115">
        <v>114</v>
      </c>
      <c r="B115">
        <v>34</v>
      </c>
      <c r="C115">
        <v>21</v>
      </c>
      <c r="D115">
        <v>1</v>
      </c>
    </row>
    <row r="116" spans="1:4" x14ac:dyDescent="0.3">
      <c r="A116">
        <v>115</v>
      </c>
      <c r="B116">
        <v>48</v>
      </c>
      <c r="C116">
        <v>21</v>
      </c>
      <c r="D116">
        <v>1</v>
      </c>
    </row>
    <row r="117" spans="1:4" x14ac:dyDescent="0.3">
      <c r="A117">
        <v>116</v>
      </c>
      <c r="B117">
        <v>13</v>
      </c>
      <c r="C117">
        <v>21</v>
      </c>
      <c r="D117">
        <v>1</v>
      </c>
    </row>
    <row r="118" spans="1:4" x14ac:dyDescent="0.3">
      <c r="A118">
        <v>117</v>
      </c>
      <c r="B118">
        <v>10</v>
      </c>
      <c r="C118">
        <v>21</v>
      </c>
      <c r="D118">
        <v>1</v>
      </c>
    </row>
    <row r="119" spans="1:4" x14ac:dyDescent="0.3">
      <c r="A119">
        <v>118</v>
      </c>
      <c r="B119">
        <v>13</v>
      </c>
      <c r="C119">
        <v>22</v>
      </c>
      <c r="D119">
        <v>2</v>
      </c>
    </row>
    <row r="120" spans="1:4" x14ac:dyDescent="0.3">
      <c r="A120">
        <v>119</v>
      </c>
      <c r="B120">
        <v>56</v>
      </c>
      <c r="C120">
        <v>22</v>
      </c>
      <c r="D120">
        <v>2</v>
      </c>
    </row>
    <row r="121" spans="1:4" x14ac:dyDescent="0.3">
      <c r="A121">
        <v>120</v>
      </c>
      <c r="B121">
        <v>14</v>
      </c>
      <c r="C121">
        <v>22</v>
      </c>
      <c r="D121">
        <v>1</v>
      </c>
    </row>
    <row r="122" spans="1:4" x14ac:dyDescent="0.3">
      <c r="A122">
        <v>121</v>
      </c>
      <c r="B122">
        <v>10</v>
      </c>
      <c r="C122">
        <v>22</v>
      </c>
      <c r="D122">
        <v>1</v>
      </c>
    </row>
    <row r="123" spans="1:4" x14ac:dyDescent="0.3">
      <c r="A123">
        <v>122</v>
      </c>
      <c r="B123">
        <v>33</v>
      </c>
      <c r="C123">
        <v>23</v>
      </c>
      <c r="D123">
        <v>1</v>
      </c>
    </row>
    <row r="124" spans="1:4" x14ac:dyDescent="0.3">
      <c r="A124">
        <v>123</v>
      </c>
      <c r="B124">
        <v>46</v>
      </c>
      <c r="C124">
        <v>23</v>
      </c>
      <c r="D124">
        <v>1</v>
      </c>
    </row>
    <row r="125" spans="1:4" x14ac:dyDescent="0.3">
      <c r="A125">
        <v>124</v>
      </c>
      <c r="B125">
        <v>36</v>
      </c>
      <c r="C125">
        <v>23</v>
      </c>
      <c r="D125">
        <v>1</v>
      </c>
    </row>
    <row r="126" spans="1:4" x14ac:dyDescent="0.3">
      <c r="A126">
        <v>125</v>
      </c>
      <c r="B126">
        <v>52</v>
      </c>
      <c r="C126">
        <v>23</v>
      </c>
      <c r="D126">
        <v>3</v>
      </c>
    </row>
    <row r="127" spans="1:4" x14ac:dyDescent="0.3">
      <c r="A127">
        <v>126</v>
      </c>
      <c r="B127">
        <v>60</v>
      </c>
      <c r="C127">
        <v>23</v>
      </c>
      <c r="D127">
        <v>1</v>
      </c>
    </row>
    <row r="128" spans="1:4" x14ac:dyDescent="0.3">
      <c r="A128">
        <v>127</v>
      </c>
      <c r="B128">
        <v>54</v>
      </c>
      <c r="C128">
        <v>23</v>
      </c>
      <c r="D128">
        <v>1</v>
      </c>
    </row>
    <row r="129" spans="1:9" x14ac:dyDescent="0.3">
      <c r="A129">
        <v>128</v>
      </c>
      <c r="B129">
        <v>53</v>
      </c>
      <c r="C129">
        <v>24</v>
      </c>
      <c r="D129">
        <v>1</v>
      </c>
    </row>
    <row r="130" spans="1:9" x14ac:dyDescent="0.3">
      <c r="A130">
        <v>129</v>
      </c>
      <c r="B130">
        <v>37</v>
      </c>
      <c r="C130">
        <v>24</v>
      </c>
      <c r="D130">
        <v>1</v>
      </c>
    </row>
    <row r="131" spans="1:9" x14ac:dyDescent="0.3">
      <c r="A131">
        <v>130</v>
      </c>
      <c r="B131">
        <v>34</v>
      </c>
      <c r="C131">
        <v>24</v>
      </c>
      <c r="D131">
        <v>1</v>
      </c>
    </row>
    <row r="132" spans="1:9" x14ac:dyDescent="0.3">
      <c r="A132">
        <v>131</v>
      </c>
      <c r="B132">
        <v>44</v>
      </c>
      <c r="C132">
        <v>24</v>
      </c>
      <c r="D132">
        <v>2</v>
      </c>
    </row>
    <row r="133" spans="1:9" x14ac:dyDescent="0.3">
      <c r="A133">
        <v>132</v>
      </c>
      <c r="B133">
        <v>62</v>
      </c>
      <c r="C133">
        <v>24</v>
      </c>
      <c r="D133">
        <v>1</v>
      </c>
    </row>
    <row r="134" spans="1:9" x14ac:dyDescent="0.3">
      <c r="A134">
        <v>133</v>
      </c>
      <c r="B134">
        <v>43</v>
      </c>
      <c r="C134">
        <v>24</v>
      </c>
      <c r="D134">
        <v>1</v>
      </c>
    </row>
    <row r="135" spans="1:9" x14ac:dyDescent="0.3">
      <c r="A135">
        <v>134</v>
      </c>
      <c r="B135">
        <v>52</v>
      </c>
      <c r="C135">
        <v>25</v>
      </c>
      <c r="D135">
        <v>1</v>
      </c>
      <c r="E135">
        <f>INDEX(Persons!A:A,MATCH(Prizes!F135,Persons!B:B,0))</f>
        <v>52</v>
      </c>
      <c r="F135" s="2" t="str">
        <f t="shared" ref="F135:F139" si="0">MID(I135,FIND("""name"": """,I135)+9,FIND("""",I135,FIND("""name"": """,I135)+9)-FIND("""name"": """,I135)-9)</f>
        <v>Anders Sz</v>
      </c>
      <c r="G135">
        <f t="shared" ref="G135:G139" si="1">VALUE(MID(I135,FIND("""prizes"": ",I135)+10,FIND("}",I135,FIND("""prizes"": ",I135))-FIND("""prizes"": ",I135)-10))</f>
        <v>1</v>
      </c>
      <c r="I135" t="s">
        <v>163</v>
      </c>
    </row>
    <row r="136" spans="1:9" x14ac:dyDescent="0.3">
      <c r="A136">
        <v>135</v>
      </c>
      <c r="B136">
        <v>46</v>
      </c>
      <c r="C136">
        <v>25</v>
      </c>
      <c r="D136">
        <v>1</v>
      </c>
      <c r="E136">
        <f>INDEX(Persons!A:A,MATCH(Prizes!F136,Persons!B:B,0))</f>
        <v>46</v>
      </c>
      <c r="F136" s="2" t="str">
        <f t="shared" si="0"/>
        <v>Ciaran</v>
      </c>
      <c r="G136">
        <f t="shared" si="1"/>
        <v>1</v>
      </c>
      <c r="I136" t="s">
        <v>170</v>
      </c>
    </row>
    <row r="137" spans="1:9" x14ac:dyDescent="0.3">
      <c r="A137">
        <v>136</v>
      </c>
      <c r="B137">
        <v>32</v>
      </c>
      <c r="C137">
        <v>25</v>
      </c>
      <c r="D137">
        <v>2</v>
      </c>
      <c r="E137">
        <f>INDEX(Persons!A:A,MATCH(Prizes!F137,Persons!B:B,0))</f>
        <v>32</v>
      </c>
      <c r="F137" s="2" t="str">
        <f t="shared" si="0"/>
        <v>Martin</v>
      </c>
      <c r="G137">
        <f t="shared" si="1"/>
        <v>2</v>
      </c>
      <c r="I137" t="s">
        <v>171</v>
      </c>
    </row>
    <row r="138" spans="1:9" x14ac:dyDescent="0.3">
      <c r="A138">
        <v>137</v>
      </c>
      <c r="B138">
        <v>10</v>
      </c>
      <c r="C138">
        <v>25</v>
      </c>
      <c r="D138">
        <v>1</v>
      </c>
      <c r="E138">
        <f>INDEX(Persons!A:A,MATCH(Prizes!F138,Persons!B:B,0))</f>
        <v>10</v>
      </c>
      <c r="F138" s="2" t="str">
        <f t="shared" si="0"/>
        <v>Odd</v>
      </c>
      <c r="G138">
        <f t="shared" si="1"/>
        <v>1</v>
      </c>
      <c r="I138" t="s">
        <v>173</v>
      </c>
    </row>
    <row r="139" spans="1:9" x14ac:dyDescent="0.3">
      <c r="A139">
        <v>138</v>
      </c>
      <c r="B139">
        <v>52</v>
      </c>
      <c r="C139">
        <v>25</v>
      </c>
      <c r="D139">
        <v>1</v>
      </c>
      <c r="E139">
        <f>INDEX(Persons!A:A,MATCH(Prizes!F139,Persons!B:B,0))</f>
        <v>52</v>
      </c>
      <c r="F139" s="2" t="str">
        <f t="shared" si="0"/>
        <v>Anders Sz</v>
      </c>
      <c r="G139">
        <f t="shared" si="1"/>
        <v>1</v>
      </c>
      <c r="I139" t="s">
        <v>174</v>
      </c>
    </row>
    <row r="140" spans="1:9" x14ac:dyDescent="0.3">
      <c r="A140">
        <v>139</v>
      </c>
      <c r="B140">
        <v>33</v>
      </c>
      <c r="C140">
        <v>26</v>
      </c>
      <c r="D140">
        <v>1</v>
      </c>
      <c r="E140">
        <f>INDEX(Persons!A:A,MATCH(Prizes!F140,Persons!B:B,0))</f>
        <v>33</v>
      </c>
      <c r="F140" s="2" t="str">
        <f t="shared" ref="F140:F141" si="2">MID(I140,FIND("""name"": """,I140)+9,FIND("""",I140,FIND("""name"": """,I140)+9)-FIND("""name"": """,I140)-9)</f>
        <v>Anders A</v>
      </c>
      <c r="G140">
        <f t="shared" ref="G140:G141" si="3">VALUE(MID(I140,FIND("""prizes"": ",I140)+10,FIND("}",I140,FIND("""prizes"": ",I140))-FIND("""prizes"": ",I140)-10))</f>
        <v>1</v>
      </c>
      <c r="I140" t="s">
        <v>190</v>
      </c>
    </row>
    <row r="141" spans="1:9" x14ac:dyDescent="0.3">
      <c r="A141">
        <v>140</v>
      </c>
      <c r="B141">
        <v>41</v>
      </c>
      <c r="C141">
        <v>26</v>
      </c>
      <c r="D141">
        <v>1</v>
      </c>
      <c r="E141">
        <f>INDEX(Persons!A:A,MATCH(Prizes!F141,Persons!B:B,0))</f>
        <v>41</v>
      </c>
      <c r="F141" s="2" t="str">
        <f t="shared" si="2"/>
        <v>Ruben B</v>
      </c>
      <c r="G141">
        <f t="shared" si="3"/>
        <v>1</v>
      </c>
      <c r="I141" t="s">
        <v>191</v>
      </c>
    </row>
    <row r="142" spans="1:9" x14ac:dyDescent="0.3">
      <c r="A142">
        <v>141</v>
      </c>
      <c r="B142">
        <v>57</v>
      </c>
      <c r="C142">
        <v>26</v>
      </c>
      <c r="D142">
        <v>1</v>
      </c>
      <c r="E142">
        <f>INDEX(Persons!A:A,MATCH(Prizes!F142,Persons!B:B,0))</f>
        <v>57</v>
      </c>
      <c r="F142" s="2" t="str">
        <f t="shared" ref="F142:F145" si="4">MID(I142,FIND("""name"": """,I142)+9,FIND("""",I142,FIND("""name"": """,I142)+9)-FIND("""name"": """,I142)-9)</f>
        <v>Helga</v>
      </c>
      <c r="G142">
        <f t="shared" ref="G142:G145" si="5">VALUE(MID(I142,FIND("""prizes"": ",I142)+10,FIND("}",I142,FIND("""prizes"": ",I142))-FIND("""prizes"": ",I142)-10))</f>
        <v>1</v>
      </c>
      <c r="I142" t="s">
        <v>196</v>
      </c>
    </row>
    <row r="143" spans="1:9" x14ac:dyDescent="0.3">
      <c r="A143">
        <v>142</v>
      </c>
      <c r="B143">
        <v>14</v>
      </c>
      <c r="C143">
        <v>26</v>
      </c>
      <c r="D143">
        <v>2</v>
      </c>
      <c r="E143">
        <f>INDEX(Persons!A:A,MATCH(Prizes!F143,Persons!B:B,0))</f>
        <v>14</v>
      </c>
      <c r="F143" s="2" t="str">
        <f t="shared" si="4"/>
        <v>Truls</v>
      </c>
      <c r="G143">
        <f t="shared" si="5"/>
        <v>2</v>
      </c>
      <c r="I143" t="s">
        <v>197</v>
      </c>
    </row>
    <row r="144" spans="1:9" x14ac:dyDescent="0.3">
      <c r="A144">
        <v>143</v>
      </c>
      <c r="B144">
        <v>48</v>
      </c>
      <c r="C144">
        <v>26</v>
      </c>
      <c r="D144">
        <v>1</v>
      </c>
      <c r="E144">
        <f>INDEX(Persons!A:A,MATCH(Prizes!F144,Persons!B:B,0))</f>
        <v>48</v>
      </c>
      <c r="F144" s="2" t="str">
        <f t="shared" si="4"/>
        <v>Ivan</v>
      </c>
      <c r="G144">
        <f t="shared" si="5"/>
        <v>1</v>
      </c>
      <c r="I144" t="s">
        <v>202</v>
      </c>
    </row>
    <row r="145" spans="1:9" x14ac:dyDescent="0.3">
      <c r="A145">
        <v>144</v>
      </c>
      <c r="B145">
        <v>64</v>
      </c>
      <c r="C145">
        <v>26</v>
      </c>
      <c r="D145">
        <v>2</v>
      </c>
      <c r="E145">
        <f>INDEX(Persons!A:A,MATCH(Prizes!F145,Persons!B:B,0))</f>
        <v>64</v>
      </c>
      <c r="F145" s="2" t="str">
        <f t="shared" si="4"/>
        <v>Øystein</v>
      </c>
      <c r="G145">
        <f t="shared" si="5"/>
        <v>2</v>
      </c>
      <c r="I145" t="s">
        <v>203</v>
      </c>
    </row>
    <row r="146" spans="1:9" x14ac:dyDescent="0.3">
      <c r="A146">
        <v>145</v>
      </c>
      <c r="B146">
        <v>67</v>
      </c>
      <c r="C146">
        <v>27</v>
      </c>
      <c r="D146">
        <v>2</v>
      </c>
      <c r="E146">
        <f>INDEX(Persons!A:A,MATCH(Prizes!F146,Persons!B:B,0))</f>
        <v>67</v>
      </c>
      <c r="F146" s="2" t="s">
        <v>207</v>
      </c>
      <c r="G146">
        <v>2</v>
      </c>
    </row>
    <row r="147" spans="1:9" x14ac:dyDescent="0.3">
      <c r="A147">
        <v>146</v>
      </c>
      <c r="B147">
        <v>61</v>
      </c>
      <c r="C147">
        <v>27</v>
      </c>
      <c r="D147">
        <v>2</v>
      </c>
      <c r="E147">
        <f>INDEX(Persons!A:A,MATCH(Prizes!F147,Persons!B:B,0))</f>
        <v>61</v>
      </c>
      <c r="F147" s="2" t="s">
        <v>146</v>
      </c>
      <c r="G147">
        <v>2</v>
      </c>
    </row>
    <row r="148" spans="1:9" x14ac:dyDescent="0.3">
      <c r="A148">
        <v>147</v>
      </c>
      <c r="B148">
        <v>47</v>
      </c>
      <c r="C148">
        <v>27</v>
      </c>
      <c r="D148">
        <v>2</v>
      </c>
      <c r="E148">
        <f>INDEX(Persons!A:A,MATCH(Prizes!F148,Persons!B:B,0))</f>
        <v>47</v>
      </c>
      <c r="F148" s="2" t="s">
        <v>7</v>
      </c>
      <c r="G148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3"/>
  <sheetViews>
    <sheetView showGridLines="0" workbookViewId="0">
      <pane ySplit="1" topLeftCell="A2" activePane="bottomLeft" state="frozen"/>
      <selection pane="bottomLeft" activeCell="G16" sqref="G16"/>
    </sheetView>
  </sheetViews>
  <sheetFormatPr defaultColWidth="8.88671875" defaultRowHeight="14.4" x14ac:dyDescent="0.3"/>
  <cols>
    <col min="2" max="2" width="10.109375" bestFit="1" customWidth="1"/>
    <col min="3" max="3" width="9.44140625" bestFit="1" customWidth="1"/>
    <col min="5" max="5" width="11" bestFit="1" customWidth="1"/>
    <col min="7" max="7" width="10.109375" style="13" bestFit="1" customWidth="1"/>
  </cols>
  <sheetData>
    <row r="1" spans="1:8" x14ac:dyDescent="0.3">
      <c r="A1" s="19" t="s">
        <v>0</v>
      </c>
      <c r="B1" s="19" t="s">
        <v>17</v>
      </c>
      <c r="C1" s="19" t="s">
        <v>49</v>
      </c>
      <c r="D1" s="19" t="s">
        <v>21</v>
      </c>
      <c r="E1" s="19" t="s">
        <v>128</v>
      </c>
      <c r="F1" t="s">
        <v>86</v>
      </c>
      <c r="G1" s="13">
        <f>SUM(C:C)</f>
        <v>37591.15</v>
      </c>
      <c r="H1" s="12">
        <f>SUM(D:D)</f>
        <v>169</v>
      </c>
    </row>
    <row r="2" spans="1:8" x14ac:dyDescent="0.3">
      <c r="A2">
        <v>1</v>
      </c>
      <c r="B2" s="1">
        <v>42291</v>
      </c>
      <c r="C2" s="14">
        <v>1651.2</v>
      </c>
      <c r="D2">
        <v>10</v>
      </c>
    </row>
    <row r="3" spans="1:8" x14ac:dyDescent="0.3">
      <c r="A3">
        <v>2</v>
      </c>
      <c r="B3" s="1">
        <v>42412</v>
      </c>
      <c r="C3" s="14">
        <v>986.65</v>
      </c>
      <c r="D3">
        <v>6</v>
      </c>
    </row>
    <row r="4" spans="1:8" x14ac:dyDescent="0.3">
      <c r="A4">
        <v>3</v>
      </c>
      <c r="B4" s="1">
        <v>42482</v>
      </c>
      <c r="C4" s="14">
        <v>1083.5</v>
      </c>
      <c r="D4">
        <v>6</v>
      </c>
    </row>
    <row r="5" spans="1:8" x14ac:dyDescent="0.3">
      <c r="A5">
        <v>4</v>
      </c>
      <c r="B5" s="1">
        <v>43173</v>
      </c>
      <c r="C5" s="14">
        <v>2500</v>
      </c>
      <c r="D5">
        <v>10</v>
      </c>
    </row>
    <row r="6" spans="1:8" x14ac:dyDescent="0.3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3">
      <c r="A7">
        <v>6</v>
      </c>
      <c r="B7" s="1" t="s">
        <v>85</v>
      </c>
      <c r="C7" s="14">
        <v>0</v>
      </c>
      <c r="D7">
        <v>4</v>
      </c>
    </row>
    <row r="8" spans="1:8" x14ac:dyDescent="0.3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3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3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3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3">
      <c r="A13">
        <v>12</v>
      </c>
      <c r="B13" s="1">
        <v>43704</v>
      </c>
      <c r="C13" s="14">
        <v>2990</v>
      </c>
      <c r="D13">
        <v>12</v>
      </c>
      <c r="E13" t="s">
        <v>129</v>
      </c>
    </row>
    <row r="14" spans="1:8" x14ac:dyDescent="0.3">
      <c r="A14">
        <v>13</v>
      </c>
      <c r="B14" s="1" t="s">
        <v>85</v>
      </c>
      <c r="C14" s="14" t="s">
        <v>85</v>
      </c>
      <c r="D14">
        <v>1</v>
      </c>
    </row>
    <row r="15" spans="1:8" x14ac:dyDescent="0.3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3">
      <c r="A16">
        <v>15</v>
      </c>
      <c r="B16" s="1" t="s">
        <v>85</v>
      </c>
      <c r="C16" s="14" t="s">
        <v>85</v>
      </c>
      <c r="D16">
        <v>2</v>
      </c>
    </row>
    <row r="17" spans="1:5" x14ac:dyDescent="0.3">
      <c r="A17">
        <v>16</v>
      </c>
      <c r="B17" s="1">
        <v>43899</v>
      </c>
      <c r="C17" s="14">
        <v>2599</v>
      </c>
      <c r="D17">
        <v>11</v>
      </c>
      <c r="E17">
        <v>91991592</v>
      </c>
    </row>
    <row r="18" spans="1:5" x14ac:dyDescent="0.3">
      <c r="A18">
        <v>17</v>
      </c>
      <c r="B18" s="1">
        <v>43986</v>
      </c>
      <c r="C18" s="14">
        <v>2943</v>
      </c>
      <c r="D18">
        <v>12</v>
      </c>
      <c r="E18">
        <v>92156929</v>
      </c>
    </row>
    <row r="19" spans="1:5" x14ac:dyDescent="0.3">
      <c r="A19">
        <v>18</v>
      </c>
      <c r="B19" s="1">
        <v>44026</v>
      </c>
      <c r="C19" s="14">
        <v>2602</v>
      </c>
      <c r="D19">
        <v>12</v>
      </c>
      <c r="E19">
        <v>92216560</v>
      </c>
    </row>
    <row r="20" spans="1:5" x14ac:dyDescent="0.3">
      <c r="A20">
        <v>19</v>
      </c>
      <c r="B20" s="1" t="s">
        <v>85</v>
      </c>
      <c r="C20" s="14" t="s">
        <v>85</v>
      </c>
      <c r="D20">
        <v>2</v>
      </c>
    </row>
    <row r="21" spans="1:5" x14ac:dyDescent="0.3">
      <c r="A21">
        <v>20</v>
      </c>
      <c r="B21" s="1" t="s">
        <v>85</v>
      </c>
      <c r="C21" s="14" t="s">
        <v>85</v>
      </c>
      <c r="D21">
        <v>1</v>
      </c>
    </row>
    <row r="22" spans="1:5" x14ac:dyDescent="0.3">
      <c r="A22">
        <v>21</v>
      </c>
      <c r="B22" s="1">
        <v>44123</v>
      </c>
      <c r="C22" s="14">
        <v>3315</v>
      </c>
      <c r="D22">
        <v>12</v>
      </c>
      <c r="E22" t="s">
        <v>187</v>
      </c>
    </row>
    <row r="23" spans="1:5" x14ac:dyDescent="0.3">
      <c r="A23">
        <v>22</v>
      </c>
      <c r="B23" s="1" t="s">
        <v>85</v>
      </c>
      <c r="C23" s="14" t="s">
        <v>85</v>
      </c>
      <c r="D23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11"/>
  <sheetViews>
    <sheetView showGridLines="0" workbookViewId="0">
      <selection activeCell="E15" sqref="E15"/>
    </sheetView>
  </sheetViews>
  <sheetFormatPr defaultColWidth="8.88671875" defaultRowHeight="14.4" x14ac:dyDescent="0.3"/>
  <cols>
    <col min="3" max="3" width="12.33203125" bestFit="1" customWidth="1"/>
    <col min="7" max="7" width="8.88671875" style="12"/>
    <col min="9" max="9" width="10.88671875" bestFit="1" customWidth="1"/>
  </cols>
  <sheetData>
    <row r="2" spans="2:10" x14ac:dyDescent="0.3">
      <c r="I2" t="s">
        <v>92</v>
      </c>
      <c r="J2" s="126">
        <v>11</v>
      </c>
    </row>
    <row r="3" spans="2:10" x14ac:dyDescent="0.3">
      <c r="B3" t="s">
        <v>87</v>
      </c>
      <c r="C3" s="126">
        <v>3929</v>
      </c>
      <c r="I3" t="s">
        <v>93</v>
      </c>
      <c r="J3" s="126">
        <v>9</v>
      </c>
    </row>
    <row r="4" spans="2:10" x14ac:dyDescent="0.3">
      <c r="B4" t="s">
        <v>88</v>
      </c>
      <c r="C4" s="126">
        <f>Sales!K1</f>
        <v>38800</v>
      </c>
      <c r="I4" t="s">
        <v>94</v>
      </c>
      <c r="J4" s="126">
        <v>6</v>
      </c>
    </row>
    <row r="5" spans="2:10" x14ac:dyDescent="0.3">
      <c r="B5" t="s">
        <v>91</v>
      </c>
      <c r="C5" s="126">
        <f>J8</f>
        <v>34</v>
      </c>
      <c r="I5" t="s">
        <v>127</v>
      </c>
      <c r="J5" s="126">
        <v>5</v>
      </c>
    </row>
    <row r="6" spans="2:10" x14ac:dyDescent="0.3">
      <c r="B6" t="s">
        <v>58</v>
      </c>
      <c r="C6" s="126">
        <f>-Persons!X1</f>
        <v>-100</v>
      </c>
      <c r="F6" t="s">
        <v>86</v>
      </c>
      <c r="G6" s="12">
        <f>Purchases!H1</f>
        <v>169</v>
      </c>
      <c r="I6" s="115" t="s">
        <v>188</v>
      </c>
      <c r="J6" s="127">
        <v>3</v>
      </c>
    </row>
    <row r="7" spans="2:10" x14ac:dyDescent="0.3">
      <c r="B7" s="15" t="s">
        <v>86</v>
      </c>
      <c r="C7" s="125">
        <f>-Purchases!G1</f>
        <v>-37591.15</v>
      </c>
      <c r="F7" s="15" t="s">
        <v>43</v>
      </c>
      <c r="G7" s="23">
        <f>-Prizes!H1</f>
        <v>-169</v>
      </c>
      <c r="I7" s="15" t="s">
        <v>206</v>
      </c>
      <c r="J7" s="125">
        <v>0</v>
      </c>
    </row>
    <row r="8" spans="2:10" x14ac:dyDescent="0.3">
      <c r="B8" s="22" t="s">
        <v>89</v>
      </c>
      <c r="C8" s="128">
        <f>SUM(C3:C7)</f>
        <v>5071.8499999999985</v>
      </c>
      <c r="F8" s="22" t="s">
        <v>89</v>
      </c>
      <c r="G8" s="24">
        <f>SUM(G3:G7)</f>
        <v>0</v>
      </c>
      <c r="I8" s="124" t="s">
        <v>95</v>
      </c>
      <c r="J8" s="129">
        <f>SUM(J2:J7)</f>
        <v>34</v>
      </c>
    </row>
    <row r="11" spans="2:10" x14ac:dyDescent="0.3">
      <c r="C11" s="44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M16" sqref="M16"/>
    </sheetView>
  </sheetViews>
  <sheetFormatPr defaultRowHeight="14.4" x14ac:dyDescent="0.3"/>
  <cols>
    <col min="1" max="1" width="9.44140625" bestFit="1" customWidth="1"/>
  </cols>
  <sheetData>
    <row r="1" spans="1:15" x14ac:dyDescent="0.3">
      <c r="A1" t="s">
        <v>52</v>
      </c>
      <c r="B1" t="s">
        <v>53</v>
      </c>
      <c r="M1" t="s">
        <v>67</v>
      </c>
    </row>
    <row r="2" spans="1:15" x14ac:dyDescent="0.3">
      <c r="A2" t="s">
        <v>51</v>
      </c>
      <c r="M2" t="s">
        <v>0</v>
      </c>
      <c r="N2" t="s">
        <v>1</v>
      </c>
      <c r="O2" t="s">
        <v>2</v>
      </c>
    </row>
    <row r="3" spans="1:15" x14ac:dyDescent="0.3">
      <c r="A3" t="s">
        <v>48</v>
      </c>
      <c r="N3" t="s">
        <v>59</v>
      </c>
    </row>
    <row r="4" spans="1:15" x14ac:dyDescent="0.3">
      <c r="A4" t="s">
        <v>54</v>
      </c>
      <c r="N4" t="s">
        <v>60</v>
      </c>
    </row>
    <row r="5" spans="1:15" x14ac:dyDescent="0.3">
      <c r="A5" t="s">
        <v>55</v>
      </c>
      <c r="N5" t="s">
        <v>61</v>
      </c>
    </row>
    <row r="6" spans="1:15" x14ac:dyDescent="0.3">
      <c r="N6" t="s">
        <v>62</v>
      </c>
    </row>
    <row r="8" spans="1:15" x14ac:dyDescent="0.3">
      <c r="M8" t="s">
        <v>70</v>
      </c>
    </row>
    <row r="9" spans="1:15" x14ac:dyDescent="0.3">
      <c r="M9" t="s">
        <v>0</v>
      </c>
      <c r="N9" t="s">
        <v>1</v>
      </c>
    </row>
    <row r="10" spans="1:15" x14ac:dyDescent="0.3">
      <c r="N10" t="s">
        <v>63</v>
      </c>
    </row>
    <row r="11" spans="1:15" x14ac:dyDescent="0.3">
      <c r="N11" t="s">
        <v>64</v>
      </c>
    </row>
    <row r="12" spans="1:15" x14ac:dyDescent="0.3">
      <c r="N12" t="s">
        <v>65</v>
      </c>
    </row>
    <row r="14" spans="1:15" x14ac:dyDescent="0.3">
      <c r="M14" t="s">
        <v>66</v>
      </c>
    </row>
    <row r="15" spans="1:15" x14ac:dyDescent="0.3">
      <c r="M15" t="s">
        <v>0</v>
      </c>
      <c r="N15" t="s">
        <v>74</v>
      </c>
    </row>
    <row r="22" spans="13:17" x14ac:dyDescent="0.3">
      <c r="M22" t="s">
        <v>68</v>
      </c>
    </row>
    <row r="23" spans="13:17" x14ac:dyDescent="0.3">
      <c r="M23" t="s">
        <v>0</v>
      </c>
      <c r="N23" t="s">
        <v>69</v>
      </c>
      <c r="O23" t="s">
        <v>73</v>
      </c>
      <c r="P23" t="s">
        <v>71</v>
      </c>
      <c r="Q23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F25" sqref="F25"/>
    </sheetView>
  </sheetViews>
  <sheetFormatPr defaultRowHeight="14.4" x14ac:dyDescent="0.3"/>
  <sheetData>
    <row r="1" spans="1:5" x14ac:dyDescent="0.3">
      <c r="A1" t="s">
        <v>0</v>
      </c>
      <c r="B1" t="s">
        <v>17</v>
      </c>
      <c r="C1" t="s">
        <v>21</v>
      </c>
      <c r="D1" t="s">
        <v>49</v>
      </c>
      <c r="E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2022-05-03T12:04:40Z</dcterms:modified>
</cp:coreProperties>
</file>