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7" l="1"/>
  <c r="C21" i="7" a="1"/>
  <c r="C21" i="7" s="1"/>
  <c r="B22" i="7"/>
  <c r="C22" i="7" a="1"/>
  <c r="C22" i="7" s="1"/>
  <c r="B23" i="7"/>
  <c r="C23" i="7" a="1"/>
  <c r="C23" i="7" s="1"/>
  <c r="B24" i="7"/>
  <c r="C24" i="7" a="1"/>
  <c r="C24" i="7" s="1"/>
  <c r="E20" i="7"/>
  <c r="C20" i="7" a="1"/>
  <c r="C20" i="7" s="1"/>
  <c r="B20" i="7"/>
  <c r="O49" i="1"/>
  <c r="O15" i="1"/>
  <c r="O13" i="1"/>
  <c r="O27" i="1"/>
  <c r="O8" i="1"/>
  <c r="O29" i="1"/>
  <c r="O14" i="1"/>
  <c r="O45" i="1"/>
  <c r="O33" i="1"/>
  <c r="O6" i="1"/>
  <c r="O2" i="1"/>
  <c r="O47" i="1"/>
  <c r="O7" i="1"/>
  <c r="O3" i="1"/>
  <c r="O4" i="1"/>
  <c r="O48" i="1"/>
  <c r="O5" i="1"/>
  <c r="O18" i="1"/>
  <c r="O24" i="1"/>
  <c r="O39" i="1"/>
  <c r="O51" i="1"/>
  <c r="W7" i="7"/>
  <c r="V11" i="7"/>
  <c r="V12" i="7"/>
  <c r="V13" i="7"/>
  <c r="V14" i="7"/>
  <c r="V15" i="7"/>
  <c r="V16" i="7"/>
  <c r="V17" i="7"/>
  <c r="V9" i="7"/>
  <c r="V10" i="7"/>
  <c r="V8" i="7"/>
  <c r="D22" i="7" l="1"/>
  <c r="E22" i="7"/>
  <c r="D21" i="7"/>
  <c r="E21" i="7"/>
  <c r="D24" i="7"/>
  <c r="E24" i="7"/>
  <c r="E23" i="7"/>
  <c r="D23" i="7"/>
  <c r="U51" i="1"/>
  <c r="U49" i="1"/>
  <c r="U15" i="1"/>
  <c r="U13" i="1"/>
  <c r="U27" i="1"/>
  <c r="U8" i="1"/>
  <c r="U29" i="1"/>
  <c r="U14" i="1"/>
  <c r="U6" i="1"/>
  <c r="U2" i="1"/>
  <c r="U7" i="1"/>
  <c r="U4" i="1"/>
  <c r="U5" i="1"/>
  <c r="U18" i="1"/>
  <c r="U24" i="1"/>
  <c r="U39" i="1"/>
  <c r="F49" i="1"/>
  <c r="F15" i="1"/>
  <c r="F13" i="1"/>
  <c r="F27" i="1"/>
  <c r="F8" i="1"/>
  <c r="F29" i="1"/>
  <c r="F14" i="1"/>
  <c r="F6" i="1"/>
  <c r="F2" i="1"/>
  <c r="F7" i="1"/>
  <c r="F4" i="1"/>
  <c r="F5" i="1"/>
  <c r="F18" i="1"/>
  <c r="F24" i="1"/>
  <c r="F39" i="1"/>
  <c r="S49" i="1"/>
  <c r="S15" i="1"/>
  <c r="S13" i="1"/>
  <c r="S27" i="1"/>
  <c r="S8" i="1"/>
  <c r="S29" i="1"/>
  <c r="S14" i="1"/>
  <c r="S6" i="1"/>
  <c r="S2" i="1"/>
  <c r="S7" i="1"/>
  <c r="S4" i="1"/>
  <c r="S5" i="1"/>
  <c r="S18" i="1"/>
  <c r="S24" i="1"/>
  <c r="S39" i="1"/>
  <c r="L49" i="1"/>
  <c r="L15" i="1"/>
  <c r="L13" i="1"/>
  <c r="L27" i="1"/>
  <c r="L8" i="1"/>
  <c r="L29" i="1"/>
  <c r="L14" i="1"/>
  <c r="L6" i="1"/>
  <c r="L2" i="1"/>
  <c r="L7" i="1"/>
  <c r="L4" i="1"/>
  <c r="L5" i="1"/>
  <c r="L18" i="1"/>
  <c r="L24" i="1"/>
  <c r="L39" i="1"/>
  <c r="H313" i="3"/>
  <c r="B313" i="3" s="1"/>
  <c r="I313" i="3"/>
  <c r="D313" i="3" s="1"/>
  <c r="H314" i="3"/>
  <c r="B314" i="3" s="1"/>
  <c r="I314" i="3"/>
  <c r="D314" i="3" s="1"/>
  <c r="B93" i="4"/>
  <c r="B94" i="4"/>
  <c r="B95" i="4"/>
  <c r="B96" i="4"/>
  <c r="B92" i="4"/>
  <c r="B91" i="4"/>
  <c r="H292" i="3"/>
  <c r="B292" i="3" s="1"/>
  <c r="I292" i="3"/>
  <c r="D292" i="3" s="1"/>
  <c r="E292" i="3" s="1"/>
  <c r="H293" i="3"/>
  <c r="B293" i="3" s="1"/>
  <c r="I293" i="3"/>
  <c r="D293" i="3" s="1"/>
  <c r="E293" i="3" s="1"/>
  <c r="H294" i="3"/>
  <c r="B294" i="3" s="1"/>
  <c r="I294" i="3"/>
  <c r="D294" i="3" s="1"/>
  <c r="H295" i="3"/>
  <c r="B295" i="3" s="1"/>
  <c r="I295" i="3"/>
  <c r="D295" i="3" s="1"/>
  <c r="H296" i="3"/>
  <c r="B296" i="3" s="1"/>
  <c r="I296" i="3"/>
  <c r="D296" i="3" s="1"/>
  <c r="H297" i="3"/>
  <c r="B297" i="3" s="1"/>
  <c r="I297" i="3"/>
  <c r="D297" i="3" s="1"/>
  <c r="E297" i="3" s="1"/>
  <c r="H298" i="3"/>
  <c r="B298" i="3" s="1"/>
  <c r="I298" i="3"/>
  <c r="D298" i="3" s="1"/>
  <c r="H299" i="3"/>
  <c r="B299" i="3" s="1"/>
  <c r="I299" i="3"/>
  <c r="D299" i="3" s="1"/>
  <c r="H300" i="3"/>
  <c r="B300" i="3" s="1"/>
  <c r="I300" i="3"/>
  <c r="D300" i="3" s="1"/>
  <c r="H301" i="3"/>
  <c r="B301" i="3" s="1"/>
  <c r="I301" i="3"/>
  <c r="D301" i="3" s="1"/>
  <c r="H302" i="3"/>
  <c r="B302" i="3" s="1"/>
  <c r="I302" i="3"/>
  <c r="D302" i="3" s="1"/>
  <c r="H303" i="3"/>
  <c r="I303" i="3"/>
  <c r="D303" i="3" s="1"/>
  <c r="E303" i="3" s="1"/>
  <c r="H304" i="3"/>
  <c r="B304" i="3" s="1"/>
  <c r="I304" i="3"/>
  <c r="D304" i="3" s="1"/>
  <c r="E304" i="3" s="1"/>
  <c r="H305" i="3"/>
  <c r="B305" i="3" s="1"/>
  <c r="I305" i="3"/>
  <c r="D305" i="3" s="1"/>
  <c r="E305" i="3" s="1"/>
  <c r="H306" i="3"/>
  <c r="B306" i="3" s="1"/>
  <c r="I306" i="3"/>
  <c r="H307" i="3"/>
  <c r="B307" i="3" s="1"/>
  <c r="I307" i="3"/>
  <c r="D307" i="3" s="1"/>
  <c r="E307" i="3" s="1"/>
  <c r="H308" i="3"/>
  <c r="B308" i="3" s="1"/>
  <c r="I308" i="3"/>
  <c r="D308" i="3" s="1"/>
  <c r="H309" i="3"/>
  <c r="B309" i="3" s="1"/>
  <c r="I309" i="3"/>
  <c r="D309" i="3" s="1"/>
  <c r="E309" i="3" s="1"/>
  <c r="H310" i="3"/>
  <c r="B310" i="3" s="1"/>
  <c r="I310" i="3"/>
  <c r="D310" i="3" s="1"/>
  <c r="E310" i="3" s="1"/>
  <c r="H311" i="3"/>
  <c r="B311" i="3" s="1"/>
  <c r="I311" i="3"/>
  <c r="D311" i="3" s="1"/>
  <c r="H312" i="3"/>
  <c r="B312" i="3" s="1"/>
  <c r="I312" i="3"/>
  <c r="D312" i="3" s="1"/>
  <c r="I291" i="3"/>
  <c r="D291" i="3" s="1"/>
  <c r="H291" i="3"/>
  <c r="B291" i="3" s="1"/>
  <c r="D306" i="3"/>
  <c r="E18" i="2"/>
  <c r="B303" i="3"/>
  <c r="E314" i="3" l="1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G295" i="3" s="1"/>
  <c r="E291" i="3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/>
  <c r="G314" i="3" l="1"/>
  <c r="G313" i="3"/>
  <c r="G17" i="2"/>
  <c r="G298" i="3"/>
  <c r="G300" i="3"/>
  <c r="G306" i="3"/>
  <c r="G312" i="3"/>
  <c r="G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F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F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H1" i="11"/>
  <c r="G5" i="12" s="1"/>
  <c r="G7" i="12" l="1"/>
  <c r="G1" i="11"/>
  <c r="C6" i="12" s="1"/>
  <c r="J29" i="1" l="1"/>
  <c r="J7" i="1"/>
  <c r="J14" i="1"/>
  <c r="J2" i="1"/>
  <c r="J15" i="1"/>
  <c r="J24" i="1"/>
  <c r="J27" i="1"/>
  <c r="J18" i="1"/>
  <c r="J4" i="1"/>
  <c r="J6" i="1"/>
  <c r="J5" i="1"/>
  <c r="J49" i="1"/>
  <c r="H29" i="1"/>
  <c r="H7" i="1"/>
  <c r="H14" i="1"/>
  <c r="H2" i="1"/>
  <c r="H15" i="1"/>
  <c r="H24" i="1"/>
  <c r="H27" i="1"/>
  <c r="H18" i="1"/>
  <c r="H4" i="1"/>
  <c r="H6" i="1"/>
  <c r="H5" i="1"/>
  <c r="H49" i="1"/>
  <c r="Q29" i="1"/>
  <c r="Q7" i="1"/>
  <c r="Q14" i="1"/>
  <c r="Q2" i="1"/>
  <c r="Q15" i="1"/>
  <c r="Q24" i="1"/>
  <c r="Q27" i="1"/>
  <c r="Q18" i="1"/>
  <c r="Q4" i="1"/>
  <c r="Q6" i="1"/>
  <c r="Q5" i="1"/>
  <c r="Q49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I12" i="1" s="1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D43" i="1" l="1" a="1"/>
  <c r="D43" i="1" s="1"/>
  <c r="D33" i="1" a="1"/>
  <c r="D33" i="1" s="1"/>
  <c r="D38" i="1" a="1"/>
  <c r="D38" i="1" s="1"/>
  <c r="D15" i="1" a="1"/>
  <c r="D15" i="1" s="1"/>
  <c r="D44" i="1" a="1"/>
  <c r="D44" i="1" s="1"/>
  <c r="D20" i="1" a="1"/>
  <c r="D20" i="1" s="1"/>
  <c r="D16" i="1" a="1"/>
  <c r="D16" i="1" s="1"/>
  <c r="D13" i="1" a="1"/>
  <c r="D13" i="1" s="1"/>
  <c r="D12" i="1" a="1"/>
  <c r="D12" i="1" s="1"/>
  <c r="D37" i="1" a="1"/>
  <c r="D37" i="1" s="1"/>
  <c r="D40" i="1" a="1"/>
  <c r="D40" i="1" s="1"/>
  <c r="D27" i="1" a="1"/>
  <c r="D27" i="1" s="1"/>
  <c r="D46" i="1" a="1"/>
  <c r="D46" i="1" s="1"/>
  <c r="D25" i="1" a="1"/>
  <c r="D25" i="1" s="1"/>
  <c r="D32" i="1" a="1"/>
  <c r="D32" i="1" s="1"/>
  <c r="D8" i="1" a="1"/>
  <c r="D8" i="1" s="1"/>
  <c r="D41" i="1" a="1"/>
  <c r="D41" i="1" s="1"/>
  <c r="D30" i="1" a="1"/>
  <c r="D30" i="1" s="1"/>
  <c r="D9" i="1" a="1"/>
  <c r="D9" i="1" s="1"/>
  <c r="D29" i="1" a="1"/>
  <c r="D29" i="1" s="1"/>
  <c r="D3" i="1" a="1"/>
  <c r="D3" i="1" s="1"/>
  <c r="D50" i="1" a="1"/>
  <c r="D50" i="1" s="1"/>
  <c r="D31" i="1" a="1"/>
  <c r="D31" i="1" s="1"/>
  <c r="D14" i="1" a="1"/>
  <c r="D14" i="1" s="1"/>
  <c r="D23" i="1" a="1"/>
  <c r="D23" i="1" s="1"/>
  <c r="D47" i="1" a="1"/>
  <c r="D47" i="1" s="1"/>
  <c r="D10" i="1" a="1"/>
  <c r="D10" i="1" s="1"/>
  <c r="D6" i="1" a="1"/>
  <c r="D6" i="1" s="1"/>
  <c r="D39" i="1" a="1"/>
  <c r="D39" i="1" s="1"/>
  <c r="D28" i="1" a="1"/>
  <c r="D28" i="1" s="1"/>
  <c r="D36" i="1" a="1"/>
  <c r="D36" i="1" s="1"/>
  <c r="D26" i="1" a="1"/>
  <c r="D26" i="1" s="1"/>
  <c r="D2" i="1" a="1"/>
  <c r="D2" i="1" s="1"/>
  <c r="D42" i="1" a="1"/>
  <c r="D42" i="1" s="1"/>
  <c r="D48" i="1" a="1"/>
  <c r="D48" i="1" s="1"/>
  <c r="D22" i="1" a="1"/>
  <c r="D22" i="1" s="1"/>
  <c r="D7" i="1" a="1"/>
  <c r="D7" i="1" s="1"/>
  <c r="D19" i="1" a="1"/>
  <c r="D19" i="1" s="1"/>
  <c r="D45" i="1" a="1"/>
  <c r="D45" i="1" s="1"/>
  <c r="D11" i="1" a="1"/>
  <c r="D11" i="1" s="1"/>
  <c r="D4" i="1" a="1"/>
  <c r="D4" i="1" s="1"/>
  <c r="D24" i="1" a="1"/>
  <c r="D24" i="1" s="1"/>
  <c r="D35" i="1" a="1"/>
  <c r="D35" i="1" s="1"/>
  <c r="D34" i="1" a="1"/>
  <c r="D34" i="1" s="1"/>
  <c r="D51" i="1" a="1"/>
  <c r="D51" i="1" s="1"/>
  <c r="D5" i="1" a="1"/>
  <c r="D5" i="1" s="1"/>
  <c r="D21" i="1" a="1"/>
  <c r="D21" i="1" s="1"/>
  <c r="D17" i="1" a="1"/>
  <c r="D17" i="1" s="1"/>
  <c r="D49" i="1" a="1"/>
  <c r="D49" i="1" s="1"/>
  <c r="D18" i="1" a="1"/>
  <c r="D18" i="1" s="1"/>
  <c r="G12" i="1"/>
  <c r="K12" i="1"/>
  <c r="N12" i="1" s="1"/>
  <c r="M12" i="1"/>
  <c r="E12" i="1"/>
  <c r="G2" i="2"/>
  <c r="M11" i="1"/>
  <c r="K11" i="1"/>
  <c r="G11" i="1"/>
  <c r="E11" i="1"/>
  <c r="I38" i="1"/>
  <c r="I11" i="1"/>
  <c r="G38" i="1"/>
  <c r="E38" i="1"/>
  <c r="I36" i="1"/>
  <c r="I42" i="1"/>
  <c r="G42" i="1"/>
  <c r="K42" i="1"/>
  <c r="M42" i="1"/>
  <c r="E42" i="1"/>
  <c r="G36" i="1"/>
  <c r="K36" i="1"/>
  <c r="M36" i="1"/>
  <c r="E36" i="1"/>
  <c r="I13" i="1"/>
  <c r="I41" i="1"/>
  <c r="I4" i="1"/>
  <c r="I10" i="1"/>
  <c r="I7" i="1"/>
  <c r="I25" i="1"/>
  <c r="I32" i="1"/>
  <c r="I26" i="1"/>
  <c r="I20" i="1"/>
  <c r="I14" i="1"/>
  <c r="I46" i="1"/>
  <c r="I6" i="1"/>
  <c r="I28" i="1"/>
  <c r="I27" i="1"/>
  <c r="I8" i="1"/>
  <c r="I43" i="1"/>
  <c r="I50" i="1"/>
  <c r="I48" i="1"/>
  <c r="I2" i="1"/>
  <c r="I21" i="1"/>
  <c r="I40" i="1"/>
  <c r="I35" i="1"/>
  <c r="I29" i="1"/>
  <c r="I15" i="1"/>
  <c r="I19" i="1"/>
  <c r="I17" i="1"/>
  <c r="I22" i="1"/>
  <c r="I24" i="1"/>
  <c r="I3" i="1"/>
  <c r="I39" i="1"/>
  <c r="I33" i="1"/>
  <c r="I9" i="1"/>
  <c r="I45" i="1"/>
  <c r="I44" i="1"/>
  <c r="I30" i="1"/>
  <c r="I34" i="1"/>
  <c r="I5" i="1"/>
  <c r="I31" i="1"/>
  <c r="I23" i="1"/>
  <c r="I18" i="1"/>
  <c r="I47" i="1"/>
  <c r="I37" i="1"/>
  <c r="I16" i="1"/>
  <c r="I49" i="1"/>
  <c r="I51" i="1"/>
  <c r="G47" i="1"/>
  <c r="G37" i="1"/>
  <c r="G16" i="1"/>
  <c r="G49" i="1"/>
  <c r="G28" i="1"/>
  <c r="G13" i="1"/>
  <c r="G41" i="1"/>
  <c r="G4" i="1"/>
  <c r="G10" i="1"/>
  <c r="G7" i="1"/>
  <c r="G25" i="1"/>
  <c r="G32" i="1"/>
  <c r="G26" i="1"/>
  <c r="G14" i="1"/>
  <c r="G46" i="1"/>
  <c r="G6" i="1"/>
  <c r="G48" i="1"/>
  <c r="G35" i="1"/>
  <c r="G8" i="1"/>
  <c r="G43" i="1"/>
  <c r="G50" i="1"/>
  <c r="G40" i="1"/>
  <c r="G2" i="1"/>
  <c r="G21" i="1"/>
  <c r="G15" i="1"/>
  <c r="G19" i="1"/>
  <c r="G17" i="1"/>
  <c r="G24" i="1"/>
  <c r="G20" i="1"/>
  <c r="G22" i="1"/>
  <c r="G3" i="1"/>
  <c r="G39" i="1"/>
  <c r="G33" i="1"/>
  <c r="G9" i="1"/>
  <c r="G45" i="1"/>
  <c r="G27" i="1"/>
  <c r="G44" i="1"/>
  <c r="G30" i="1"/>
  <c r="G34" i="1"/>
  <c r="G5" i="1"/>
  <c r="G29" i="1"/>
  <c r="G31" i="1"/>
  <c r="G23" i="1"/>
  <c r="G18" i="1"/>
  <c r="G51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E44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N36" i="1" l="1"/>
  <c r="N11" i="1"/>
  <c r="P12" i="1"/>
  <c r="N42" i="1"/>
  <c r="H12" i="1"/>
  <c r="J12" i="1"/>
  <c r="T12" i="1"/>
  <c r="R12" i="1"/>
  <c r="J11" i="1"/>
  <c r="H11" i="1"/>
  <c r="T11" i="1"/>
  <c r="R11" i="1"/>
  <c r="J38" i="1"/>
  <c r="H38" i="1"/>
  <c r="J42" i="1"/>
  <c r="J36" i="1"/>
  <c r="H36" i="1"/>
  <c r="H42" i="1"/>
  <c r="T36" i="1"/>
  <c r="T42" i="1"/>
  <c r="R36" i="1"/>
  <c r="R42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9" i="1"/>
  <c r="E35" i="1"/>
  <c r="E22" i="1"/>
  <c r="D16" i="2"/>
  <c r="G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G15" i="2" s="1"/>
  <c r="D14" i="2"/>
  <c r="G14" i="2" s="1"/>
  <c r="D13" i="2"/>
  <c r="G13" i="2" s="1"/>
  <c r="D12" i="2"/>
  <c r="G12" i="2" s="1"/>
  <c r="P42" i="1" l="1"/>
  <c r="P11" i="1"/>
  <c r="P36" i="1"/>
  <c r="F16" i="2"/>
  <c r="F271" i="3" s="1"/>
  <c r="K44" i="1" s="1"/>
  <c r="G266" i="3"/>
  <c r="G267" i="3"/>
  <c r="G268" i="3"/>
  <c r="G269" i="3"/>
  <c r="G270" i="3"/>
  <c r="G271" i="3"/>
  <c r="M44" i="1" s="1"/>
  <c r="G272" i="3"/>
  <c r="G265" i="3"/>
  <c r="G261" i="3"/>
  <c r="G273" i="3"/>
  <c r="G262" i="3"/>
  <c r="M38" i="1" s="1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M51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9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272" i="3"/>
  <c r="F273" i="3"/>
  <c r="F262" i="3"/>
  <c r="K38" i="1" s="1"/>
  <c r="F274" i="3"/>
  <c r="F263" i="3"/>
  <c r="F265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G11" i="2" s="1"/>
  <c r="N44" i="1" l="1"/>
  <c r="N38" i="1"/>
  <c r="P44" i="1"/>
  <c r="F266" i="3"/>
  <c r="F261" i="3"/>
  <c r="R38" i="1"/>
  <c r="T38" i="1"/>
  <c r="F269" i="3"/>
  <c r="F270" i="3"/>
  <c r="F268" i="3"/>
  <c r="F267" i="3"/>
  <c r="F264" i="3"/>
  <c r="F205" i="3"/>
  <c r="M35" i="1"/>
  <c r="F193" i="3"/>
  <c r="F203" i="3"/>
  <c r="F204" i="3"/>
  <c r="F192" i="3"/>
  <c r="F191" i="3"/>
  <c r="K50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4" i="1"/>
  <c r="F260" i="3"/>
  <c r="M22" i="1"/>
  <c r="F259" i="3"/>
  <c r="F247" i="3"/>
  <c r="F242" i="3"/>
  <c r="F202" i="3"/>
  <c r="F196" i="3"/>
  <c r="K51" i="1" s="1"/>
  <c r="F189" i="3"/>
  <c r="F206" i="3"/>
  <c r="F238" i="3"/>
  <c r="F236" i="3"/>
  <c r="F237" i="3"/>
  <c r="F235" i="3"/>
  <c r="F201" i="3"/>
  <c r="F232" i="3"/>
  <c r="M50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K22" i="1" s="1"/>
  <c r="F245" i="3"/>
  <c r="F252" i="3"/>
  <c r="F243" i="3"/>
  <c r="F240" i="3"/>
  <c r="F256" i="3"/>
  <c r="F239" i="3"/>
  <c r="K9" i="1" s="1"/>
  <c r="F244" i="3"/>
  <c r="F248" i="3"/>
  <c r="F251" i="3"/>
  <c r="F255" i="3"/>
  <c r="T44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51" i="1"/>
  <c r="E50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G10" i="2" s="1"/>
  <c r="P38" i="1" l="1"/>
  <c r="N50" i="1"/>
  <c r="P50" i="1" s="1"/>
  <c r="N22" i="1"/>
  <c r="N51" i="1"/>
  <c r="P51" i="1" s="1"/>
  <c r="N9" i="1"/>
  <c r="T50" i="1"/>
  <c r="R9" i="1"/>
  <c r="R51" i="1"/>
  <c r="K35" i="1"/>
  <c r="R22" i="1"/>
  <c r="R50" i="1"/>
  <c r="F165" i="3"/>
  <c r="F179" i="3"/>
  <c r="F167" i="3"/>
  <c r="F164" i="3"/>
  <c r="F175" i="3"/>
  <c r="F163" i="3"/>
  <c r="T9" i="1"/>
  <c r="T22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51" i="1"/>
  <c r="E140" i="3"/>
  <c r="E124" i="3"/>
  <c r="E123" i="3"/>
  <c r="D9" i="2"/>
  <c r="G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P9" i="1" l="1"/>
  <c r="P22" i="1"/>
  <c r="N35" i="1"/>
  <c r="R35" i="1"/>
  <c r="T3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39" i="1" s="1"/>
  <c r="G140" i="3"/>
  <c r="M49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P35" i="1" l="1"/>
  <c r="F133" i="3"/>
  <c r="J1" i="3"/>
  <c r="C3" i="12" s="1"/>
  <c r="F128" i="3"/>
  <c r="K39" i="1" s="1"/>
  <c r="F138" i="3"/>
  <c r="F140" i="3"/>
  <c r="K49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G3" i="2" s="1"/>
  <c r="D4" i="2"/>
  <c r="G4" i="2" s="1"/>
  <c r="D5" i="2"/>
  <c r="G5" i="2" s="1"/>
  <c r="D6" i="2"/>
  <c r="G6" i="2" s="1"/>
  <c r="D7" i="2"/>
  <c r="G7" i="2" s="1"/>
  <c r="D8" i="2"/>
  <c r="G8" i="2" s="1"/>
  <c r="R49" i="1" l="1"/>
  <c r="N49" i="1"/>
  <c r="P49" i="1" s="1"/>
  <c r="R39" i="1"/>
  <c r="N39" i="1"/>
  <c r="P39" i="1" s="1"/>
  <c r="F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K46" i="1" s="1"/>
  <c r="G110" i="3"/>
  <c r="M46" i="1" s="1"/>
  <c r="G122" i="3"/>
  <c r="G121" i="3"/>
  <c r="G111" i="3"/>
  <c r="G112" i="3"/>
  <c r="G113" i="3"/>
  <c r="M43" i="1" s="1"/>
  <c r="G114" i="3"/>
  <c r="G115" i="3"/>
  <c r="G116" i="3"/>
  <c r="M32" i="1" s="1"/>
  <c r="G109" i="3"/>
  <c r="M40" i="1" s="1"/>
  <c r="G105" i="3"/>
  <c r="M34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M4" i="1" s="1"/>
  <c r="G53" i="3"/>
  <c r="G42" i="3"/>
  <c r="G54" i="3"/>
  <c r="G43" i="3"/>
  <c r="G55" i="3"/>
  <c r="G37" i="3"/>
  <c r="M3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F3" i="2"/>
  <c r="F26" i="3" s="1"/>
  <c r="G26" i="3"/>
  <c r="G27" i="3"/>
  <c r="G28" i="3"/>
  <c r="G17" i="3"/>
  <c r="G29" i="3"/>
  <c r="G18" i="3"/>
  <c r="G30" i="3"/>
  <c r="M47" i="1" s="1"/>
  <c r="G19" i="3"/>
  <c r="G31" i="3"/>
  <c r="G20" i="3"/>
  <c r="G32" i="3"/>
  <c r="G21" i="3"/>
  <c r="G33" i="3"/>
  <c r="G22" i="3"/>
  <c r="M16" i="1" s="1"/>
  <c r="G34" i="3"/>
  <c r="G23" i="3"/>
  <c r="G35" i="3"/>
  <c r="G24" i="3"/>
  <c r="G36" i="3"/>
  <c r="G25" i="3"/>
  <c r="F6" i="2"/>
  <c r="F82" i="3" s="1"/>
  <c r="G74" i="3"/>
  <c r="G86" i="3"/>
  <c r="G75" i="3"/>
  <c r="G76" i="3"/>
  <c r="G77" i="3"/>
  <c r="G78" i="3"/>
  <c r="G79" i="3"/>
  <c r="G80" i="3"/>
  <c r="G81" i="3"/>
  <c r="M18" i="1" s="1"/>
  <c r="G82" i="3"/>
  <c r="G85" i="3"/>
  <c r="G83" i="3"/>
  <c r="G72" i="3"/>
  <c r="G84" i="3"/>
  <c r="G73" i="3"/>
  <c r="F89" i="3"/>
  <c r="F90" i="3"/>
  <c r="F96" i="3"/>
  <c r="E39" i="1"/>
  <c r="T39" i="1" s="1"/>
  <c r="N46" i="1" l="1"/>
  <c r="P46" i="1"/>
  <c r="F92" i="3"/>
  <c r="M17" i="1"/>
  <c r="M41" i="1"/>
  <c r="F94" i="3"/>
  <c r="F91" i="3"/>
  <c r="M33" i="1"/>
  <c r="M48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3" i="1" s="1"/>
  <c r="F48" i="3"/>
  <c r="F47" i="3"/>
  <c r="F84" i="3"/>
  <c r="F72" i="3"/>
  <c r="R46" i="1"/>
  <c r="F39" i="3"/>
  <c r="F88" i="3"/>
  <c r="F40" i="3"/>
  <c r="F51" i="3"/>
  <c r="M37" i="1"/>
  <c r="F52" i="3"/>
  <c r="F67" i="3"/>
  <c r="F66" i="3"/>
  <c r="F64" i="3"/>
  <c r="F60" i="3"/>
  <c r="F58" i="3"/>
  <c r="F55" i="3"/>
  <c r="F43" i="3"/>
  <c r="F69" i="3"/>
  <c r="F54" i="3"/>
  <c r="F57" i="3"/>
  <c r="F116" i="3"/>
  <c r="K32" i="1" s="1"/>
  <c r="M24" i="1"/>
  <c r="F21" i="3"/>
  <c r="F41" i="3"/>
  <c r="K4" i="1" s="1"/>
  <c r="F70" i="3"/>
  <c r="F75" i="3"/>
  <c r="F115" i="3"/>
  <c r="F113" i="3"/>
  <c r="K43" i="1" s="1"/>
  <c r="F114" i="3"/>
  <c r="F56" i="3"/>
  <c r="M6" i="1"/>
  <c r="F121" i="3"/>
  <c r="F112" i="3"/>
  <c r="M7" i="1"/>
  <c r="F109" i="3"/>
  <c r="K40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K34" i="1" s="1"/>
  <c r="M13" i="1"/>
  <c r="M28" i="1"/>
  <c r="M2" i="1"/>
  <c r="M30" i="1"/>
  <c r="M10" i="1"/>
  <c r="M23" i="1"/>
  <c r="M21" i="1"/>
  <c r="M8" i="1"/>
  <c r="M25" i="1"/>
  <c r="M14" i="1"/>
  <c r="M15" i="1"/>
  <c r="M5" i="1"/>
  <c r="M26" i="1"/>
  <c r="F23" i="3"/>
  <c r="F117" i="3"/>
  <c r="M20" i="1"/>
  <c r="M31" i="1"/>
  <c r="M29" i="1"/>
  <c r="M45" i="1"/>
  <c r="M27" i="1"/>
  <c r="M19" i="1"/>
  <c r="F34" i="3"/>
  <c r="F36" i="3"/>
  <c r="F45" i="3"/>
  <c r="F50" i="3"/>
  <c r="F76" i="3"/>
  <c r="F30" i="3"/>
  <c r="K47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18" i="1" s="1"/>
  <c r="F80" i="3"/>
  <c r="F79" i="3"/>
  <c r="F78" i="3"/>
  <c r="F33" i="3"/>
  <c r="F77" i="3"/>
  <c r="F35" i="3"/>
  <c r="F29" i="3"/>
  <c r="F22" i="3"/>
  <c r="K16" i="1" s="1"/>
  <c r="F28" i="3"/>
  <c r="E49" i="1"/>
  <c r="X1" i="1" s="1"/>
  <c r="E34" i="1"/>
  <c r="E40" i="1"/>
  <c r="E46" i="1"/>
  <c r="E43" i="1"/>
  <c r="E32" i="1"/>
  <c r="E5" i="1"/>
  <c r="E47" i="1"/>
  <c r="E48" i="1"/>
  <c r="E10" i="1"/>
  <c r="E2" i="1"/>
  <c r="E20" i="1"/>
  <c r="E17" i="1"/>
  <c r="E18" i="1"/>
  <c r="E16" i="1"/>
  <c r="E30" i="1"/>
  <c r="E6" i="1"/>
  <c r="E4" i="1"/>
  <c r="E45" i="1"/>
  <c r="E26" i="1"/>
  <c r="E14" i="1"/>
  <c r="E23" i="1"/>
  <c r="E13" i="1"/>
  <c r="E41" i="1"/>
  <c r="E19" i="1"/>
  <c r="E25" i="1"/>
  <c r="E37" i="1"/>
  <c r="E33" i="1"/>
  <c r="E24" i="1"/>
  <c r="E29" i="1"/>
  <c r="E8" i="1"/>
  <c r="E3" i="1"/>
  <c r="E7" i="1"/>
  <c r="E31" i="1"/>
  <c r="E27" i="1"/>
  <c r="E15" i="1"/>
  <c r="E21" i="1"/>
  <c r="E28" i="1"/>
  <c r="N32" i="1" l="1"/>
  <c r="N16" i="1"/>
  <c r="N43" i="1"/>
  <c r="N47" i="1"/>
  <c r="P47" i="1" s="1"/>
  <c r="N34" i="1"/>
  <c r="N40" i="1"/>
  <c r="N3" i="1"/>
  <c r="P3" i="1" s="1"/>
  <c r="K41" i="1"/>
  <c r="R4" i="1"/>
  <c r="N4" i="1"/>
  <c r="P4" i="1" s="1"/>
  <c r="R18" i="1"/>
  <c r="N18" i="1"/>
  <c r="P18" i="1" s="1"/>
  <c r="F25" i="1"/>
  <c r="F43" i="1"/>
  <c r="F33" i="1"/>
  <c r="F30" i="1"/>
  <c r="F46" i="1"/>
  <c r="F32" i="1"/>
  <c r="F37" i="1"/>
  <c r="F16" i="1"/>
  <c r="F40" i="1"/>
  <c r="F34" i="1"/>
  <c r="F21" i="1"/>
  <c r="F19" i="1"/>
  <c r="F17" i="1"/>
  <c r="F20" i="1"/>
  <c r="F41" i="1"/>
  <c r="F31" i="1"/>
  <c r="F23" i="1"/>
  <c r="F36" i="1"/>
  <c r="F11" i="1"/>
  <c r="F44" i="1"/>
  <c r="F42" i="1"/>
  <c r="F12" i="1"/>
  <c r="F38" i="1"/>
  <c r="F22" i="1"/>
  <c r="F35" i="1"/>
  <c r="F9" i="1"/>
  <c r="F50" i="1"/>
  <c r="F51" i="1"/>
  <c r="F10" i="1"/>
  <c r="F28" i="1"/>
  <c r="F48" i="1"/>
  <c r="F3" i="1"/>
  <c r="F26" i="1"/>
  <c r="F47" i="1"/>
  <c r="F45" i="1"/>
  <c r="R34" i="1"/>
  <c r="R40" i="1"/>
  <c r="R32" i="1"/>
  <c r="R41" i="1"/>
  <c r="R16" i="1"/>
  <c r="R47" i="1"/>
  <c r="K17" i="1"/>
  <c r="K48" i="1"/>
  <c r="K24" i="1"/>
  <c r="K15" i="1"/>
  <c r="K8" i="1"/>
  <c r="K26" i="1"/>
  <c r="K25" i="1"/>
  <c r="R3" i="1"/>
  <c r="K2" i="1"/>
  <c r="K45" i="1"/>
  <c r="K5" i="1"/>
  <c r="K33" i="1"/>
  <c r="K19" i="1"/>
  <c r="K21" i="1"/>
  <c r="K27" i="1"/>
  <c r="K29" i="1"/>
  <c r="K7" i="1"/>
  <c r="K10" i="1"/>
  <c r="K30" i="1"/>
  <c r="R43" i="1"/>
  <c r="K31" i="1"/>
  <c r="K13" i="1"/>
  <c r="K28" i="1"/>
  <c r="K6" i="1"/>
  <c r="T49" i="1"/>
  <c r="C5" i="12"/>
  <c r="C7" i="12" s="1"/>
  <c r="K37" i="1"/>
  <c r="K20" i="1"/>
  <c r="K14" i="1"/>
  <c r="K23" i="1"/>
  <c r="T34" i="1"/>
  <c r="T40" i="1"/>
  <c r="T32" i="1"/>
  <c r="T46" i="1"/>
  <c r="P40" i="1" l="1"/>
  <c r="P34" i="1"/>
  <c r="P43" i="1"/>
  <c r="P16" i="1"/>
  <c r="P32" i="1"/>
  <c r="N8" i="1"/>
  <c r="P8" i="1" s="1"/>
  <c r="N19" i="1"/>
  <c r="N17" i="1"/>
  <c r="N33" i="1"/>
  <c r="P33" i="1" s="1"/>
  <c r="N28" i="1"/>
  <c r="N29" i="1"/>
  <c r="P29" i="1" s="1"/>
  <c r="N45" i="1"/>
  <c r="P45" i="1" s="1"/>
  <c r="N25" i="1"/>
  <c r="N31" i="1"/>
  <c r="N30" i="1"/>
  <c r="N23" i="1"/>
  <c r="N10" i="1"/>
  <c r="N26" i="1"/>
  <c r="N7" i="1"/>
  <c r="P7" i="1" s="1"/>
  <c r="N15" i="1"/>
  <c r="P15" i="1" s="1"/>
  <c r="N27" i="1"/>
  <c r="P27" i="1" s="1"/>
  <c r="N41" i="1"/>
  <c r="N20" i="1"/>
  <c r="N37" i="1"/>
  <c r="N21" i="1"/>
  <c r="N48" i="1"/>
  <c r="P48" i="1" s="1"/>
  <c r="R6" i="1"/>
  <c r="N6" i="1"/>
  <c r="P6" i="1" s="1"/>
  <c r="R5" i="1"/>
  <c r="N5" i="1"/>
  <c r="P5" i="1" s="1"/>
  <c r="R14" i="1"/>
  <c r="N14" i="1"/>
  <c r="P14" i="1" s="1"/>
  <c r="R24" i="1"/>
  <c r="N24" i="1"/>
  <c r="P24" i="1" s="1"/>
  <c r="R13" i="1"/>
  <c r="N13" i="1"/>
  <c r="P13" i="1" s="1"/>
  <c r="R2" i="1"/>
  <c r="N2" i="1"/>
  <c r="P2" i="1" s="1"/>
  <c r="L32" i="1"/>
  <c r="R30" i="1"/>
  <c r="L30" i="1"/>
  <c r="L16" i="1"/>
  <c r="R37" i="1"/>
  <c r="L37" i="1"/>
  <c r="L10" i="1"/>
  <c r="L25" i="1"/>
  <c r="L26" i="1"/>
  <c r="L41" i="1"/>
  <c r="R20" i="1"/>
  <c r="L20" i="1"/>
  <c r="R28" i="1"/>
  <c r="L28" i="1"/>
  <c r="L36" i="1"/>
  <c r="L11" i="1"/>
  <c r="L42" i="1"/>
  <c r="L12" i="1"/>
  <c r="L38" i="1"/>
  <c r="L44" i="1"/>
  <c r="L9" i="1"/>
  <c r="L50" i="1"/>
  <c r="L51" i="1"/>
  <c r="L22" i="1"/>
  <c r="L35" i="1"/>
  <c r="L46" i="1"/>
  <c r="R21" i="1"/>
  <c r="L21" i="1"/>
  <c r="R19" i="1"/>
  <c r="L19" i="1"/>
  <c r="R48" i="1"/>
  <c r="L48" i="1"/>
  <c r="L3" i="1"/>
  <c r="R17" i="1"/>
  <c r="L17" i="1"/>
  <c r="R33" i="1"/>
  <c r="L33" i="1"/>
  <c r="R31" i="1"/>
  <c r="L31" i="1"/>
  <c r="L43" i="1"/>
  <c r="L40" i="1"/>
  <c r="R23" i="1"/>
  <c r="L23" i="1"/>
  <c r="R45" i="1"/>
  <c r="L45" i="1"/>
  <c r="L47" i="1"/>
  <c r="L34" i="1"/>
  <c r="R15" i="1"/>
  <c r="R8" i="1"/>
  <c r="R25" i="1"/>
  <c r="R26" i="1"/>
  <c r="R27" i="1"/>
  <c r="R29" i="1"/>
  <c r="R7" i="1"/>
  <c r="R10" i="1"/>
  <c r="T43" i="1"/>
  <c r="T18" i="1"/>
  <c r="T24" i="1"/>
  <c r="P19" i="1" l="1"/>
  <c r="O19" i="1"/>
  <c r="P30" i="1"/>
  <c r="O30" i="1"/>
  <c r="O16" i="1"/>
  <c r="P31" i="1"/>
  <c r="O31" i="1"/>
  <c r="P10" i="1"/>
  <c r="O10" i="1"/>
  <c r="O32" i="1"/>
  <c r="P23" i="1"/>
  <c r="O23" i="1"/>
  <c r="P21" i="1"/>
  <c r="O21" i="1"/>
  <c r="P25" i="1"/>
  <c r="O25" i="1"/>
  <c r="O43" i="1"/>
  <c r="P37" i="1"/>
  <c r="O37" i="1"/>
  <c r="P26" i="1"/>
  <c r="O26" i="1"/>
  <c r="P20" i="1"/>
  <c r="O20" i="1"/>
  <c r="O34" i="1"/>
  <c r="P41" i="1"/>
  <c r="O41" i="1"/>
  <c r="P28" i="1"/>
  <c r="O28" i="1"/>
  <c r="O12" i="1"/>
  <c r="O42" i="1"/>
  <c r="O11" i="1"/>
  <c r="O36" i="1"/>
  <c r="O38" i="1"/>
  <c r="O44" i="1"/>
  <c r="O9" i="1"/>
  <c r="O22" i="1"/>
  <c r="O50" i="1"/>
  <c r="O35" i="1"/>
  <c r="O46" i="1"/>
  <c r="O40" i="1"/>
  <c r="P17" i="1"/>
  <c r="O17" i="1"/>
  <c r="S33" i="1"/>
  <c r="S28" i="1"/>
  <c r="S42" i="1"/>
  <c r="S36" i="1"/>
  <c r="S12" i="1"/>
  <c r="S11" i="1"/>
  <c r="S44" i="1"/>
  <c r="S38" i="1"/>
  <c r="S22" i="1"/>
  <c r="S9" i="1"/>
  <c r="S51" i="1"/>
  <c r="S50" i="1"/>
  <c r="S35" i="1"/>
  <c r="S46" i="1"/>
  <c r="S20" i="1"/>
  <c r="S30" i="1"/>
  <c r="S17" i="1"/>
  <c r="S34" i="1"/>
  <c r="S45" i="1"/>
  <c r="S40" i="1"/>
  <c r="S48" i="1"/>
  <c r="S32" i="1"/>
  <c r="S3" i="1"/>
  <c r="S26" i="1"/>
  <c r="S23" i="1"/>
  <c r="S25" i="1"/>
  <c r="S41" i="1"/>
  <c r="S43" i="1"/>
  <c r="S19" i="1"/>
  <c r="S10" i="1"/>
  <c r="S16" i="1"/>
  <c r="S21" i="1"/>
  <c r="S31" i="1"/>
  <c r="S37" i="1"/>
  <c r="S47" i="1"/>
  <c r="Q12" i="1"/>
  <c r="Q38" i="1"/>
  <c r="Q11" i="1"/>
  <c r="Q42" i="1"/>
  <c r="Q36" i="1"/>
  <c r="T48" i="1"/>
  <c r="T25" i="1"/>
  <c r="T21" i="1"/>
  <c r="J15" i="7" l="1"/>
  <c r="K15" i="7" s="1" a="1"/>
  <c r="K15" i="7" s="1"/>
  <c r="J12" i="7"/>
  <c r="K12" i="7" s="1" a="1"/>
  <c r="K12" i="7" s="1"/>
  <c r="F13" i="7"/>
  <c r="G13" i="7" s="1" a="1"/>
  <c r="G13" i="7" s="1"/>
  <c r="I13" i="7" s="1"/>
  <c r="F14" i="7"/>
  <c r="G14" i="7" s="1" a="1"/>
  <c r="G14" i="7" s="1"/>
  <c r="I14" i="7" s="1"/>
  <c r="F15" i="7"/>
  <c r="G15" i="7" s="1" a="1"/>
  <c r="G15" i="7" s="1"/>
  <c r="I15" i="7" s="1"/>
  <c r="F16" i="7"/>
  <c r="G16" i="7" s="1" a="1"/>
  <c r="G16" i="7" s="1"/>
  <c r="I16" i="7" s="1"/>
  <c r="J13" i="7"/>
  <c r="K13" i="7" s="1" a="1"/>
  <c r="K13" i="7" s="1"/>
  <c r="F12" i="7"/>
  <c r="G12" i="7" s="1" a="1"/>
  <c r="G12" i="7" s="1"/>
  <c r="I12" i="7" s="1"/>
  <c r="J14" i="7"/>
  <c r="K14" i="7" s="1" a="1"/>
  <c r="K14" i="7" s="1"/>
  <c r="J16" i="7"/>
  <c r="K16" i="7" s="1" a="1"/>
  <c r="K16" i="7" s="1"/>
  <c r="J4" i="7"/>
  <c r="K4" i="7" s="1" a="1"/>
  <c r="K4" i="7" s="1"/>
  <c r="J5" i="7"/>
  <c r="K5" i="7" s="1" a="1"/>
  <c r="K5" i="7" s="1"/>
  <c r="J7" i="7"/>
  <c r="K7" i="7" s="1" a="1"/>
  <c r="K7" i="7" s="1"/>
  <c r="J8" i="7"/>
  <c r="K8" i="7" s="1" a="1"/>
  <c r="K8" i="7" s="1"/>
  <c r="J6" i="7"/>
  <c r="K6" i="7" s="1" a="1"/>
  <c r="K6" i="7" s="1"/>
  <c r="T3" i="1"/>
  <c r="T33" i="1"/>
  <c r="T4" i="1"/>
  <c r="T5" i="1"/>
  <c r="T15" i="1"/>
  <c r="T7" i="1"/>
  <c r="T14" i="1"/>
  <c r="T20" i="1"/>
  <c r="T13" i="1"/>
  <c r="T17" i="1"/>
  <c r="T26" i="1"/>
  <c r="T28" i="1"/>
  <c r="T8" i="1"/>
  <c r="T41" i="1"/>
  <c r="T6" i="1"/>
  <c r="T31" i="1"/>
  <c r="T27" i="1"/>
  <c r="T30" i="1"/>
  <c r="T23" i="1"/>
  <c r="T29" i="1"/>
  <c r="T2" i="1"/>
  <c r="T10" i="1"/>
  <c r="T37" i="1"/>
  <c r="M16" i="7" l="1"/>
  <c r="L16" i="7"/>
  <c r="L14" i="7"/>
  <c r="M14" i="7"/>
  <c r="L13" i="7"/>
  <c r="M13" i="7"/>
  <c r="M12" i="7"/>
  <c r="L12" i="7"/>
  <c r="M15" i="7"/>
  <c r="L15" i="7"/>
  <c r="L5" i="7"/>
  <c r="M5" i="7"/>
  <c r="L6" i="7"/>
  <c r="M6" i="7"/>
  <c r="M8" i="7"/>
  <c r="L8" i="7"/>
  <c r="M7" i="7"/>
  <c r="L7" i="7"/>
  <c r="M4" i="7"/>
  <c r="L4" i="7"/>
  <c r="T45" i="1"/>
  <c r="T47" i="1"/>
  <c r="T19" i="1"/>
  <c r="U40" i="1" s="1"/>
  <c r="T16" i="1"/>
  <c r="U26" i="1" l="1"/>
  <c r="U35" i="1"/>
  <c r="U34" i="1"/>
  <c r="U28" i="1"/>
  <c r="U16" i="1"/>
  <c r="U19" i="1"/>
  <c r="U45" i="1"/>
  <c r="U46" i="1"/>
  <c r="U37" i="1"/>
  <c r="U42" i="1"/>
  <c r="U3" i="1"/>
  <c r="U47" i="1"/>
  <c r="U50" i="1"/>
  <c r="U33" i="1"/>
  <c r="U9" i="1"/>
  <c r="U41" i="1"/>
  <c r="U12" i="1"/>
  <c r="U30" i="1"/>
  <c r="U48" i="1"/>
  <c r="U36" i="1"/>
  <c r="U31" i="1"/>
  <c r="U21" i="1"/>
  <c r="U22" i="1"/>
  <c r="U10" i="1"/>
  <c r="U43" i="1"/>
  <c r="U11" i="1"/>
  <c r="U23" i="1"/>
  <c r="U17" i="1"/>
  <c r="U32" i="1"/>
  <c r="U44" i="1"/>
  <c r="U20" i="1"/>
  <c r="U38" i="1"/>
  <c r="U25" i="1"/>
  <c r="J16" i="1"/>
  <c r="H51" i="1"/>
  <c r="Q25" i="1"/>
  <c r="J35" i="1"/>
  <c r="H31" i="1"/>
  <c r="H35" i="1"/>
  <c r="Q3" i="1"/>
  <c r="Q33" i="1"/>
  <c r="Q22" i="1"/>
  <c r="Q51" i="1"/>
  <c r="Q19" i="1"/>
  <c r="Q9" i="1"/>
  <c r="H32" i="1"/>
  <c r="H9" i="1"/>
  <c r="H13" i="1"/>
  <c r="H23" i="1"/>
  <c r="Q21" i="1"/>
  <c r="Q26" i="1"/>
  <c r="J47" i="1"/>
  <c r="J39" i="1"/>
  <c r="J30" i="1"/>
  <c r="H33" i="1"/>
  <c r="J44" i="1"/>
  <c r="J3" i="1"/>
  <c r="Q50" i="1"/>
  <c r="Q44" i="1"/>
  <c r="J33" i="1"/>
  <c r="H25" i="1"/>
  <c r="H50" i="1"/>
  <c r="H44" i="1"/>
  <c r="Q43" i="1"/>
  <c r="J21" i="1"/>
  <c r="H30" i="1"/>
  <c r="Q47" i="1"/>
  <c r="J13" i="1"/>
  <c r="Q10" i="1"/>
  <c r="Q37" i="1"/>
  <c r="H10" i="1"/>
  <c r="Q13" i="1"/>
  <c r="H26" i="1"/>
  <c r="J32" i="1"/>
  <c r="Q28" i="1"/>
  <c r="J41" i="1"/>
  <c r="H43" i="1"/>
  <c r="H17" i="1"/>
  <c r="J31" i="1"/>
  <c r="H3" i="1"/>
  <c r="J26" i="1"/>
  <c r="H8" i="1"/>
  <c r="Q41" i="1"/>
  <c r="Q40" i="1"/>
  <c r="J40" i="1"/>
  <c r="J8" i="1"/>
  <c r="H41" i="1"/>
  <c r="H39" i="1"/>
  <c r="Q8" i="1"/>
  <c r="Q39" i="1"/>
  <c r="J48" i="1"/>
  <c r="Q48" i="1"/>
  <c r="H16" i="1"/>
  <c r="Q45" i="1"/>
  <c r="Q20" i="1"/>
  <c r="H21" i="1"/>
  <c r="H46" i="1"/>
  <c r="J51" i="1"/>
  <c r="J22" i="1"/>
  <c r="H20" i="1"/>
  <c r="Q17" i="1"/>
  <c r="J34" i="1"/>
  <c r="H19" i="1"/>
  <c r="Q31" i="1"/>
  <c r="Q34" i="1"/>
  <c r="J43" i="1"/>
  <c r="J46" i="1"/>
  <c r="J50" i="1"/>
  <c r="Q30" i="1"/>
  <c r="J37" i="1"/>
  <c r="Q32" i="1"/>
  <c r="H22" i="1"/>
  <c r="H45" i="1"/>
  <c r="H28" i="1"/>
  <c r="H37" i="1"/>
  <c r="J45" i="1"/>
  <c r="Q35" i="1"/>
  <c r="Q16" i="1"/>
  <c r="H48" i="1"/>
  <c r="H47" i="1"/>
  <c r="J9" i="1"/>
  <c r="J28" i="1"/>
  <c r="J25" i="1"/>
  <c r="J10" i="1"/>
  <c r="H40" i="1"/>
  <c r="Q46" i="1"/>
  <c r="H34" i="1"/>
  <c r="J19" i="1"/>
  <c r="J17" i="1"/>
  <c r="J23" i="1"/>
  <c r="Q23" i="1"/>
  <c r="J20" i="1"/>
  <c r="F20" i="7" l="1"/>
  <c r="G20" i="7" s="1" a="1"/>
  <c r="G20" i="7" s="1"/>
  <c r="F21" i="7"/>
  <c r="G21" i="7" s="1" a="1"/>
  <c r="G21" i="7" s="1"/>
  <c r="J21" i="7"/>
  <c r="K21" i="7" s="1" a="1"/>
  <c r="K21" i="7" s="1"/>
  <c r="F22" i="7"/>
  <c r="G22" i="7" s="1" a="1"/>
  <c r="G22" i="7" s="1"/>
  <c r="J22" i="7"/>
  <c r="K22" i="7" s="1" a="1"/>
  <c r="K22" i="7" s="1"/>
  <c r="J23" i="7"/>
  <c r="K23" i="7" s="1" a="1"/>
  <c r="K23" i="7" s="1"/>
  <c r="F23" i="7"/>
  <c r="G23" i="7" s="1" a="1"/>
  <c r="G23" i="7" s="1"/>
  <c r="J24" i="7"/>
  <c r="K24" i="7" s="1" a="1"/>
  <c r="K24" i="7" s="1"/>
  <c r="F24" i="7"/>
  <c r="G24" i="7" s="1" a="1"/>
  <c r="G24" i="7" s="1"/>
  <c r="J20" i="7"/>
  <c r="K20" i="7" s="1" a="1"/>
  <c r="K20" i="7" s="1"/>
  <c r="F5" i="7"/>
  <c r="F6" i="7"/>
  <c r="G6" i="7" s="1" a="1"/>
  <c r="G6" i="7" s="1"/>
  <c r="F7" i="7"/>
  <c r="G7" i="7" s="1" a="1"/>
  <c r="G7" i="7" s="1"/>
  <c r="F8" i="7"/>
  <c r="F4" i="7"/>
  <c r="G4" i="7" s="1" a="1"/>
  <c r="G4" i="7" s="1"/>
  <c r="B5" i="7"/>
  <c r="C5" i="7" s="1" a="1"/>
  <c r="C5" i="7" s="1"/>
  <c r="B7" i="7"/>
  <c r="B4" i="7"/>
  <c r="C4" i="7" s="1" a="1"/>
  <c r="C4" i="7" s="1"/>
  <c r="B8" i="7"/>
  <c r="B6" i="7"/>
  <c r="C6" i="7" s="1" a="1"/>
  <c r="C6" i="7" s="1"/>
  <c r="B14" i="7"/>
  <c r="C14" i="7" s="1" a="1"/>
  <c r="C14" i="7" s="1"/>
  <c r="B15" i="7"/>
  <c r="C15" i="7" s="1" a="1"/>
  <c r="C15" i="7" s="1"/>
  <c r="B16" i="7"/>
  <c r="B12" i="7"/>
  <c r="C12" i="7" s="1" a="1"/>
  <c r="C12" i="7" s="1"/>
  <c r="B13" i="7"/>
  <c r="C13" i="7" s="1" a="1"/>
  <c r="C13" i="7" s="1"/>
  <c r="C7" i="7" a="1"/>
  <c r="C7" i="7" s="1"/>
  <c r="C8" i="7" a="1"/>
  <c r="C8" i="7" s="1"/>
  <c r="C16" i="7" l="1" a="1"/>
  <c r="C16" i="7" s="1"/>
  <c r="D16" i="7" s="1"/>
  <c r="G5" i="7" a="1"/>
  <c r="G5" i="7" s="1"/>
  <c r="I5" i="7" s="1"/>
  <c r="G8" i="7" a="1"/>
  <c r="G8" i="7" s="1"/>
  <c r="H8" i="7" s="1"/>
  <c r="M20" i="7"/>
  <c r="L20" i="7"/>
  <c r="H24" i="7"/>
  <c r="I24" i="7"/>
  <c r="M24" i="7"/>
  <c r="L24" i="7"/>
  <c r="I23" i="7"/>
  <c r="H23" i="7"/>
  <c r="M23" i="7"/>
  <c r="L23" i="7"/>
  <c r="M22" i="7"/>
  <c r="L22" i="7"/>
  <c r="I22" i="7"/>
  <c r="H22" i="7"/>
  <c r="M21" i="7"/>
  <c r="L21" i="7"/>
  <c r="H21" i="7"/>
  <c r="I21" i="7"/>
  <c r="I20" i="7"/>
  <c r="H20" i="7"/>
  <c r="H16" i="7"/>
  <c r="H13" i="7"/>
  <c r="H14" i="7"/>
  <c r="D13" i="7"/>
  <c r="E13" i="7"/>
  <c r="E12" i="7"/>
  <c r="D12" i="7"/>
  <c r="H12" i="7"/>
  <c r="D15" i="7"/>
  <c r="E15" i="7"/>
  <c r="H15" i="7"/>
  <c r="D14" i="7"/>
  <c r="E14" i="7"/>
  <c r="E4" i="7"/>
  <c r="D4" i="7"/>
  <c r="I4" i="7"/>
  <c r="H4" i="7"/>
  <c r="H7" i="7"/>
  <c r="I7" i="7"/>
  <c r="I6" i="7"/>
  <c r="H6" i="7"/>
  <c r="D5" i="7"/>
  <c r="E5" i="7"/>
  <c r="E8" i="7"/>
  <c r="D8" i="7"/>
  <c r="D7" i="7"/>
  <c r="E7" i="7"/>
  <c r="D6" i="7"/>
  <c r="E6" i="7"/>
  <c r="E16" i="7" l="1"/>
  <c r="I8" i="7"/>
  <c r="D20" i="7"/>
  <c r="H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</commentList>
</comments>
</file>

<file path=xl/sharedStrings.xml><?xml version="1.0" encoding="utf-8"?>
<sst xmlns="http://schemas.openxmlformats.org/spreadsheetml/2006/main" count="258" uniqueCount="148">
  <si>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</si>
  <si>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</si>
  <si>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</si>
  <si>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</si>
  <si>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</si>
  <si>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</si>
  <si>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</si>
  <si>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</si>
  <si>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</si>
  <si>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</si>
  <si>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</si>
  <si>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</si>
  <si>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</si>
  <si>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</si>
  <si>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</si>
  <si>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</si>
  <si>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</si>
  <si>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</si>
  <si>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</si>
  <si>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</si>
  <si>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</si>
  <si>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</si>
  <si>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</si>
  <si>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</si>
  <si>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</si>
  <si>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</si>
  <si>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</si>
  <si>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</si>
  <si>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</si>
  <si>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</si>
  <si>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</si>
  <si>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</si>
  <si>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</si>
  <si>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</si>
  <si>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</si>
  <si>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</si>
  <si>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</si>
  <si>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</si>
  <si>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</si>
  <si>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</si>
  <si>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</si>
  <si>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</si>
  <si>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</si>
  <si>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</si>
  <si>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</si>
  <si>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</si>
  <si>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</si>
  <si>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</si>
  <si>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</si>
  <si>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</si>
  <si>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</si>
  <si>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</si>
  <si>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</si>
  <si>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</si>
  <si>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</si>
  <si>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</si>
  <si>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</si>
  <si>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</si>
  <si>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</si>
  <si>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</si>
  <si>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</si>
  <si>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</si>
  <si>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</si>
  <si>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</si>
  <si>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</si>
  <si>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</si>
  <si>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</si>
  <si>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</si>
  <si>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</si>
  <si>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</si>
  <si>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</si>
  <si>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</si>
  <si>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</si>
  <si>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</si>
  <si>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</si>
  <si>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</si>
  <si>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</si>
  <si>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</si>
  <si>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</si>
  <si>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</si>
  <si>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</si>
  <si>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</si>
  <si>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</si>
  <si>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</si>
  <si>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</si>
  <si>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</si>
  <si>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</si>
  <si>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</si>
  <si>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</si>
  <si>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</si>
  <si>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</si>
  <si>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</si>
  <si>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</si>
  <si>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</si>
  <si>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</si>
  <si>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</si>
  <si>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</si>
  <si>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</si>
  <si>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</si>
  <si>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</si>
  <si>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Magnus BK</t>
  </si>
  <si>
    <t>Kenneth J</t>
  </si>
  <si>
    <t>{"name": "Anders A", "tickets": 10},</t>
  </si>
  <si>
    <t>{"name": "Ivan", "tickets": 4},</t>
  </si>
  <si>
    <t>{"name": "Truls", "tickets": 5},</t>
  </si>
  <si>
    <t>{"name": "Stein", "tickets": 5},</t>
  </si>
  <si>
    <t>{"name": "Hanne", "tickets": 5},</t>
  </si>
  <si>
    <t>{"name": "Mathias", "tickets": 5},</t>
  </si>
  <si>
    <t>{"name": "Ciaran", "tickets": 5},</t>
  </si>
  <si>
    <t>{"name": "Anders W", "tickets": 15},</t>
  </si>
  <si>
    <t>{"name": "Magnus W", "tickets": 6},</t>
  </si>
  <si>
    <t>{"name": "Andreas", "tickets": 5},</t>
  </si>
  <si>
    <t>{"name": "Jan", "tickets": 10},</t>
  </si>
  <si>
    <t>{"name": "Kyrre", "tickets": 5},</t>
  </si>
  <si>
    <t>{"name": "Terje", "tickets": 5},</t>
  </si>
  <si>
    <t>{"name": "Martin", "tickets": 10},</t>
  </si>
  <si>
    <t>{"name": "Marius", "tickets": 16},</t>
  </si>
  <si>
    <t>{"name": "Yngvar", "tickets": 6},</t>
  </si>
  <si>
    <t>{"name": "Erik B", "tickets": 5},</t>
  </si>
  <si>
    <t>{"name": "Kenneth", "tickets": 10},</t>
  </si>
  <si>
    <t>{"name": "Ruben O", "tickets": 10},</t>
  </si>
  <si>
    <t>{"name": "Ruben B", "tickets": 10},</t>
  </si>
  <si>
    <t>Ivan</t>
  </si>
  <si>
    <t>{"name": "Asgeir", "tickets": 5},</t>
  </si>
  <si>
    <t>{"name": "Magnus BK", "tickets": 10},</t>
  </si>
  <si>
    <t>{"name": "Stan", "tickets": 1},</t>
  </si>
  <si>
    <t>Stan</t>
  </si>
  <si>
    <t>{"name": "Fridtjof", "tickets": 5},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</si>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</sst>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86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6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7" fillId="9" borderId="0" xfId="1" applyFont="1" applyFill="1" applyBorder="1" applyAlignment="1">
      <alignment horizontal="center"/>
    </xf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11" fillId="7" borderId="0" xfId="0" applyFont="1" applyFill="1" applyAlignment="1">
      <alignment horizontal="center"/>
    </xf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7" fillId="10" borderId="0" xfId="2" applyFont="1" applyFill="1" applyBorder="1" applyAlignment="1">
      <alignment horizontal="center"/>
    </xf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7" fillId="11" borderId="0" xfId="2" applyFont="1" applyFill="1" applyBorder="1" applyAlignment="1">
      <alignment horizontal="center"/>
    </xf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8" fillId="14" borderId="0" xfId="1" applyFont="1" applyFill="1" applyBorder="1" applyAlignment="1">
      <alignment horizontal="center"/>
    </xf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8" fillId="13" borderId="0" xfId="1" applyFont="1" applyFill="1" applyBorder="1" applyAlignment="1">
      <alignment horizontal="center"/>
    </xf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8" fillId="12" borderId="0" xfId="1" applyFont="1" applyFill="1" applyBorder="1" applyAlignment="1">
      <alignment horizontal="center"/>
    </xf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1" totalsRowShown="0" headerRowDxfId="39" dataDxfId="38">
  <autoFilter ref="A1:U51"/>
  <sortState ref="A2:U51">
    <sortCondition descending="1" ref="T1:T51"/>
  </sortState>
  <tableColumns count="21">
    <tableColumn id="1" name="id" dataDxfId="37"/>
    <tableColumn id="2" name="name" dataDxfId="36"/>
    <tableColumn id="3" name="active" dataDxfId="35"/>
    <tableColumn id="20" name="last lottery" dataDxfId="34">
      <calculatedColumnFormula array="1">MAX(IF(Sales!B:B=A2,Sales!C:C))</calculatedColumnFormula>
    </tableColumn>
    <tableColumn id="8" name="cost" dataDxfId="33">
      <calculatedColumnFormula>SUMIF(Sales!B:B,A2,Sales!E:E)</calculatedColumnFormula>
    </tableColumn>
    <tableColumn id="18" name="#cost" dataDxfId="32">
      <calculatedColumnFormula>IF($C2=0," ",COUNTIFS($C:$C,1,E:E,"&gt;"&amp;E2)+1)</calculatedColumnFormula>
    </tableColumn>
    <tableColumn id="9" name="tickets" dataDxfId="31">
      <calculatedColumnFormula>SUMIF(Sales!B:B,A2,Sales!D:D)</calculatedColumnFormula>
    </tableColumn>
    <tableColumn id="12" name="#tickets" dataDxfId="30">
      <calculatedColumnFormula>IF($C2=0," ",COUNTIFS($C:$C,1,G:G,"&gt;"&amp;G2)+1)</calculatedColumnFormula>
    </tableColumn>
    <tableColumn id="10" name="prizes" dataDxfId="29">
      <calculatedColumnFormula>SUMIF(Prizes!B:B,A2,Prizes!D:D)</calculatedColumnFormula>
    </tableColumn>
    <tableColumn id="13" name="#prizes" dataDxfId="28">
      <calculatedColumnFormula>IF($C2=0," ",COUNTIFS($C:$C,1,I:I,"&gt;"&amp;I2)+1)</calculatedColumnFormula>
    </tableColumn>
    <tableColumn id="7" name="μ" dataDxfId="27">
      <calculatedColumnFormula>SUMIF(Sales!B:B,A2,Sales!F:F)</calculatedColumnFormula>
    </tableColumn>
    <tableColumn id="16" name="#μ" dataDxfId="26">
      <calculatedColumnFormula>IF($C2=0," ",COUNTIFS($C:$C,1,K:K,"&gt;"&amp;K2)+1)</calculatedColumnFormula>
    </tableColumn>
    <tableColumn id="11" name="σ" dataDxfId="25">
      <calculatedColumnFormula>SQRT(SUMIF(Sales!B:B,A2,Sales!G:G))</calculatedColumnFormula>
    </tableColumn>
    <tableColumn id="19" name="prizes - µ" dataDxfId="2">
      <calculatedColumnFormula>I2-K2</calculatedColumnFormula>
    </tableColumn>
    <tableColumn id="21" name="#prizes - µ" dataDxfId="0">
      <calculatedColumnFormula>IF($C2=0," ",COUNTIFS($C:$C,1,N:N,"&gt;"&amp;N2)+1)</calculatedColumnFormula>
    </tableColumn>
    <tableColumn id="5" name="Nσ" dataDxfId="1">
      <calculatedColumnFormula>N2/M2</calculatedColumnFormula>
    </tableColumn>
    <tableColumn id="6" name="#Nσ" dataDxfId="24">
      <calculatedColumnFormula>IF($C2=0," ",COUNTIFS($C:$C,1,P:P,"&gt;"&amp;P2)+1)</calculatedColumnFormula>
    </tableColumn>
    <tableColumn id="15" name="P" dataDxfId="23" dataCellStyle="Percent">
      <calculatedColumnFormula>IF(I2&gt;K2,1-_xlfn.NORM.DIST(I2,K2,M2,1),_xlfn.NORM.DIST(I2,K2,M2,1))</calculatedColumnFormula>
    </tableColumn>
    <tableColumn id="17" name="#P" dataDxfId="22" dataCellStyle="Percent">
      <calculatedColumnFormula>IF($C2=0," ",COUNTIFS($C:$C,1,R:R,"&gt;"&amp;R2)+1)</calculatedColumnFormula>
    </tableColumn>
    <tableColumn id="4" name="cost/μ" dataDxfId="21">
      <calculatedColumnFormula>E2/K2</calculatedColumnFormula>
    </tableColumn>
    <tableColumn id="14" name="#investor" dataDxfId="20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18">
  <autoFilter ref="A1:G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id" totalsRowLabel="Total"/>
    <tableColumn id="2" name="date" dataDxfId="19"/>
    <tableColumn id="4" name="cost" dataDxfId="18"/>
    <tableColumn id="3" name="sales" dataDxfId="17">
      <calculatedColumnFormula>SUMIFS(Sales!D:D,Sales!C:C,A2)</calculatedColumnFormula>
    </tableColumn>
    <tableColumn id="5" name="prizes" totalsRowFunction="sum" dataDxfId="16">
      <calculatedColumnFormula>SUMIFS(Prizes!D:D,Prizes!C:C,A2)</calculatedColumnFormula>
    </tableColumn>
    <tableColumn id="6" name="µ/ticket" dataDxfId="15" totalsRowDxfId="14">
      <calculatedColumnFormula>E2/D2</calculatedColumnFormula>
    </tableColumn>
    <tableColumn id="7" name="cost/µ" dataDxfId="13">
      <calculatedColumnFormula>C2*D2/E2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14" totalsRowShown="0">
  <autoFilter ref="A1:G314"/>
  <tableColumns count="7">
    <tableColumn id="1" name="id"/>
    <tableColumn id="2" name="person_id"/>
    <tableColumn id="3" name="lottery_id" dataDxfId="12" totalsRowDxfId="11"/>
    <tableColumn id="4" name="tickets"/>
    <tableColumn id="5" name="cost" dataDxfId="10" totalsRowDxfId="9">
      <calculatedColumnFormula>INDEX(Lotteries!C:C,MATCH(C2,Lotteries!A:A,0))*D2</calculatedColumnFormula>
    </tableColumn>
    <tableColumn id="6" name="µ" dataDxfId="8">
      <calculatedColumnFormula>D2*INDEX(Lotteries!F:F,MATCH(C2,Lotteries!A:A,0))</calculatedColumnFormula>
    </tableColumn>
    <tableColumn id="7" name="σ2" dataDxfId="7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96" totalsRowShown="0" headerRowDxfId="6">
  <autoFilter ref="A1:D96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4" totalsRowShown="0" headerRowDxfId="5">
  <autoFilter ref="A1:D14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4"/>
    <tableColumn id="4" name="cost" dataDxfId="3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tabSelected="1" workbookViewId="0">
      <selection activeCell="E30" sqref="E30"/>
    </sheetView>
  </sheetViews>
  <sheetFormatPr defaultColWidth="10.1796875" defaultRowHeight="14.5" x14ac:dyDescent="0.35"/>
  <cols>
    <col min="3" max="3" width="10.1796875" hidden="1" customWidth="1"/>
    <col min="7" max="7" width="0" hidden="1" customWidth="1"/>
    <col min="11" max="11" width="0" hidden="1" customWidth="1"/>
  </cols>
  <sheetData>
    <row r="2" spans="2:26" x14ac:dyDescent="0.35">
      <c r="B2" s="42" t="s">
        <v>41</v>
      </c>
      <c r="C2" s="42"/>
      <c r="D2" s="42"/>
      <c r="E2" s="42"/>
      <c r="F2" s="41" t="s">
        <v>40</v>
      </c>
      <c r="G2" s="41"/>
      <c r="H2" s="41"/>
      <c r="I2" s="41"/>
      <c r="J2" s="53" t="s">
        <v>140</v>
      </c>
      <c r="K2" s="53"/>
      <c r="L2" s="53"/>
      <c r="M2" s="53"/>
    </row>
    <row r="3" spans="2:26" s="57" customFormat="1" ht="16.5" x14ac:dyDescent="0.45">
      <c r="B3" s="54" t="s">
        <v>42</v>
      </c>
      <c r="C3" s="54" t="s">
        <v>19</v>
      </c>
      <c r="D3" s="54" t="s">
        <v>1</v>
      </c>
      <c r="E3" s="54" t="s">
        <v>131</v>
      </c>
      <c r="F3" s="55" t="s">
        <v>42</v>
      </c>
      <c r="G3" s="55" t="s">
        <v>19</v>
      </c>
      <c r="H3" s="55" t="s">
        <v>1</v>
      </c>
      <c r="I3" s="55" t="s">
        <v>131</v>
      </c>
      <c r="J3" s="56" t="s">
        <v>42</v>
      </c>
      <c r="K3" s="56" t="s">
        <v>19</v>
      </c>
      <c r="L3" s="56" t="s">
        <v>1</v>
      </c>
      <c r="M3" s="56" t="s">
        <v>131</v>
      </c>
    </row>
    <row r="4" spans="2:26" x14ac:dyDescent="0.3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78">
        <f>INDEX(Persons!$R:$R,MATCH(C4,Persons!$A:$A,0))</f>
        <v>1.5951061530541488E-2</v>
      </c>
      <c r="F4" s="38">
        <f>LARGE(Persons!$Q:$Q,1+ROW(F4)-ROW(F$4))</f>
        <v>29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9">
        <f>INDEX(Persons!$R:$R,MATCH(G4,Persons!$A:$A,0))</f>
        <v>5.6911776347921383E-2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36</v>
      </c>
      <c r="L4" s="39" t="str">
        <f>INDEX(Persons!$B:$B,MATCH(K4,Persons!$A:$A,0))</f>
        <v>Ingvild</v>
      </c>
      <c r="M4" s="80">
        <f>INDEX(Persons!$R:$R,MATCH(K4,Persons!$A:$A,0))</f>
        <v>0.49874327476019131</v>
      </c>
    </row>
    <row r="5" spans="2:26" x14ac:dyDescent="0.3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41</v>
      </c>
      <c r="D5" s="40" t="str">
        <f>INDEX(Persons!$B:$B,MATCH(C5,Persons!$A:$A,0))</f>
        <v>Ruben B</v>
      </c>
      <c r="E5" s="78">
        <f>INDEX(Persons!$R:$R,MATCH(C5,Persons!$A:$A,0))</f>
        <v>5.5089345140605039E-2</v>
      </c>
      <c r="F5" s="38">
        <f>LARGE(Persons!$Q:$Q,1+ROW(F5)-ROW(F$4))</f>
        <v>28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9">
        <f>INDEX(Persons!$R:$R,MATCH(G5,Persons!$A:$A,0))</f>
        <v>0.1168342788493502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44</v>
      </c>
      <c r="L5" s="39" t="str">
        <f>INDEX(Persons!$B:$B,MATCH(K5,Persons!$A:$A,0))</f>
        <v>Jan</v>
      </c>
      <c r="M5" s="80">
        <f>INDEX(Persons!$R:$R,MATCH(K5,Persons!$A:$A,0))</f>
        <v>0.49856021866335548</v>
      </c>
    </row>
    <row r="6" spans="2:26" x14ac:dyDescent="0.3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14</v>
      </c>
      <c r="D6" s="40" t="str">
        <f>INDEX(Persons!$B:$B,MATCH(C6,Persons!$A:$A,0))</f>
        <v>Truls</v>
      </c>
      <c r="E6" s="78">
        <f>INDEX(Persons!$R:$R,MATCH(C6,Persons!$A:$A,0))</f>
        <v>0.13803877038073276</v>
      </c>
      <c r="F6" s="38">
        <f>LARGE(Persons!$Q:$Q,1+ROW(F6)-ROW(F$4))</f>
        <v>27</v>
      </c>
      <c r="G6" s="38">
        <f t="array" ref="G6">INDEX(Persons!$A:$A,SMALL(IF(Persons!$Q:$Q=F6,ROW(Persons!$A:$A)-ROW(Persons!$A$1)+1),COUNTIF(F$4:F6,F6)))</f>
        <v>37</v>
      </c>
      <c r="H6" s="38" t="str">
        <f>INDEX(Persons!$B:$B,MATCH(G6,Persons!$A:$A,0))</f>
        <v>Ruben O</v>
      </c>
      <c r="I6" s="79">
        <f>INDEX(Persons!$R:$R,MATCH(G6,Persons!$A:$A,0))</f>
        <v>0.15887109681785896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49</v>
      </c>
      <c r="L6" s="39" t="str">
        <f>INDEX(Persons!$B:$B,MATCH(K6,Persons!$A:$A,0))</f>
        <v>Stan</v>
      </c>
      <c r="M6" s="80">
        <f>INDEX(Persons!$R:$R,MATCH(K6,Persons!$A:$A,0))</f>
        <v>0.41864929133648948</v>
      </c>
    </row>
    <row r="7" spans="2:26" x14ac:dyDescent="0.3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42</v>
      </c>
      <c r="D7" s="40" t="str">
        <f>INDEX(Persons!$B:$B,MATCH(C7,Persons!$A:$A,0))</f>
        <v>Magnus W</v>
      </c>
      <c r="E7" s="78">
        <f>INDEX(Persons!$R:$R,MATCH(C7,Persons!$A:$A,0))</f>
        <v>0.15521841177847029</v>
      </c>
      <c r="F7" s="38">
        <f>LARGE(Persons!$Q:$Q,1+ROW(F7)-ROW(F$4))</f>
        <v>26</v>
      </c>
      <c r="G7" s="38">
        <f t="array" ref="G7">INDEX(Persons!$A:$A,SMALL(IF(Persons!$Q:$Q=F7,ROW(Persons!$A:$A)-ROW(Persons!$A$1)+1),COUNTIF(F$4:F7,F7)))</f>
        <v>34</v>
      </c>
      <c r="H7" s="38" t="str">
        <f>INDEX(Persons!$B:$B,MATCH(G7,Persons!$A:$A,0))</f>
        <v>Asgeir</v>
      </c>
      <c r="I7" s="79">
        <f>INDEX(Persons!$R:$R,MATCH(G7,Persons!$A:$A,0))</f>
        <v>0.16313005625806695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35</v>
      </c>
      <c r="L7" s="39" t="str">
        <f>INDEX(Persons!$B:$B,MATCH(K7,Persons!$A:$A,0))</f>
        <v>Mathias</v>
      </c>
      <c r="M7" s="80">
        <f>INDEX(Persons!$R:$R,MATCH(K7,Persons!$A:$A,0))</f>
        <v>0.41609366597116121</v>
      </c>
      <c r="W7">
        <f>SUMPRODUCT(V8:V17,W8:W17)</f>
        <v>112</v>
      </c>
    </row>
    <row r="8" spans="2:26" x14ac:dyDescent="0.3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20</v>
      </c>
      <c r="D8" s="40" t="str">
        <f>INDEX(Persons!$B:$B,MATCH(C8,Persons!$A:$A,0))</f>
        <v>Kyrre</v>
      </c>
      <c r="E8" s="78">
        <f>INDEX(Persons!$R:$R,MATCH(C8,Persons!$A:$A,0))</f>
        <v>0.27038495596790424</v>
      </c>
      <c r="F8" s="38">
        <f>LARGE(Persons!$Q:$Q,1+ROW(F8)-ROW(F$4))</f>
        <v>25</v>
      </c>
      <c r="G8" s="38">
        <f t="array" ref="G8">INDEX(Persons!$A:$A,SMALL(IF(Persons!$Q:$Q=F8,ROW(Persons!$A:$A)-ROW(Persons!$A$1)+1),COUNTIF(F$4:F8,F8)))</f>
        <v>17</v>
      </c>
      <c r="H8" s="38" t="str">
        <f>INDEX(Persons!$B:$B,MATCH(G8,Persons!$A:$A,0))</f>
        <v>Hanne</v>
      </c>
      <c r="I8" s="79">
        <f>INDEX(Persons!$R:$R,MATCH(G8,Persons!$A:$A,0))</f>
        <v>0.17922662716885635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3</v>
      </c>
      <c r="L8" s="39" t="str">
        <f>INDEX(Persons!$B:$B,MATCH(K8,Persons!$A:$A,0))</f>
        <v>Erik O</v>
      </c>
      <c r="M8" s="80">
        <f>INDEX(Persons!$R:$R,MATCH(K8,Persons!$A:$A,0))</f>
        <v>0.41517122299034059</v>
      </c>
      <c r="U8">
        <v>0</v>
      </c>
      <c r="V8">
        <f>2^U8</f>
        <v>1</v>
      </c>
      <c r="W8">
        <v>0</v>
      </c>
    </row>
    <row r="9" spans="2:26" x14ac:dyDescent="0.3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35">
      <c r="B10" s="49" t="s">
        <v>44</v>
      </c>
      <c r="C10" s="49"/>
      <c r="D10" s="49"/>
      <c r="E10" s="49"/>
      <c r="F10" s="62" t="s">
        <v>142</v>
      </c>
      <c r="G10" s="62"/>
      <c r="H10" s="62"/>
      <c r="I10" s="62"/>
      <c r="J10" s="58" t="s">
        <v>143</v>
      </c>
      <c r="K10" s="58"/>
      <c r="L10" s="58"/>
      <c r="M10" s="58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35">
      <c r="B11" s="50" t="s">
        <v>42</v>
      </c>
      <c r="C11" s="50" t="s">
        <v>19</v>
      </c>
      <c r="D11" s="50" t="s">
        <v>1</v>
      </c>
      <c r="E11" s="51" t="s">
        <v>21</v>
      </c>
      <c r="F11" s="63" t="s">
        <v>42</v>
      </c>
      <c r="G11" s="63" t="s">
        <v>19</v>
      </c>
      <c r="H11" s="63" t="s">
        <v>1</v>
      </c>
      <c r="I11" s="64" t="s">
        <v>136</v>
      </c>
      <c r="J11" s="59" t="s">
        <v>42</v>
      </c>
      <c r="K11" s="59" t="s">
        <v>19</v>
      </c>
      <c r="L11" s="59" t="s">
        <v>1</v>
      </c>
      <c r="M11" s="60" t="s">
        <v>136</v>
      </c>
      <c r="U11">
        <v>3</v>
      </c>
      <c r="V11">
        <f t="shared" si="0"/>
        <v>8</v>
      </c>
      <c r="W11">
        <v>0</v>
      </c>
      <c r="Y11" s="4" t="s">
        <v>140</v>
      </c>
      <c r="Z11" s="39"/>
    </row>
    <row r="12" spans="2:26" x14ac:dyDescent="0.35">
      <c r="B12" s="52">
        <f>SMALL(Persons!$J:$J,1+ROW(B12)-ROW(B$12))</f>
        <v>1</v>
      </c>
      <c r="C12" s="52">
        <f t="array" ref="C12">INDEX(Persons!$A:$A,SMALL(IF(Persons!$J:$J=B12,ROW(Persons!$A:$A)-ROW(Persons!$A$1)+1),COUNTIF(B$12:B12,B12)))</f>
        <v>8</v>
      </c>
      <c r="D12" s="52" t="str">
        <f>INDEX(Persons!$B:$B,MATCH(C12,Persons!$A:$A,0))</f>
        <v>Marius</v>
      </c>
      <c r="E12" s="52">
        <f>INDEX(Persons!$I:$I,MATCH(C12,Persons!$A:$A,0))</f>
        <v>8</v>
      </c>
      <c r="F12" s="65">
        <f>SMALL(Persons!$O:$O,1+ROW(F12)-ROW(F$12))</f>
        <v>1</v>
      </c>
      <c r="G12" s="65">
        <f t="array" ref="G12">INDEX(Persons!$A:$A,SMALL(IF(Persons!$O:$O=F12,ROW(Persons!$A:$A)-ROW(Persons!$A$1)+1),COUNTIF(F$12:F12,F12)))</f>
        <v>14</v>
      </c>
      <c r="H12" s="65" t="str">
        <f>INDEX(Persons!$B:$B,MATCH(G12,Persons!$A:$A,0))</f>
        <v>Truls</v>
      </c>
      <c r="I12" s="81">
        <f>INDEX(Persons!$N:$N,MATCH(G12,Persons!$A:$A,0))</f>
        <v>2.0408776385823342</v>
      </c>
      <c r="J12" s="61">
        <f>LARGE(Persons!$O:$O,1+ROW(J12)-ROW(J$12))</f>
        <v>29</v>
      </c>
      <c r="K12" s="61">
        <f t="array" ref="K12">INDEX(Persons!$A:$A,SMALL(IF(Persons!$O:$O=J12,ROW(Persons!$A:$A)-ROW(Persons!$A$1)+1),COUNTIF(J$12:J12,J12)))</f>
        <v>11</v>
      </c>
      <c r="L12" s="61" t="str">
        <f>INDEX(Persons!$B:$B,MATCH(K12,Persons!$A:$A,0))</f>
        <v>Stein</v>
      </c>
      <c r="M12" s="82">
        <f>INDEX(Persons!$N:$N,MATCH(K12,Persons!$A:$A,0))</f>
        <v>-2.2302045616335824</v>
      </c>
      <c r="U12">
        <v>4</v>
      </c>
      <c r="V12">
        <f t="shared" si="0"/>
        <v>16</v>
      </c>
      <c r="W12">
        <v>1</v>
      </c>
      <c r="Y12" s="4" t="s">
        <v>44</v>
      </c>
      <c r="Z12" s="43"/>
    </row>
    <row r="13" spans="2:26" x14ac:dyDescent="0.35">
      <c r="B13" s="52">
        <f>SMALL(Persons!$J:$J,1+ROW(B13)-ROW(B$12))</f>
        <v>2</v>
      </c>
      <c r="C13" s="52">
        <f t="array" ref="C13">INDEX(Persons!$A:$A,SMALL(IF(Persons!$J:$J=B13,ROW(Persons!$A:$A)-ROW(Persons!$A$1)+1),COUNTIF(B$12:B13,B13)))</f>
        <v>14</v>
      </c>
      <c r="D13" s="52" t="str">
        <f>INDEX(Persons!$B:$B,MATCH(C13,Persons!$A:$A,0))</f>
        <v>Truls</v>
      </c>
      <c r="E13" s="52">
        <f>INDEX(Persons!$I:$I,MATCH(C13,Persons!$A:$A,0))</f>
        <v>6</v>
      </c>
      <c r="F13" s="65">
        <f>SMALL(Persons!$O:$O,1+ROW(F13)-ROW(F$12))</f>
        <v>2</v>
      </c>
      <c r="G13" s="65">
        <f t="array" ref="G13">INDEX(Persons!$A:$A,SMALL(IF(Persons!$O:$O=F13,ROW(Persons!$A:$A)-ROW(Persons!$A$1)+1),COUNTIF(F$12:F13,F13)))</f>
        <v>41</v>
      </c>
      <c r="H13" s="65" t="str">
        <f>INDEX(Persons!$B:$B,MATCH(G13,Persons!$A:$A,0))</f>
        <v>Ruben B</v>
      </c>
      <c r="I13" s="81">
        <f>INDEX(Persons!$N:$N,MATCH(G13,Persons!$A:$A,0))</f>
        <v>1.7231630295759426</v>
      </c>
      <c r="J13" s="61">
        <f>LARGE(Persons!$O:$O,1+ROW(J13)-ROW(J$12))</f>
        <v>28</v>
      </c>
      <c r="K13" s="61">
        <f t="array" ref="K13">INDEX(Persons!$A:$A,SMALL(IF(Persons!$O:$O=J13,ROW(Persons!$A:$A)-ROW(Persons!$A$1)+1),COUNTIF(J$12:J13,J13)))</f>
        <v>37</v>
      </c>
      <c r="L13" s="61" t="str">
        <f>INDEX(Persons!$B:$B,MATCH(K13,Persons!$A:$A,0))</f>
        <v>Ruben O</v>
      </c>
      <c r="M13" s="82">
        <f>INDEX(Persons!$N:$N,MATCH(K13,Persons!$A:$A,0))</f>
        <v>-2.1108409390421672</v>
      </c>
      <c r="U13">
        <v>5</v>
      </c>
      <c r="V13">
        <f t="shared" si="0"/>
        <v>32</v>
      </c>
      <c r="W13">
        <v>1</v>
      </c>
      <c r="Y13" s="4" t="s">
        <v>136</v>
      </c>
      <c r="Z13" s="45"/>
    </row>
    <row r="14" spans="2:26" x14ac:dyDescent="0.35">
      <c r="B14" s="52">
        <f>SMALL(Persons!$J:$J,1+ROW(B14)-ROW(B$12))</f>
        <v>3</v>
      </c>
      <c r="C14" s="52">
        <f t="array" ref="C14">INDEX(Persons!$A:$A,SMALL(IF(Persons!$J:$J=B14,ROW(Persons!$A:$A)-ROW(Persons!$A$1)+1),COUNTIF(B$12:B14,B14)))</f>
        <v>10</v>
      </c>
      <c r="D14" s="52" t="str">
        <f>INDEX(Persons!$B:$B,MATCH(C14,Persons!$A:$A,0))</f>
        <v>Odd</v>
      </c>
      <c r="E14" s="52">
        <f>INDEX(Persons!$I:$I,MATCH(C14,Persons!$A:$A,0))</f>
        <v>5</v>
      </c>
      <c r="F14" s="65">
        <f>SMALL(Persons!$O:$O,1+ROW(F14)-ROW(F$12))</f>
        <v>3</v>
      </c>
      <c r="G14" s="65">
        <f t="array" ref="G14">INDEX(Persons!$A:$A,SMALL(IF(Persons!$O:$O=F14,ROW(Persons!$A:$A)-ROW(Persons!$A$1)+1),COUNTIF(F$12:F14,F14)))</f>
        <v>20</v>
      </c>
      <c r="H14" s="65" t="str">
        <f>INDEX(Persons!$B:$B,MATCH(G14,Persons!$A:$A,0))</f>
        <v>Kyrre</v>
      </c>
      <c r="I14" s="81">
        <f>INDEX(Persons!$N:$N,MATCH(G14,Persons!$A:$A,0))</f>
        <v>1.0114502437247865</v>
      </c>
      <c r="J14" s="61">
        <f>LARGE(Persons!$O:$O,1+ROW(J14)-ROW(J$12))</f>
        <v>27</v>
      </c>
      <c r="K14" s="61">
        <f t="array" ref="K14">INDEX(Persons!$A:$A,SMALL(IF(Persons!$O:$O=J14,ROW(Persons!$A:$A)-ROW(Persons!$A$1)+1),COUNTIF(J$12:J14,J14)))</f>
        <v>24</v>
      </c>
      <c r="L14" s="61" t="str">
        <f>INDEX(Persons!$B:$B,MATCH(K14,Persons!$A:$A,0))</f>
        <v>Terje</v>
      </c>
      <c r="M14" s="82">
        <f>INDEX(Persons!$N:$N,MATCH(K14,Persons!$A:$A,0))</f>
        <v>-1.9312636632397813</v>
      </c>
      <c r="U14">
        <v>6</v>
      </c>
      <c r="V14">
        <f t="shared" si="0"/>
        <v>64</v>
      </c>
      <c r="W14">
        <v>1</v>
      </c>
      <c r="Y14" s="4" t="s">
        <v>136</v>
      </c>
      <c r="Z14" s="44"/>
    </row>
    <row r="15" spans="2:26" x14ac:dyDescent="0.35">
      <c r="B15" s="52">
        <f>SMALL(Persons!$J:$J,1+ROW(B15)-ROW(B$12))</f>
        <v>3</v>
      </c>
      <c r="C15" s="52">
        <f t="array" ref="C15">INDEX(Persons!$A:$A,SMALL(IF(Persons!$J:$J=B15,ROW(Persons!$A:$A)-ROW(Persons!$A$1)+1),COUNTIF(B$12:B15,B15)))</f>
        <v>1</v>
      </c>
      <c r="D15" s="52" t="str">
        <f>INDEX(Persons!$B:$B,MATCH(C15,Persons!$A:$A,0))</f>
        <v>Anders W</v>
      </c>
      <c r="E15" s="52">
        <f>INDEX(Persons!$I:$I,MATCH(C15,Persons!$A:$A,0))</f>
        <v>5</v>
      </c>
      <c r="F15" s="65">
        <f>SMALL(Persons!$O:$O,1+ROW(F15)-ROW(F$12))</f>
        <v>4</v>
      </c>
      <c r="G15" s="65">
        <f t="array" ref="G15">INDEX(Persons!$A:$A,SMALL(IF(Persons!$O:$O=F15,ROW(Persons!$A:$A)-ROW(Persons!$A$1)+1),COUNTIF(F$12:F15,F15)))</f>
        <v>15</v>
      </c>
      <c r="H15" s="65" t="str">
        <f>INDEX(Persons!$B:$B,MATCH(G15,Persons!$A:$A,0))</f>
        <v>Yngvar</v>
      </c>
      <c r="I15" s="81">
        <f>INDEX(Persons!$N:$N,MATCH(G15,Persons!$A:$A,0))</f>
        <v>0.85704054748154235</v>
      </c>
      <c r="J15" s="61">
        <f>LARGE(Persons!$O:$O,1+ROW(J15)-ROW(J$12))</f>
        <v>26</v>
      </c>
      <c r="K15" s="61">
        <f t="array" ref="K15">INDEX(Persons!$A:$A,SMALL(IF(Persons!$O:$O=J15,ROW(Persons!$A:$A)-ROW(Persons!$A$1)+1),COUNTIF(J$12:J15,J15)))</f>
        <v>33</v>
      </c>
      <c r="L15" s="61" t="str">
        <f>INDEX(Persons!$B:$B,MATCH(K15,Persons!$A:$A,0))</f>
        <v>Anders A</v>
      </c>
      <c r="M15" s="82">
        <f>INDEX(Persons!$N:$N,MATCH(K15,Persons!$A:$A,0))</f>
        <v>-1.7472045754058039</v>
      </c>
      <c r="U15">
        <v>7</v>
      </c>
      <c r="V15">
        <f t="shared" si="0"/>
        <v>128</v>
      </c>
      <c r="W15">
        <v>0</v>
      </c>
      <c r="Y15" s="4" t="s">
        <v>138</v>
      </c>
      <c r="Z15" s="46"/>
    </row>
    <row r="16" spans="2:26" x14ac:dyDescent="0.35">
      <c r="B16" s="52">
        <f>SMALL(Persons!$J:$J,1+ROW(B16)-ROW(B$12))</f>
        <v>3</v>
      </c>
      <c r="C16" s="52">
        <f t="array" ref="C16">INDEX(Persons!$A:$A,SMALL(IF(Persons!$J:$J=B16,ROW(Persons!$A:$A)-ROW(Persons!$A$1)+1),COUNTIF(B$12:B16,B16)))</f>
        <v>15</v>
      </c>
      <c r="D16" s="52" t="str">
        <f>INDEX(Persons!$B:$B,MATCH(C16,Persons!$A:$A,0))</f>
        <v>Yngvar</v>
      </c>
      <c r="E16" s="52">
        <f>INDEX(Persons!$I:$I,MATCH(C16,Persons!$A:$A,0))</f>
        <v>5</v>
      </c>
      <c r="F16" s="65">
        <f>SMALL(Persons!$O:$O,1+ROW(F16)-ROW(F$12))</f>
        <v>5</v>
      </c>
      <c r="G16" s="65">
        <f t="array" ref="G16">INDEX(Persons!$A:$A,SMALL(IF(Persons!$O:$O=F16,ROW(Persons!$A:$A)-ROW(Persons!$A$1)+1),COUNTIF(F$12:F16,F16)))</f>
        <v>32</v>
      </c>
      <c r="H16" s="65" t="str">
        <f>INDEX(Persons!$B:$B,MATCH(G16,Persons!$A:$A,0))</f>
        <v>Martin</v>
      </c>
      <c r="I16" s="81">
        <f>INDEX(Persons!$N:$N,MATCH(G16,Persons!$A:$A,0))</f>
        <v>0.84405182086117048</v>
      </c>
      <c r="J16" s="61">
        <f>LARGE(Persons!$O:$O,1+ROW(J16)-ROW(J$12))</f>
        <v>25</v>
      </c>
      <c r="K16" s="61">
        <f t="array" ref="K16">INDEX(Persons!$A:$A,SMALL(IF(Persons!$O:$O=J16,ROW(Persons!$A:$A)-ROW(Persons!$A$1)+1),COUNTIF(J$12:J16,J16)))</f>
        <v>34</v>
      </c>
      <c r="L16" s="61" t="str">
        <f>INDEX(Persons!$B:$B,MATCH(K16,Persons!$A:$A,0))</f>
        <v>Asgeir</v>
      </c>
      <c r="M16" s="82">
        <f>INDEX(Persons!$N:$N,MATCH(K16,Persons!$A:$A,0))</f>
        <v>-1.4708050849056993</v>
      </c>
      <c r="U16">
        <v>8</v>
      </c>
      <c r="V16">
        <f t="shared" si="0"/>
        <v>256</v>
      </c>
      <c r="W16">
        <v>0</v>
      </c>
      <c r="Y16" s="4" t="s">
        <v>57</v>
      </c>
      <c r="Z16" s="48"/>
    </row>
    <row r="17" spans="2:26" x14ac:dyDescent="0.35">
      <c r="U17">
        <v>9</v>
      </c>
      <c r="V17">
        <f t="shared" si="0"/>
        <v>512</v>
      </c>
      <c r="W17">
        <v>0</v>
      </c>
      <c r="Y17" s="4" t="s">
        <v>57</v>
      </c>
      <c r="Z17" s="47"/>
    </row>
    <row r="18" spans="2:26" x14ac:dyDescent="0.35">
      <c r="B18" s="74" t="s">
        <v>43</v>
      </c>
      <c r="C18" s="74"/>
      <c r="D18" s="74"/>
      <c r="E18" s="74"/>
      <c r="F18" s="66" t="s">
        <v>144</v>
      </c>
      <c r="G18" s="66"/>
      <c r="H18" s="66"/>
      <c r="I18" s="66"/>
      <c r="J18" s="70" t="s">
        <v>145</v>
      </c>
      <c r="K18" s="70"/>
      <c r="L18" s="70"/>
      <c r="M18" s="70"/>
    </row>
    <row r="19" spans="2:26" x14ac:dyDescent="0.35">
      <c r="B19" s="75" t="s">
        <v>42</v>
      </c>
      <c r="C19" s="75" t="s">
        <v>19</v>
      </c>
      <c r="D19" s="75" t="s">
        <v>1</v>
      </c>
      <c r="E19" s="76" t="s">
        <v>20</v>
      </c>
      <c r="F19" s="67" t="s">
        <v>42</v>
      </c>
      <c r="G19" s="67" t="s">
        <v>19</v>
      </c>
      <c r="H19" s="67" t="s">
        <v>1</v>
      </c>
      <c r="I19" s="68" t="s">
        <v>57</v>
      </c>
      <c r="J19" s="71" t="s">
        <v>42</v>
      </c>
      <c r="K19" s="71" t="s">
        <v>19</v>
      </c>
      <c r="L19" s="71" t="s">
        <v>1</v>
      </c>
      <c r="M19" s="72" t="s">
        <v>57</v>
      </c>
    </row>
    <row r="20" spans="2:26" x14ac:dyDescent="0.35">
      <c r="B20" s="77">
        <f>SMALL(Persons!$H:$H,1+ROW(B20)-ROW(B$20))</f>
        <v>1</v>
      </c>
      <c r="C20" s="77">
        <f t="array" ref="C20">INDEX(Persons!$A:$A,SMALL(IF(Persons!$H:$H=B20,ROW(Persons!$A:$A)-ROW(Persons!$A$1)+1),COUNTIF(B$20:B20,B20)))</f>
        <v>8</v>
      </c>
      <c r="D20" s="77" t="str">
        <f>INDEX(Persons!$B:$B,MATCH(C20,Persons!$A:$A,0))</f>
        <v>Marius</v>
      </c>
      <c r="E20" s="83">
        <f>INDEX(Persons!$G:$G,MATCH(C20,Persons!$A:$A,0))</f>
        <v>189</v>
      </c>
      <c r="F20" s="69">
        <f>SMALL(Persons!$U:$U,1+ROW(F20)-ROW(F$20))</f>
        <v>1</v>
      </c>
      <c r="G20" s="69">
        <f t="array" ref="G20">INDEX(Persons!$A:$A,SMALL(IF(Persons!$U:$U=F20,ROW(Persons!$A:$A)-ROW(Persons!$A$1)+1),COUNTIF(F$20:F20,F20)))</f>
        <v>39</v>
      </c>
      <c r="H20" s="69" t="str">
        <f>INDEX(Persons!$B:$B,MATCH(G20,Persons!$A:$A,0))</f>
        <v>Ivar</v>
      </c>
      <c r="I20" s="85">
        <f>INDEX(Persons!$T:$T,MATCH(G20,Persons!$A:$A,0))</f>
        <v>55.370370370370374</v>
      </c>
      <c r="J20" s="73">
        <f>LARGE(Persons!$U:$U,1+ROW(J20)-ROW(J$20))</f>
        <v>29</v>
      </c>
      <c r="K20" s="73">
        <f t="array" ref="K20">INDEX(Persons!$A:$A,SMALL(IF(Persons!$U:$U=J20,ROW(Persons!$A:$A)-ROW(Persons!$A$1)+1),COUNTIF(J$20:J20,J20)))</f>
        <v>42</v>
      </c>
      <c r="L20" s="73" t="str">
        <f>INDEX(Persons!$B:$B,MATCH(K20,Persons!$A:$A,0))</f>
        <v>Magnus W</v>
      </c>
      <c r="M20" s="84">
        <f>INDEX(Persons!$T:$T,MATCH(K20,Persons!$A:$A,0))</f>
        <v>257.57985923118571</v>
      </c>
    </row>
    <row r="21" spans="2:26" x14ac:dyDescent="0.35">
      <c r="B21" s="77">
        <f>SMALL(Persons!$H:$H,1+ROW(B21)-ROW(B$20))</f>
        <v>2</v>
      </c>
      <c r="C21" s="77">
        <f t="array" ref="C21">INDEX(Persons!$A:$A,SMALL(IF(Persons!$H:$H=B21,ROW(Persons!$A:$A)-ROW(Persons!$A$1)+1),COUNTIF(B$20:B21,B21)))</f>
        <v>10</v>
      </c>
      <c r="D21" s="77" t="str">
        <f>INDEX(Persons!$B:$B,MATCH(C21,Persons!$A:$A,0))</f>
        <v>Odd</v>
      </c>
      <c r="E21" s="83">
        <f>INDEX(Persons!$G:$G,MATCH(C21,Persons!$A:$A,0))</f>
        <v>130</v>
      </c>
      <c r="F21" s="69">
        <f>SMALL(Persons!$U:$U,1+ROW(F21)-ROW(F$20))</f>
        <v>2</v>
      </c>
      <c r="G21" s="69">
        <f t="array" ref="G21">INDEX(Persons!$A:$A,SMALL(IF(Persons!$U:$U=F21,ROW(Persons!$A:$A)-ROW(Persons!$A$1)+1),COUNTIF(F$20:F21,F21)))</f>
        <v>35</v>
      </c>
      <c r="H21" s="69" t="str">
        <f>INDEX(Persons!$B:$B,MATCH(G21,Persons!$A:$A,0))</f>
        <v>Mathias</v>
      </c>
      <c r="I21" s="85">
        <f>INDEX(Persons!$T:$T,MATCH(G21,Persons!$A:$A,0))</f>
        <v>195.11506449782598</v>
      </c>
      <c r="J21" s="73">
        <f>LARGE(Persons!$U:$U,1+ROW(J21)-ROW(J$20))</f>
        <v>28</v>
      </c>
      <c r="K21" s="73">
        <f t="array" ref="K21">INDEX(Persons!$A:$A,SMALL(IF(Persons!$U:$U=J21,ROW(Persons!$A:$A)-ROW(Persons!$A$1)+1),COUNTIF(J$20:J21,J21)))</f>
        <v>24</v>
      </c>
      <c r="L21" s="73" t="str">
        <f>INDEX(Persons!$B:$B,MATCH(K21,Persons!$A:$A,0))</f>
        <v>Terje</v>
      </c>
      <c r="M21" s="84">
        <f>INDEX(Persons!$T:$T,MATCH(K21,Persons!$A:$A,0))</f>
        <v>255.86234681156657</v>
      </c>
    </row>
    <row r="22" spans="2:26" x14ac:dyDescent="0.35">
      <c r="B22" s="77">
        <f>SMALL(Persons!$H:$H,1+ROW(B22)-ROW(B$20))</f>
        <v>3</v>
      </c>
      <c r="C22" s="77">
        <f t="array" ref="C22">INDEX(Persons!$A:$A,SMALL(IF(Persons!$H:$H=B22,ROW(Persons!$A:$A)-ROW(Persons!$A$1)+1),COUNTIF(B$20:B22,B22)))</f>
        <v>1</v>
      </c>
      <c r="D22" s="77" t="str">
        <f>INDEX(Persons!$B:$B,MATCH(C22,Persons!$A:$A,0))</f>
        <v>Anders W</v>
      </c>
      <c r="E22" s="83">
        <f>INDEX(Persons!$G:$G,MATCH(C22,Persons!$A:$A,0))</f>
        <v>117</v>
      </c>
      <c r="F22" s="69">
        <f>SMALL(Persons!$U:$U,1+ROW(F22)-ROW(F$20))</f>
        <v>3</v>
      </c>
      <c r="G22" s="69">
        <f t="array" ref="G22">INDEX(Persons!$A:$A,SMALL(IF(Persons!$U:$U=F22,ROW(Persons!$A:$A)-ROW(Persons!$A$1)+1),COUNTIF(F$20:F22,F22)))</f>
        <v>44</v>
      </c>
      <c r="H22" s="69" t="str">
        <f>INDEX(Persons!$B:$B,MATCH(G22,Persons!$A:$A,0))</f>
        <v>Jan</v>
      </c>
      <c r="I22" s="85">
        <f>INDEX(Persons!$T:$T,MATCH(G22,Persons!$A:$A,0))</f>
        <v>199.31465522148477</v>
      </c>
      <c r="J22" s="73">
        <f>LARGE(Persons!$U:$U,1+ROW(J22)-ROW(J$20))</f>
        <v>26</v>
      </c>
      <c r="K22" s="73">
        <f t="array" ref="K22">INDEX(Persons!$A:$A,SMALL(IF(Persons!$U:$U=J22,ROW(Persons!$A:$A)-ROW(Persons!$A$1)+1),COUNTIF(J$20:J22,J22)))</f>
        <v>48</v>
      </c>
      <c r="L22" s="73" t="str">
        <f>INDEX(Persons!$B:$B,MATCH(K22,Persons!$A:$A,0))</f>
        <v>Ivan</v>
      </c>
      <c r="M22" s="84">
        <f>INDEX(Persons!$T:$T,MATCH(K22,Persons!$A:$A,0))</f>
        <v>247.14285714285714</v>
      </c>
    </row>
    <row r="23" spans="2:26" x14ac:dyDescent="0.35">
      <c r="B23" s="77">
        <f>SMALL(Persons!$H:$H,1+ROW(B23)-ROW(B$20))</f>
        <v>4</v>
      </c>
      <c r="C23" s="77">
        <f t="array" ref="C23">INDEX(Persons!$A:$A,SMALL(IF(Persons!$H:$H=B23,ROW(Persons!$A:$A)-ROW(Persons!$A$1)+1),COUNTIF(B$20:B23,B23)))</f>
        <v>37</v>
      </c>
      <c r="D23" s="77" t="str">
        <f>INDEX(Persons!$B:$B,MATCH(C23,Persons!$A:$A,0))</f>
        <v>Ruben O</v>
      </c>
      <c r="E23" s="83">
        <f>INDEX(Persons!$G:$G,MATCH(C23,Persons!$A:$A,0))</f>
        <v>111</v>
      </c>
      <c r="F23" s="69">
        <f>SMALL(Persons!$U:$U,1+ROW(F23)-ROW(F$20))</f>
        <v>4</v>
      </c>
      <c r="G23" s="69">
        <f t="array" ref="G23">INDEX(Persons!$A:$A,SMALL(IF(Persons!$U:$U=F23,ROW(Persons!$A:$A)-ROW(Persons!$A$1)+1),COUNTIF(F$20:F23,F23)))</f>
        <v>36</v>
      </c>
      <c r="H23" s="69" t="str">
        <f>INDEX(Persons!$B:$B,MATCH(G23,Persons!$A:$A,0))</f>
        <v>Ingvild</v>
      </c>
      <c r="I23" s="85">
        <f>INDEX(Persons!$T:$T,MATCH(G23,Persons!$A:$A,0))</f>
        <v>200.42433103306936</v>
      </c>
      <c r="J23" s="73">
        <f>LARGE(Persons!$U:$U,1+ROW(J23)-ROW(J$20))</f>
        <v>26</v>
      </c>
      <c r="K23" s="73">
        <f t="array" ref="K23">INDEX(Persons!$A:$A,SMALL(IF(Persons!$U:$U=J23,ROW(Persons!$A:$A)-ROW(Persons!$A$1)+1),COUNTIF(J$20:J23,J23)))</f>
        <v>49</v>
      </c>
      <c r="L23" s="73" t="str">
        <f>INDEX(Persons!$B:$B,MATCH(K23,Persons!$A:$A,0))</f>
        <v>Stan</v>
      </c>
      <c r="M23" s="84">
        <f>INDEX(Persons!$T:$T,MATCH(K23,Persons!$A:$A,0))</f>
        <v>247.14285714285714</v>
      </c>
    </row>
    <row r="24" spans="2:26" x14ac:dyDescent="0.35">
      <c r="B24" s="77">
        <f>SMALL(Persons!$H:$H,1+ROW(B24)-ROW(B$20))</f>
        <v>5</v>
      </c>
      <c r="C24" s="77">
        <f t="array" ref="C24">INDEX(Persons!$A:$A,SMALL(IF(Persons!$H:$H=B24,ROW(Persons!$A:$A)-ROW(Persons!$A$1)+1),COUNTIF(B$20:B24,B24)))</f>
        <v>33</v>
      </c>
      <c r="D24" s="77" t="str">
        <f>INDEX(Persons!$B:$B,MATCH(C24,Persons!$A:$A,0))</f>
        <v>Anders A</v>
      </c>
      <c r="E24" s="83">
        <f>INDEX(Persons!$G:$G,MATCH(C24,Persons!$A:$A,0))</f>
        <v>102</v>
      </c>
      <c r="F24" s="69">
        <f>SMALL(Persons!$U:$U,1+ROW(F24)-ROW(F$20))</f>
        <v>5</v>
      </c>
      <c r="G24" s="69">
        <f t="array" ref="G24">INDEX(Persons!$A:$A,SMALL(IF(Persons!$U:$U=F24,ROW(Persons!$A:$A)-ROW(Persons!$A$1)+1),COUNTIF(F$20:F24,F24)))</f>
        <v>46</v>
      </c>
      <c r="H24" s="69" t="str">
        <f>INDEX(Persons!$B:$B,MATCH(G24,Persons!$A:$A,0))</f>
        <v>Ciaran</v>
      </c>
      <c r="I24" s="85">
        <f>INDEX(Persons!$T:$T,MATCH(G24,Persons!$A:$A,0))</f>
        <v>200.59732958538299</v>
      </c>
      <c r="J24" s="73">
        <f>LARGE(Persons!$U:$U,1+ROW(J24)-ROW(J$20))</f>
        <v>25</v>
      </c>
      <c r="K24" s="73">
        <f t="array" ref="K24">INDEX(Persons!$A:$A,SMALL(IF(Persons!$U:$U=J24,ROW(Persons!$A:$A)-ROW(Persons!$A$1)+1),COUNTIF(J$20:J24,J24)))</f>
        <v>17</v>
      </c>
      <c r="L24" s="73" t="str">
        <f>INDEX(Persons!$B:$B,MATCH(K24,Persons!$A:$A,0))</f>
        <v>Hanne</v>
      </c>
      <c r="M24" s="84">
        <f>INDEX(Persons!$T:$T,MATCH(K24,Persons!$A:$A,0))</f>
        <v>243.01100562883303</v>
      </c>
    </row>
    <row r="26" spans="2:26" x14ac:dyDescent="0.35">
      <c r="B26" t="s">
        <v>131</v>
      </c>
      <c r="D26" t="s">
        <v>146</v>
      </c>
    </row>
    <row r="27" spans="2:26" x14ac:dyDescent="0.35">
      <c r="B27" t="s">
        <v>22</v>
      </c>
      <c r="D27" t="s">
        <v>147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1"/>
  <sheetViews>
    <sheetView workbookViewId="0">
      <selection activeCell="G3" sqref="G3"/>
    </sheetView>
  </sheetViews>
  <sheetFormatPr defaultColWidth="8.90625" defaultRowHeight="14.5" x14ac:dyDescent="0.35"/>
  <cols>
    <col min="1" max="1" width="8.90625" style="4"/>
    <col min="2" max="2" width="10" style="4" bestFit="1" customWidth="1"/>
    <col min="3" max="4" width="8.90625" style="4"/>
    <col min="7" max="10" width="8.90625" style="4"/>
    <col min="11" max="15" width="8.90625" style="5"/>
    <col min="16" max="19" width="8.90625" style="4"/>
    <col min="23" max="23" width="8.90625" style="4"/>
    <col min="24" max="24" width="8.90625" style="6"/>
    <col min="26" max="16384" width="8.90625" style="4"/>
  </cols>
  <sheetData>
    <row r="1" spans="1:25" ht="16.5" x14ac:dyDescent="0.45">
      <c r="A1" s="19" t="s">
        <v>0</v>
      </c>
      <c r="B1" s="19" t="s">
        <v>1</v>
      </c>
      <c r="C1" s="19" t="s">
        <v>2</v>
      </c>
      <c r="D1" s="33" t="s">
        <v>139</v>
      </c>
      <c r="E1" s="33" t="s">
        <v>50</v>
      </c>
      <c r="F1" s="33" t="s">
        <v>133</v>
      </c>
      <c r="G1" s="34" t="s">
        <v>20</v>
      </c>
      <c r="H1" s="34" t="s">
        <v>130</v>
      </c>
      <c r="I1" s="34" t="s">
        <v>21</v>
      </c>
      <c r="J1" s="34" t="s">
        <v>129</v>
      </c>
      <c r="K1" s="35" t="s">
        <v>22</v>
      </c>
      <c r="L1" s="35" t="s">
        <v>128</v>
      </c>
      <c r="M1" s="36" t="s">
        <v>91</v>
      </c>
      <c r="N1" s="36" t="s">
        <v>136</v>
      </c>
      <c r="O1" s="36" t="s">
        <v>141</v>
      </c>
      <c r="P1" s="34" t="s">
        <v>135</v>
      </c>
      <c r="Q1" s="34" t="s">
        <v>137</v>
      </c>
      <c r="R1" s="34" t="s">
        <v>131</v>
      </c>
      <c r="S1" s="34" t="s">
        <v>132</v>
      </c>
      <c r="T1" s="37" t="s">
        <v>57</v>
      </c>
      <c r="U1" s="34" t="s">
        <v>134</v>
      </c>
      <c r="V1" s="4"/>
      <c r="W1" s="4" t="s">
        <v>59</v>
      </c>
      <c r="X1" s="12">
        <f>INDEX(E:E,MATCH(0,A:A,0))</f>
        <v>100</v>
      </c>
      <c r="Y1" s="4"/>
    </row>
    <row r="2" spans="1:25" x14ac:dyDescent="0.35">
      <c r="A2" s="4">
        <v>21</v>
      </c>
      <c r="B2" s="4" t="s">
        <v>28</v>
      </c>
      <c r="C2" s="4">
        <v>0</v>
      </c>
      <c r="D2" s="4">
        <f t="array" ref="D2">MAX(IF(Sales!B:B=A2,Sales!C:C))</f>
        <v>3</v>
      </c>
      <c r="E2" s="4">
        <f>SUMIF(Sales!B:B,A2,Sales!E:E)</f>
        <v>200</v>
      </c>
      <c r="F2" s="6" t="str">
        <f>IF($C2=0," ",COUNTIFS($C:$C,1,E:E,"&gt;"&amp;E2)+1)</f>
        <v xml:space="preserve"> </v>
      </c>
      <c r="G2" s="4">
        <f>SUMIF(Sales!B:B,A2,Sales!D:D)</f>
        <v>15</v>
      </c>
      <c r="H2" s="4" t="str">
        <f>IF($C2=0," ",COUNTIFS($C:$C,1,G:G,"&gt;"&amp;G2)+1)</f>
        <v xml:space="preserve"> </v>
      </c>
      <c r="I2" s="4">
        <f>SUMIF(Prizes!B:B,A2,Prizes!D:D)</f>
        <v>1</v>
      </c>
      <c r="J2" s="4" t="str">
        <f>IF($C2=0," ",COUNTIFS($C:$C,1,I:I,"&gt;"&amp;I2)+1)</f>
        <v xml:space="preserve"> </v>
      </c>
      <c r="K2" s="5">
        <f>SUMIF(Sales!B:B,A2,Sales!F:F)</f>
        <v>0.63164893617021267</v>
      </c>
      <c r="L2" s="6" t="str">
        <f>IF($C2=0," ",COUNTIFS($C:$C,1,K:K,"&gt;"&amp;K2)+1)</f>
        <v xml:space="preserve"> </v>
      </c>
      <c r="M2" s="5">
        <f>SQRT(SUMIF(Sales!B:B,A2,Sales!G:G))</f>
        <v>0.75810728959235163</v>
      </c>
      <c r="N2" s="5">
        <f>I2-K2</f>
        <v>0.36835106382978733</v>
      </c>
      <c r="O2" s="6" t="str">
        <f>IF($C2=0," ",COUNTIFS($C:$C,1,N:N,"&gt;"&amp;N2)+1)</f>
        <v xml:space="preserve"> </v>
      </c>
      <c r="P2" s="5">
        <f>N2/M2</f>
        <v>0.4858824982778579</v>
      </c>
      <c r="Q2" s="4" t="str">
        <f>IF($C2=0," ",COUNTIFS($C:$C,1,P:P,"&gt;"&amp;P2)+1)</f>
        <v xml:space="preserve"> </v>
      </c>
      <c r="R2" s="17">
        <f>IF(I2&gt;K2,1-_xlfn.NORM.DIST(I2,K2,M2,1),_xlfn.NORM.DIST(I2,K2,M2,1))</f>
        <v>0.31352523895390516</v>
      </c>
      <c r="S2" s="32" t="str">
        <f>IF($C2=0," ",COUNTIFS($C:$C,1,R:R,"&gt;"&amp;R2)+1)</f>
        <v xml:space="preserve"> </v>
      </c>
      <c r="T2" s="6">
        <f>E2/K2</f>
        <v>316.6315789473685</v>
      </c>
      <c r="U2" s="4" t="str">
        <f>IF($C2=0," ",COUNTIFS($C:$C,1,T:T,"&lt;"&amp;T2)+1)</f>
        <v xml:space="preserve"> </v>
      </c>
      <c r="X2" s="4"/>
      <c r="Y2" s="4"/>
    </row>
    <row r="3" spans="1:25" x14ac:dyDescent="0.35">
      <c r="A3" s="4">
        <v>25</v>
      </c>
      <c r="B3" s="4" t="s">
        <v>33</v>
      </c>
      <c r="C3" s="4">
        <v>0</v>
      </c>
      <c r="D3" s="4">
        <f t="array" ref="D3">MAX(IF(Sales!B:B=A3,Sales!C:C))</f>
        <v>3</v>
      </c>
      <c r="E3" s="4">
        <f>SUMIF(Sales!B:B,A3,Sales!E:E)</f>
        <v>20</v>
      </c>
      <c r="F3" s="6" t="str">
        <f>IF($C3=0," ",COUNTIFS($C:$C,1,E:E,"&gt;"&amp;E3)+1)</f>
        <v xml:space="preserve"> </v>
      </c>
      <c r="G3" s="4">
        <f>SUMIF(Sales!B:B,A3,Sales!D:D)</f>
        <v>2</v>
      </c>
      <c r="H3" s="4" t="str">
        <f>IF($C3=0," ",COUNTIFS($C:$C,1,G:G,"&gt;"&amp;G3)+1)</f>
        <v xml:space="preserve"> </v>
      </c>
      <c r="I3" s="4">
        <f>SUMIF(Prizes!B:B,A3,Prizes!D:D)</f>
        <v>0</v>
      </c>
      <c r="J3" s="4" t="str">
        <f>IF($C3=0," ",COUNTIFS($C:$C,1,I:I,"&gt;"&amp;I3)+1)</f>
        <v xml:space="preserve"> </v>
      </c>
      <c r="K3" s="5">
        <f>SUMIF(Sales!B:B,A3,Sales!F:F)</f>
        <v>6.3829787234042548E-2</v>
      </c>
      <c r="L3" s="6" t="str">
        <f>IF($C3=0," ",COUNTIFS($C:$C,1,K:K,"&gt;"&amp;K3)+1)</f>
        <v xml:space="preserve"> </v>
      </c>
      <c r="M3" s="5">
        <f>SQRT(SUMIF(Sales!B:B,A3,Sales!G:G))</f>
        <v>0.24791576048881739</v>
      </c>
      <c r="N3" s="5">
        <f>I3-K3</f>
        <v>-6.3829787234042548E-2</v>
      </c>
      <c r="O3" s="6" t="str">
        <f>IF($C3=0," ",COUNTIFS($C:$C,1,N:N,"&gt;"&amp;N3)+1)</f>
        <v xml:space="preserve"> </v>
      </c>
      <c r="P3" s="5">
        <f>N3/M3</f>
        <v>-0.25746562908380199</v>
      </c>
      <c r="Q3" s="4" t="str">
        <f>IF($C3=0," ",COUNTIFS($C:$C,1,P:P,"&gt;"&amp;P3)+1)</f>
        <v xml:space="preserve"> </v>
      </c>
      <c r="R3" s="17">
        <f>IF(I3&gt;K3,1-_xlfn.NORM.DIST(I3,K3,M3,1),_xlfn.NORM.DIST(I3,K3,M3,1))</f>
        <v>0.39840967257938792</v>
      </c>
      <c r="S3" s="32" t="str">
        <f>IF($C3=0," ",COUNTIFS($C:$C,1,R:R,"&gt;"&amp;R3)+1)</f>
        <v xml:space="preserve"> </v>
      </c>
      <c r="T3" s="6">
        <f>E3/K3</f>
        <v>313.33333333333337</v>
      </c>
      <c r="U3" s="4" t="str">
        <f>IF($C3=0," ",COUNTIFS($C:$C,1,T:T,"&lt;"&amp;T3)+1)</f>
        <v xml:space="preserve"> </v>
      </c>
      <c r="V3" s="4"/>
      <c r="X3" s="4"/>
      <c r="Y3" s="4"/>
    </row>
    <row r="4" spans="1:25" x14ac:dyDescent="0.35">
      <c r="A4" s="4">
        <v>26</v>
      </c>
      <c r="B4" s="4" t="s">
        <v>34</v>
      </c>
      <c r="C4" s="4">
        <v>0</v>
      </c>
      <c r="D4" s="4">
        <f t="array" ref="D4">MAX(IF(Sales!B:B=A4,Sales!C:C))</f>
        <v>3</v>
      </c>
      <c r="E4" s="4">
        <f>SUMIF(Sales!B:B,A4,Sales!E:E)</f>
        <v>100</v>
      </c>
      <c r="F4" s="6" t="str">
        <f>IF($C4=0," ",COUNTIFS($C:$C,1,E:E,"&gt;"&amp;E4)+1)</f>
        <v xml:space="preserve"> </v>
      </c>
      <c r="G4" s="4">
        <f>SUMIF(Sales!B:B,A4,Sales!D:D)</f>
        <v>10</v>
      </c>
      <c r="H4" s="4" t="str">
        <f>IF($C4=0," ",COUNTIFS($C:$C,1,G:G,"&gt;"&amp;G4)+1)</f>
        <v xml:space="preserve"> </v>
      </c>
      <c r="I4" s="4">
        <f>SUMIF(Prizes!B:B,A4,Prizes!D:D)</f>
        <v>0</v>
      </c>
      <c r="J4" s="4" t="str">
        <f>IF($C4=0," ",COUNTIFS($C:$C,1,I:I,"&gt;"&amp;I4)+1)</f>
        <v xml:space="preserve"> </v>
      </c>
      <c r="K4" s="5">
        <f>SUMIF(Sales!B:B,A4,Sales!F:F)</f>
        <v>0.31914893617021273</v>
      </c>
      <c r="L4" s="6" t="str">
        <f>IF($C4=0," ",COUNTIFS($C:$C,1,K:K,"&gt;"&amp;K4)+1)</f>
        <v xml:space="preserve"> </v>
      </c>
      <c r="M4" s="5">
        <f>SQRT(SUMIF(Sales!B:B,A4,Sales!G:G))</f>
        <v>0.54230382522055953</v>
      </c>
      <c r="N4" s="5">
        <f>I4-K4</f>
        <v>-0.31914893617021273</v>
      </c>
      <c r="O4" s="6" t="str">
        <f>IF($C4=0," ",COUNTIFS($C:$C,1,N:N,"&gt;"&amp;N4)+1)</f>
        <v xml:space="preserve"> </v>
      </c>
      <c r="P4" s="5">
        <f>N4/M4</f>
        <v>-0.58850578094375816</v>
      </c>
      <c r="Q4" s="4" t="str">
        <f>IF($C4=0," ",COUNTIFS($C:$C,1,P:P,"&gt;"&amp;P4)+1)</f>
        <v xml:space="preserve"> </v>
      </c>
      <c r="R4" s="17">
        <f>IF(I4&gt;K4,1-_xlfn.NORM.DIST(I4,K4,M4,1),_xlfn.NORM.DIST(I4,K4,M4,1))</f>
        <v>0.27809642736849838</v>
      </c>
      <c r="S4" s="32" t="str">
        <f>IF($C4=0," ",COUNTIFS($C:$C,1,R:R,"&gt;"&amp;R4)+1)</f>
        <v xml:space="preserve"> </v>
      </c>
      <c r="T4" s="6">
        <f>E4/K4</f>
        <v>313.33333333333337</v>
      </c>
      <c r="U4" s="6" t="str">
        <f>IF($C4=0," ",COUNTIFS($C:$C,1,T:T,"&lt;"&amp;T4)+1)</f>
        <v xml:space="preserve"> </v>
      </c>
      <c r="V4" s="4"/>
      <c r="X4" s="4"/>
      <c r="Y4" s="4"/>
    </row>
    <row r="5" spans="1:25" x14ac:dyDescent="0.35">
      <c r="A5" s="4">
        <v>28</v>
      </c>
      <c r="B5" s="4" t="s">
        <v>36</v>
      </c>
      <c r="C5" s="4">
        <v>0</v>
      </c>
      <c r="D5" s="4">
        <f t="array" ref="D5">MAX(IF(Sales!B:B=A5,Sales!C:C))</f>
        <v>10</v>
      </c>
      <c r="E5" s="4">
        <f>SUMIF(Sales!B:B,A5,Sales!E:E)</f>
        <v>240</v>
      </c>
      <c r="F5" s="6" t="str">
        <f>IF($C5=0," ",COUNTIFS($C:$C,1,E:E,"&gt;"&amp;E5)+1)</f>
        <v xml:space="preserve"> </v>
      </c>
      <c r="G5" s="4">
        <f>SUMIF(Sales!B:B,A5,Sales!D:D)</f>
        <v>24</v>
      </c>
      <c r="H5" s="4" t="str">
        <f>IF($C5=0," ",COUNTIFS($C:$C,1,G:G,"&gt;"&amp;G5)+1)</f>
        <v xml:space="preserve"> </v>
      </c>
      <c r="I5" s="4">
        <f>SUMIF(Prizes!B:B,A5,Prizes!D:D)</f>
        <v>0</v>
      </c>
      <c r="J5" s="4" t="str">
        <f>IF($C5=0," ",COUNTIFS($C:$C,1,I:I,"&gt;"&amp;I5)+1)</f>
        <v xml:space="preserve"> </v>
      </c>
      <c r="K5" s="5">
        <f>SUMIF(Sales!B:B,A5,Sales!F:F)</f>
        <v>0.7941427895328429</v>
      </c>
      <c r="L5" s="6" t="str">
        <f>IF($C5=0," ",COUNTIFS($C:$C,1,K:K,"&gt;"&amp;K5)+1)</f>
        <v xml:space="preserve"> </v>
      </c>
      <c r="M5" s="5">
        <f>SQRT(SUMIF(Sales!B:B,A5,Sales!G:G))</f>
        <v>0.86060092285446455</v>
      </c>
      <c r="N5" s="5">
        <f>I5-K5</f>
        <v>-0.7941427895328429</v>
      </c>
      <c r="O5" s="6" t="str">
        <f>IF($C5=0," ",COUNTIFS($C:$C,1,N:N,"&gt;"&amp;N5)+1)</f>
        <v xml:space="preserve"> </v>
      </c>
      <c r="P5" s="5">
        <f>N5/M5</f>
        <v>-0.92277706012539296</v>
      </c>
      <c r="Q5" s="4" t="str">
        <f>IF($C5=0," ",COUNTIFS($C:$C,1,P:P,"&gt;"&amp;P5)+1)</f>
        <v xml:space="preserve"> </v>
      </c>
      <c r="R5" s="17">
        <f>IF(I5&gt;K5,1-_xlfn.NORM.DIST(I5,K5,M5,1),_xlfn.NORM.DIST(I5,K5,M5,1))</f>
        <v>0.17806169891377793</v>
      </c>
      <c r="S5" s="32" t="str">
        <f>IF($C5=0," ",COUNTIFS($C:$C,1,R:R,"&gt;"&amp;R5)+1)</f>
        <v xml:space="preserve"> </v>
      </c>
      <c r="T5" s="6">
        <f>E5/K5</f>
        <v>302.21265389966049</v>
      </c>
      <c r="U5" s="6" t="str">
        <f>IF($C5=0," ",COUNTIFS($C:$C,1,T:T,"&lt;"&amp;T5)+1)</f>
        <v xml:space="preserve"> </v>
      </c>
      <c r="V5" s="4"/>
      <c r="X5" s="4"/>
      <c r="Y5" s="4"/>
    </row>
    <row r="6" spans="1:25" x14ac:dyDescent="0.35">
      <c r="A6" s="4">
        <v>19</v>
      </c>
      <c r="B6" s="4" t="s">
        <v>26</v>
      </c>
      <c r="C6" s="4">
        <v>0</v>
      </c>
      <c r="D6" s="4">
        <f t="array" ref="D6">MAX(IF(Sales!B:B=A6,Sales!C:C))</f>
        <v>12</v>
      </c>
      <c r="E6" s="4">
        <f>SUMIF(Sales!B:B,A6,Sales!E:E)</f>
        <v>1570</v>
      </c>
      <c r="F6" s="6" t="str">
        <f>IF($C6=0," ",COUNTIFS($C:$C,1,E:E,"&gt;"&amp;E6)+1)</f>
        <v xml:space="preserve"> </v>
      </c>
      <c r="G6" s="4">
        <f>SUMIF(Sales!B:B,A6,Sales!D:D)</f>
        <v>147</v>
      </c>
      <c r="H6" s="4" t="str">
        <f>IF($C6=0," ",COUNTIFS($C:$C,1,G:G,"&gt;"&amp;G6)+1)</f>
        <v xml:space="preserve"> </v>
      </c>
      <c r="I6" s="4">
        <f>SUMIF(Prizes!B:B,A6,Prizes!D:D)</f>
        <v>4</v>
      </c>
      <c r="J6" s="4" t="str">
        <f>IF($C6=0," ",COUNTIFS($C:$C,1,I:I,"&gt;"&amp;I6)+1)</f>
        <v xml:space="preserve"> </v>
      </c>
      <c r="K6" s="5">
        <f>SUMIF(Sales!B:B,A6,Sales!F:F)</f>
        <v>5.3872370398255942</v>
      </c>
      <c r="L6" s="6" t="str">
        <f>IF($C6=0," ",COUNTIFS($C:$C,1,K:K,"&gt;"&amp;K6)+1)</f>
        <v xml:space="preserve"> </v>
      </c>
      <c r="M6" s="5">
        <f>SQRT(SUMIF(Sales!B:B,A6,Sales!G:G))</f>
        <v>2.1480307909963821</v>
      </c>
      <c r="N6" s="5">
        <f>I6-K6</f>
        <v>-1.3872370398255942</v>
      </c>
      <c r="O6" s="6" t="str">
        <f>IF($C6=0," ",COUNTIFS($C:$C,1,N:N,"&gt;"&amp;N6)+1)</f>
        <v xml:space="preserve"> </v>
      </c>
      <c r="P6" s="5">
        <f>N6/M6</f>
        <v>-0.6458180421064228</v>
      </c>
      <c r="Q6" s="4" t="str">
        <f>IF($C6=0," ",COUNTIFS($C:$C,1,P:P,"&gt;"&amp;P6)+1)</f>
        <v xml:space="preserve"> </v>
      </c>
      <c r="R6" s="17">
        <f>IF(I6&gt;K6,1-_xlfn.NORM.DIST(I6,K6,M6,1),_xlfn.NORM.DIST(I6,K6,M6,1))</f>
        <v>0.25919860106105741</v>
      </c>
      <c r="S6" s="32" t="str">
        <f>IF($C6=0," ",COUNTIFS($C:$C,1,R:R,"&gt;"&amp;R6)+1)</f>
        <v xml:space="preserve"> </v>
      </c>
      <c r="T6" s="6">
        <f>E6/K6</f>
        <v>291.4295377006145</v>
      </c>
      <c r="U6" s="6" t="str">
        <f>IF($C6=0," ",COUNTIFS($C:$C,1,T:T,"&lt;"&amp;T6)+1)</f>
        <v xml:space="preserve"> </v>
      </c>
      <c r="V6" s="4"/>
      <c r="X6" s="4"/>
      <c r="Y6" s="4"/>
    </row>
    <row r="7" spans="1:25" x14ac:dyDescent="0.35">
      <c r="A7" s="4">
        <v>23</v>
      </c>
      <c r="B7" s="4" t="s">
        <v>30</v>
      </c>
      <c r="C7" s="4">
        <v>0</v>
      </c>
      <c r="D7" s="4">
        <f t="array" ref="D7">MAX(IF(Sales!B:B=A7,Sales!C:C))</f>
        <v>12</v>
      </c>
      <c r="E7" s="4">
        <f>SUMIF(Sales!B:B,A7,Sales!E:E)</f>
        <v>800</v>
      </c>
      <c r="F7" s="6" t="str">
        <f>IF($C7=0," ",COUNTIFS($C:$C,1,E:E,"&gt;"&amp;E7)+1)</f>
        <v xml:space="preserve"> </v>
      </c>
      <c r="G7" s="4">
        <f>SUMIF(Sales!B:B,A7,Sales!D:D)</f>
        <v>75</v>
      </c>
      <c r="H7" s="4" t="str">
        <f>IF($C7=0," ",COUNTIFS($C:$C,1,G:G,"&gt;"&amp;G7)+1)</f>
        <v xml:space="preserve"> </v>
      </c>
      <c r="I7" s="4">
        <f>SUMIF(Prizes!B:B,A7,Prizes!D:D)</f>
        <v>4</v>
      </c>
      <c r="J7" s="4" t="str">
        <f>IF($C7=0," ",COUNTIFS($C:$C,1,I:I,"&gt;"&amp;I7)+1)</f>
        <v xml:space="preserve"> </v>
      </c>
      <c r="K7" s="5">
        <f>SUMIF(Sales!B:B,A7,Sales!F:F)</f>
        <v>2.9991021425331783</v>
      </c>
      <c r="L7" s="6" t="str">
        <f>IF($C7=0," ",COUNTIFS($C:$C,1,K:K,"&gt;"&amp;K7)+1)</f>
        <v xml:space="preserve"> </v>
      </c>
      <c r="M7" s="5">
        <f>SQRT(SUMIF(Sales!B:B,A7,Sales!G:G))</f>
        <v>1.640793642686911</v>
      </c>
      <c r="N7" s="5">
        <f>I7-K7</f>
        <v>1.0008978574668217</v>
      </c>
      <c r="O7" s="6" t="str">
        <f>IF($C7=0," ",COUNTIFS($C:$C,1,N:N,"&gt;"&amp;N7)+1)</f>
        <v xml:space="preserve"> </v>
      </c>
      <c r="P7" s="5">
        <f>N7/M7</f>
        <v>0.61000837120979057</v>
      </c>
      <c r="Q7" s="4" t="str">
        <f>IF($C7=0," ",COUNTIFS($C:$C,1,P:P,"&gt;"&amp;P7)+1)</f>
        <v xml:space="preserve"> </v>
      </c>
      <c r="R7" s="17">
        <f>IF(I7&gt;K7,1-_xlfn.NORM.DIST(I7,K7,M7,1),_xlfn.NORM.DIST(I7,K7,M7,1))</f>
        <v>0.27092813112251135</v>
      </c>
      <c r="S7" s="32" t="str">
        <f>IF($C7=0," ",COUNTIFS($C:$C,1,R:R,"&gt;"&amp;R7)+1)</f>
        <v xml:space="preserve"> </v>
      </c>
      <c r="T7" s="6">
        <f>E7/K7</f>
        <v>266.74650011229147</v>
      </c>
      <c r="U7" s="4" t="str">
        <f>IF($C7=0," ",COUNTIFS($C:$C,1,T:T,"&lt;"&amp;T7)+1)</f>
        <v xml:space="preserve"> </v>
      </c>
      <c r="V7" s="4"/>
      <c r="X7" s="4"/>
      <c r="Y7" s="4"/>
    </row>
    <row r="8" spans="1:25" x14ac:dyDescent="0.35">
      <c r="A8" s="4">
        <v>7</v>
      </c>
      <c r="B8" s="4" t="s">
        <v>8</v>
      </c>
      <c r="C8" s="4">
        <v>0</v>
      </c>
      <c r="D8" s="4">
        <f t="array" ref="D8">MAX(IF(Sales!B:B=A8,Sales!C:C))</f>
        <v>14</v>
      </c>
      <c r="E8" s="4">
        <f>SUMIF(Sales!B:B,A8,Sales!E:E)</f>
        <v>800</v>
      </c>
      <c r="F8" s="6" t="str">
        <f>IF($C8=0," ",COUNTIFS($C:$C,1,E:E,"&gt;"&amp;E8)+1)</f>
        <v xml:space="preserve"> </v>
      </c>
      <c r="G8" s="4">
        <f>SUMIF(Sales!B:B,A8,Sales!D:D)</f>
        <v>75</v>
      </c>
      <c r="H8" s="4" t="str">
        <f>IF($C8=0," ",COUNTIFS($C:$C,1,G:G,"&gt;"&amp;G8)+1)</f>
        <v xml:space="preserve"> </v>
      </c>
      <c r="I8" s="4">
        <f>SUMIF(Prizes!B:B,A8,Prizes!D:D)</f>
        <v>4</v>
      </c>
      <c r="J8" s="4" t="str">
        <f>IF($C8=0," ",COUNTIFS($C:$C,1,I:I,"&gt;"&amp;I8)+1)</f>
        <v xml:space="preserve"> </v>
      </c>
      <c r="K8" s="5">
        <f>SUMIF(Sales!B:B,A8,Sales!F:F)</f>
        <v>3.0883035773743104</v>
      </c>
      <c r="L8" s="6" t="str">
        <f>IF($C8=0," ",COUNTIFS($C:$C,1,K:K,"&gt;"&amp;K8)+1)</f>
        <v xml:space="preserve"> </v>
      </c>
      <c r="M8" s="5">
        <f>SQRT(SUMIF(Sales!B:B,A8,Sales!G:G))</f>
        <v>1.645289709282524</v>
      </c>
      <c r="N8" s="5">
        <f>I8-K8</f>
        <v>0.91169642262568962</v>
      </c>
      <c r="O8" s="6" t="str">
        <f>IF($C8=0," ",COUNTIFS($C:$C,1,N:N,"&gt;"&amp;N8)+1)</f>
        <v xml:space="preserve"> </v>
      </c>
      <c r="P8" s="5">
        <f>N8/M8</f>
        <v>0.55412515952783847</v>
      </c>
      <c r="Q8" s="4" t="str">
        <f>IF($C8=0," ",COUNTIFS($C:$C,1,P:P,"&gt;"&amp;P8)+1)</f>
        <v xml:space="preserve"> </v>
      </c>
      <c r="R8" s="17">
        <f>IF(I8&gt;K8,1-_xlfn.NORM.DIST(I8,K8,M8,1),_xlfn.NORM.DIST(I8,K8,M8,1))</f>
        <v>0.28974659632997213</v>
      </c>
      <c r="S8" s="32" t="str">
        <f>IF($C8=0," ",COUNTIFS($C:$C,1,R:R,"&gt;"&amp;R8)+1)</f>
        <v xml:space="preserve"> </v>
      </c>
      <c r="T8" s="6">
        <f>E8/K8</f>
        <v>259.04189143224175</v>
      </c>
      <c r="U8" s="4" t="str">
        <f>IF($C8=0," ",COUNTIFS($C:$C,1,T:T,"&lt;"&amp;T8)+1)</f>
        <v xml:space="preserve"> </v>
      </c>
      <c r="V8" s="4"/>
      <c r="X8" s="4"/>
      <c r="Y8" s="4"/>
    </row>
    <row r="9" spans="1:25" x14ac:dyDescent="0.35">
      <c r="A9" s="4">
        <v>42</v>
      </c>
      <c r="B9" s="4" t="s">
        <v>81</v>
      </c>
      <c r="C9" s="4">
        <v>1</v>
      </c>
      <c r="D9" s="4">
        <f t="array" ref="D9">MAX(IF(Sales!B:B=A9,Sales!C:C))</f>
        <v>17</v>
      </c>
      <c r="E9" s="8">
        <f>SUMIF(Sales!B:B,A9,Sales!E:E)</f>
        <v>100</v>
      </c>
      <c r="F9" s="30">
        <f>IF($C9=0," ",COUNTIFS($C:$C,1,E:E,"&gt;"&amp;E9)+1)</f>
        <v>25</v>
      </c>
      <c r="G9" s="8">
        <f>SUMIF(Sales!B:B,A9,Sales!D:D)</f>
        <v>10</v>
      </c>
      <c r="H9" s="8">
        <f>IF($C9=0," ",COUNTIFS($C:$C,1,G:G,"&gt;"&amp;G9)+1)</f>
        <v>25</v>
      </c>
      <c r="I9" s="8">
        <f>SUMIF(Prizes!B:B,A9,Prizes!D:D)</f>
        <v>1</v>
      </c>
      <c r="J9" s="8">
        <f>IF($C9=0," ",COUNTIFS($C:$C,1,I:I,"&gt;"&amp;I9)+1)</f>
        <v>16</v>
      </c>
      <c r="K9" s="9">
        <f>SUMIF(Sales!B:B,A9,Sales!F:F)</f>
        <v>0.38822911192853388</v>
      </c>
      <c r="L9" s="30">
        <f>IF($C9=0," ",COUNTIFS($C:$C,1,K:K,"&gt;"&amp;K9)+1)</f>
        <v>26</v>
      </c>
      <c r="M9" s="9">
        <f>SQRT(SUMIF(Sales!B:B,A9,Sales!G:G))</f>
        <v>0.60314241066188246</v>
      </c>
      <c r="N9" s="9">
        <f>I9-K9</f>
        <v>0.61177088807146607</v>
      </c>
      <c r="O9" s="30">
        <f>IF($C9=0," ",COUNTIFS($C:$C,1,N:N,"&gt;"&amp;N9)+1)</f>
        <v>7</v>
      </c>
      <c r="P9" s="5">
        <f>N9/M9</f>
        <v>1.0143058708143484</v>
      </c>
      <c r="Q9" s="10">
        <f>IF($C9=0," ",COUNTIFS($C:$C,1,P:P,"&gt;"&amp;P9)+1)</f>
        <v>4</v>
      </c>
      <c r="R9" s="17">
        <f>IF(I9&gt;K9,1-_xlfn.NORM.DIST(I9,K9,M9,1),_xlfn.NORM.DIST(I9,K9,M9,1))</f>
        <v>0.15521841177847029</v>
      </c>
      <c r="S9" s="32">
        <f>IF($C9=0," ",COUNTIFS($C:$C,1,R:R,"&gt;"&amp;R9)+1)</f>
        <v>24</v>
      </c>
      <c r="T9" s="6">
        <f>E9/K9</f>
        <v>257.57985923118571</v>
      </c>
      <c r="U9" s="4">
        <f>IF($C9=0," ",COUNTIFS($C:$C,1,T:T,"&lt;"&amp;T9)+1)</f>
        <v>29</v>
      </c>
      <c r="V9" s="4"/>
      <c r="X9" s="4"/>
      <c r="Y9" s="4"/>
    </row>
    <row r="10" spans="1:25" x14ac:dyDescent="0.35">
      <c r="A10" s="4">
        <v>24</v>
      </c>
      <c r="B10" s="4" t="s">
        <v>31</v>
      </c>
      <c r="C10" s="4">
        <v>1</v>
      </c>
      <c r="D10" s="4">
        <f t="array" ref="D10">MAX(IF(Sales!B:B=A10,Sales!C:C))</f>
        <v>17</v>
      </c>
      <c r="E10" s="4">
        <f>SUMIF(Sales!B:B,A10,Sales!E:E)</f>
        <v>750</v>
      </c>
      <c r="F10" s="6">
        <f>IF($C10=0," ",COUNTIFS($C:$C,1,E:E,"&gt;"&amp;E10)+1)</f>
        <v>8</v>
      </c>
      <c r="G10" s="4">
        <f>SUMIF(Sales!B:B,A10,Sales!D:D)</f>
        <v>71</v>
      </c>
      <c r="H10" s="4">
        <f>IF($C10=0," ",COUNTIFS($C:$C,1,G:G,"&gt;"&amp;G10)+1)</f>
        <v>8</v>
      </c>
      <c r="I10" s="4">
        <f>SUMIF(Prizes!B:B,A10,Prizes!D:D)</f>
        <v>1</v>
      </c>
      <c r="J10" s="4">
        <f>IF($C10=0," ",COUNTIFS($C:$C,1,I:I,"&gt;"&amp;I10)+1)</f>
        <v>16</v>
      </c>
      <c r="K10" s="5">
        <f>SUMIF(Sales!B:B,A10,Sales!F:F)</f>
        <v>2.9312636632397813</v>
      </c>
      <c r="L10" s="6">
        <f>IF($C10=0," ",COUNTIFS($C:$C,1,K:K,"&gt;"&amp;K10)+1)</f>
        <v>9</v>
      </c>
      <c r="M10" s="5">
        <f>SQRT(SUMIF(Sales!B:B,A10,Sales!G:G))</f>
        <v>1.6215999243878039</v>
      </c>
      <c r="N10" s="5">
        <f>I10-K10</f>
        <v>-1.9312636632397813</v>
      </c>
      <c r="O10" s="6">
        <f>IF($C10=0," ",COUNTIFS($C:$C,1,N:N,"&gt;"&amp;N10)+1)</f>
        <v>27</v>
      </c>
      <c r="P10" s="5">
        <f>N10/M10</f>
        <v>-1.1909618606876067</v>
      </c>
      <c r="Q10" s="4">
        <f>IF($C10=0," ",COUNTIFS($C:$C,1,P:P,"&gt;"&amp;P10)+1)</f>
        <v>28</v>
      </c>
      <c r="R10" s="17">
        <f>IF(I10&gt;K10,1-_xlfn.NORM.DIST(I10,K10,M10,1),_xlfn.NORM.DIST(I10,K10,M10,1))</f>
        <v>0.1168342788493502</v>
      </c>
      <c r="S10" s="32">
        <f>IF($C10=0," ",COUNTIFS($C:$C,1,R:R,"&gt;"&amp;R10)+1)</f>
        <v>26</v>
      </c>
      <c r="T10" s="6">
        <f>E10/K10</f>
        <v>255.86234681156657</v>
      </c>
      <c r="U10" s="4">
        <f>IF($C10=0," ",COUNTIFS($C:$C,1,T:T,"&lt;"&amp;T10)+1)</f>
        <v>28</v>
      </c>
      <c r="V10" s="4"/>
      <c r="X10" s="4"/>
      <c r="Y10" s="4"/>
    </row>
    <row r="11" spans="1:25" x14ac:dyDescent="0.35">
      <c r="A11" s="4">
        <v>48</v>
      </c>
      <c r="B11" s="4" t="s">
        <v>122</v>
      </c>
      <c r="C11" s="4">
        <v>1</v>
      </c>
      <c r="D11" s="4">
        <f t="array" ref="D11">MAX(IF(Sales!B:B=A11,Sales!C:C))</f>
        <v>17</v>
      </c>
      <c r="E11" s="28">
        <f>SUMIF(Sales!B:B,A11,Sales!E:E)</f>
        <v>40</v>
      </c>
      <c r="F11" s="31">
        <f>IF($C11=0," ",COUNTIFS($C:$C,1,E:E,"&gt;"&amp;E11)+1)</f>
        <v>27</v>
      </c>
      <c r="G11" s="28">
        <f>SUMIF(Sales!B:B,A11,Sales!D:D)</f>
        <v>4</v>
      </c>
      <c r="H11" s="28">
        <f>IF($C11=0," ",COUNTIFS($C:$C,1,G:G,"&gt;"&amp;G11)+1)</f>
        <v>27</v>
      </c>
      <c r="I11" s="28">
        <f>SUMIF(Prizes!B:B,A11,Prizes!D:D)</f>
        <v>1</v>
      </c>
      <c r="J11" s="28">
        <f>IF($C11=0," ",COUNTIFS($C:$C,1,I:I,"&gt;"&amp;I11)+1)</f>
        <v>16</v>
      </c>
      <c r="K11" s="29">
        <f>SUMIF(Sales!B:B,A11,Sales!F:F)</f>
        <v>0.16184971098265896</v>
      </c>
      <c r="L11" s="31">
        <f>IF($C11=0," ",COUNTIFS($C:$C,1,K:K,"&gt;"&amp;K11)+1)</f>
        <v>28</v>
      </c>
      <c r="M11" s="29">
        <f>SQRT(SUMIF(Sales!B:B,A11,Sales!G:G))</f>
        <v>0.39063044234821531</v>
      </c>
      <c r="N11" s="29">
        <f>I11-K11</f>
        <v>0.83815028901734101</v>
      </c>
      <c r="O11" s="31">
        <f>IF($C11=0," ",COUNTIFS($C:$C,1,N:N,"&gt;"&amp;N11)+1)</f>
        <v>6</v>
      </c>
      <c r="P11" s="5">
        <f>N11/M11</f>
        <v>2.1456348460169372</v>
      </c>
      <c r="Q11" s="10">
        <f>IF($C11=0," ",COUNTIFS($C:$C,1,P:P,"&gt;"&amp;P11)+1)</f>
        <v>1</v>
      </c>
      <c r="R11" s="17">
        <f>IF(I11&gt;K11,1-_xlfn.NORM.DIST(I11,K11,M11,1),_xlfn.NORM.DIST(I11,K11,M11,1))</f>
        <v>1.5951061530541488E-2</v>
      </c>
      <c r="S11" s="32">
        <f>IF($C11=0," ",COUNTIFS($C:$C,1,R:R,"&gt;"&amp;R11)+1)</f>
        <v>29</v>
      </c>
      <c r="T11" s="6">
        <f>E11/K11</f>
        <v>247.14285714285714</v>
      </c>
      <c r="U11" s="10">
        <f>IF($C11=0," ",COUNTIFS($C:$C,1,T:T,"&lt;"&amp;T11)+1)</f>
        <v>26</v>
      </c>
      <c r="V11" s="4"/>
      <c r="X11" s="4"/>
      <c r="Y11" s="4"/>
    </row>
    <row r="12" spans="1:25" x14ac:dyDescent="0.35">
      <c r="A12" s="4">
        <v>49</v>
      </c>
      <c r="B12" s="4" t="s">
        <v>126</v>
      </c>
      <c r="C12" s="4">
        <v>1</v>
      </c>
      <c r="D12" s="4">
        <f t="array" ref="D12">MAX(IF(Sales!B:B=A12,Sales!C:C))</f>
        <v>17</v>
      </c>
      <c r="E12" s="28">
        <f>SUMIF(Sales!B:B,A12,Sales!E:E)</f>
        <v>10</v>
      </c>
      <c r="F12" s="31">
        <f>IF($C12=0," ",COUNTIFS($C:$C,1,E:E,"&gt;"&amp;E12)+1)</f>
        <v>29</v>
      </c>
      <c r="G12" s="28">
        <f>SUMIF(Sales!B:B,A12,Sales!D:D)</f>
        <v>1</v>
      </c>
      <c r="H12" s="28">
        <f>IF($C12=0," ",COUNTIFS($C:$C,1,G:G,"&gt;"&amp;G12)+1)</f>
        <v>29</v>
      </c>
      <c r="I12" s="28">
        <f>SUMIF(Prizes!B:B,A12,Prizes!D:D)</f>
        <v>0</v>
      </c>
      <c r="J12" s="28">
        <f>IF($C12=0," ",COUNTIFS($C:$C,1,I:I,"&gt;"&amp;I12)+1)</f>
        <v>23</v>
      </c>
      <c r="K12" s="29">
        <f>SUMIF(Sales!B:B,A12,Sales!F:F)</f>
        <v>4.046242774566474E-2</v>
      </c>
      <c r="L12" s="31">
        <f>IF($C12=0," ",COUNTIFS($C:$C,1,K:K,"&gt;"&amp;K12)+1)</f>
        <v>29</v>
      </c>
      <c r="M12" s="29">
        <f>SQRT(SUMIF(Sales!B:B,A12,Sales!G:G))</f>
        <v>0.19704116241687067</v>
      </c>
      <c r="N12" s="29">
        <f>I12-K12</f>
        <v>-4.046242774566474E-2</v>
      </c>
      <c r="O12" s="31">
        <f>IF($C12=0," ",COUNTIFS($C:$C,1,N:N,"&gt;"&amp;N12)+1)</f>
        <v>13</v>
      </c>
      <c r="P12" s="5">
        <f>N12/M12</f>
        <v>-0.20535012709710013</v>
      </c>
      <c r="Q12" s="10">
        <f>IF($C12=0," ",COUNTIFS($C:$C,1,P:P,"&gt;"&amp;P12)+1)</f>
        <v>13</v>
      </c>
      <c r="R12" s="17">
        <f>IF(I12&gt;K12,1-_xlfn.NORM.DIST(I12,K12,M12,1),_xlfn.NORM.DIST(I12,K12,M12,1))</f>
        <v>0.41864929133648948</v>
      </c>
      <c r="S12" s="32">
        <f>IF($C12=0," ",COUNTIFS($C:$C,1,R:R,"&gt;"&amp;R12)+1)</f>
        <v>3</v>
      </c>
      <c r="T12" s="6">
        <f>E12/K12</f>
        <v>247.14285714285714</v>
      </c>
      <c r="U12" s="10">
        <f>IF($C12=0," ",COUNTIFS($C:$C,1,T:T,"&lt;"&amp;T12)+1)</f>
        <v>26</v>
      </c>
      <c r="V12" s="4"/>
      <c r="X12" s="4"/>
      <c r="Y12" s="4"/>
    </row>
    <row r="13" spans="1:25" x14ac:dyDescent="0.35">
      <c r="A13" s="4">
        <v>5</v>
      </c>
      <c r="B13" s="4" t="s">
        <v>6</v>
      </c>
      <c r="C13" s="4">
        <v>0</v>
      </c>
      <c r="D13" s="4">
        <f t="array" ref="D13">MAX(IF(Sales!B:B=A13,Sales!C:C))</f>
        <v>16</v>
      </c>
      <c r="E13" s="4">
        <f>SUMIF(Sales!B:B,A13,Sales!E:E)</f>
        <v>790</v>
      </c>
      <c r="F13" s="6" t="str">
        <f>IF($C13=0," ",COUNTIFS($C:$C,1,E:E,"&gt;"&amp;E13)+1)</f>
        <v xml:space="preserve"> </v>
      </c>
      <c r="G13" s="4">
        <f>SUMIF(Sales!B:B,A13,Sales!D:D)</f>
        <v>69</v>
      </c>
      <c r="H13" s="4" t="str">
        <f>IF($C13=0," ",COUNTIFS($C:$C,1,G:G,"&gt;"&amp;G13)+1)</f>
        <v xml:space="preserve"> </v>
      </c>
      <c r="I13" s="4">
        <f>SUMIF(Prizes!B:B,A13,Prizes!D:D)</f>
        <v>5</v>
      </c>
      <c r="J13" s="4" t="str">
        <f>IF($C13=0," ",COUNTIFS($C:$C,1,I:I,"&gt;"&amp;I13)+1)</f>
        <v xml:space="preserve"> </v>
      </c>
      <c r="K13" s="5">
        <f>SUMIF(Sales!B:B,A13,Sales!F:F)</f>
        <v>3.2250613603274099</v>
      </c>
      <c r="L13" s="6" t="str">
        <f>IF($C13=0," ",COUNTIFS($C:$C,1,K:K,"&gt;"&amp;K13)+1)</f>
        <v xml:space="preserve"> </v>
      </c>
      <c r="M13" s="5">
        <f>SQRT(SUMIF(Sales!B:B,A13,Sales!G:G))</f>
        <v>1.6993617556865768</v>
      </c>
      <c r="N13" s="5">
        <f>I13-K13</f>
        <v>1.7749386396725901</v>
      </c>
      <c r="O13" s="6" t="str">
        <f>IF($C13=0," ",COUNTIFS($C:$C,1,N:N,"&gt;"&amp;N13)+1)</f>
        <v xml:space="preserve"> </v>
      </c>
      <c r="P13" s="5">
        <f>N13/M13</f>
        <v>1.0444736876848677</v>
      </c>
      <c r="Q13" s="4" t="str">
        <f>IF($C13=0," ",COUNTIFS($C:$C,1,P:P,"&gt;"&amp;P13)+1)</f>
        <v xml:space="preserve"> </v>
      </c>
      <c r="R13" s="17">
        <f>IF(I13&gt;K13,1-_xlfn.NORM.DIST(I13,K13,M13,1),_xlfn.NORM.DIST(I13,K13,M13,1))</f>
        <v>0.1481331433566947</v>
      </c>
      <c r="S13" s="32" t="str">
        <f>IF($C13=0," ",COUNTIFS($C:$C,1,R:R,"&gt;"&amp;R13)+1)</f>
        <v xml:space="preserve"> </v>
      </c>
      <c r="T13" s="6">
        <f>E13/K13</f>
        <v>244.95657965397558</v>
      </c>
      <c r="U13" s="4" t="str">
        <f>IF($C13=0," ",COUNTIFS($C:$C,1,T:T,"&lt;"&amp;T13)+1)</f>
        <v xml:space="preserve"> </v>
      </c>
      <c r="V13" s="4"/>
      <c r="X13" s="4"/>
      <c r="Y13" s="4"/>
    </row>
    <row r="14" spans="1:25" x14ac:dyDescent="0.3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>IF($C14=0," ",COUNTIFS($C:$C,1,E:E,"&gt;"&amp;E14)+1)</f>
        <v xml:space="preserve"> </v>
      </c>
      <c r="G14" s="4">
        <f>SUMIF(Sales!B:B,A14,Sales!D:D)</f>
        <v>48</v>
      </c>
      <c r="H14" s="4" t="str">
        <f>IF($C14=0," ",COUNTIFS($C:$C,1,G:G,"&gt;"&amp;G14)+1)</f>
        <v xml:space="preserve"> </v>
      </c>
      <c r="I14" s="4">
        <f>SUMIF(Prizes!B:B,A14,Prizes!D:D)</f>
        <v>3</v>
      </c>
      <c r="J14" s="4" t="str">
        <f>IF($C14=0," ",COUNTIFS($C:$C,1,I:I,"&gt;"&amp;I14)+1)</f>
        <v xml:space="preserve"> </v>
      </c>
      <c r="K14" s="5">
        <f>SUMIF(Sales!B:B,A14,Sales!F:F)</f>
        <v>2.1645166106756251</v>
      </c>
      <c r="L14" s="6" t="str">
        <f>IF($C14=0," ",COUNTIFS($C:$C,1,K:K,"&gt;"&amp;K14)+1)</f>
        <v xml:space="preserve"> </v>
      </c>
      <c r="M14" s="5">
        <f>SQRT(SUMIF(Sales!B:B,A14,Sales!G:G))</f>
        <v>1.3966272062273601</v>
      </c>
      <c r="N14" s="5">
        <f>I14-K14</f>
        <v>0.83548338932437494</v>
      </c>
      <c r="O14" s="6" t="str">
        <f>IF($C14=0," ",COUNTIFS($C:$C,1,N:N,"&gt;"&amp;N14)+1)</f>
        <v xml:space="preserve"> </v>
      </c>
      <c r="P14" s="5">
        <f>N14/M14</f>
        <v>0.59821503232865181</v>
      </c>
      <c r="Q14" s="4" t="str">
        <f>IF($C14=0," ",COUNTIFS($C:$C,1,P:P,"&gt;"&amp;P14)+1)</f>
        <v xml:space="preserve"> </v>
      </c>
      <c r="R14" s="17">
        <f>IF(I14&gt;K14,1-_xlfn.NORM.DIST(I14,K14,M14,1),_xlfn.NORM.DIST(I14,K14,M14,1))</f>
        <v>0.27484823119819857</v>
      </c>
      <c r="S14" s="32" t="str">
        <f>IF($C14=0," ",COUNTIFS($C:$C,1,R:R,"&gt;"&amp;R14)+1)</f>
        <v xml:space="preserve"> </v>
      </c>
      <c r="T14" s="6">
        <f>E14/K14</f>
        <v>244.85836578291148</v>
      </c>
      <c r="U14" s="4" t="str">
        <f>IF($C14=0," ",COUNTIFS($C:$C,1,T:T,"&lt;"&amp;T14)+1)</f>
        <v xml:space="preserve"> </v>
      </c>
      <c r="V14" s="4"/>
      <c r="X14" s="4"/>
      <c r="Y14" s="4"/>
    </row>
    <row r="15" spans="1:25" x14ac:dyDescent="0.35">
      <c r="A15" s="4">
        <v>4</v>
      </c>
      <c r="B15" s="4" t="s">
        <v>5</v>
      </c>
      <c r="C15" s="4">
        <v>0</v>
      </c>
      <c r="D15" s="4">
        <f t="array" ref="D15">MAX(IF(Sales!B:B=A15,Sales!C:C))</f>
        <v>13</v>
      </c>
      <c r="E15" s="4">
        <f>SUMIF(Sales!B:B,A15,Sales!E:E)</f>
        <v>580</v>
      </c>
      <c r="F15" s="6" t="str">
        <f>IF($C15=0," ",COUNTIFS($C:$C,1,E:E,"&gt;"&amp;E15)+1)</f>
        <v xml:space="preserve"> </v>
      </c>
      <c r="G15" s="4">
        <f>SUMIF(Sales!B:B,A15,Sales!D:D)</f>
        <v>55</v>
      </c>
      <c r="H15" s="4" t="str">
        <f>IF($C15=0," ",COUNTIFS($C:$C,1,G:G,"&gt;"&amp;G15)+1)</f>
        <v xml:space="preserve"> </v>
      </c>
      <c r="I15" s="4">
        <f>SUMIF(Prizes!B:B,A15,Prizes!D:D)</f>
        <v>3</v>
      </c>
      <c r="J15" s="4" t="str">
        <f>IF($C15=0," ",COUNTIFS($C:$C,1,I:I,"&gt;"&amp;I15)+1)</f>
        <v xml:space="preserve"> </v>
      </c>
      <c r="K15" s="5">
        <f>SUMIF(Sales!B:B,A15,Sales!F:F)</f>
        <v>2.3740803347134869</v>
      </c>
      <c r="L15" s="6" t="str">
        <f>IF($C15=0," ",COUNTIFS($C:$C,1,K:K,"&gt;"&amp;K15)+1)</f>
        <v xml:space="preserve"> </v>
      </c>
      <c r="M15" s="5">
        <f>SQRT(SUMIF(Sales!B:B,A15,Sales!G:G))</f>
        <v>1.4608189121183603</v>
      </c>
      <c r="N15" s="5">
        <f>I15-K15</f>
        <v>0.6259196652865131</v>
      </c>
      <c r="O15" s="6" t="str">
        <f>IF($C15=0," ",COUNTIFS($C:$C,1,N:N,"&gt;"&amp;N15)+1)</f>
        <v xml:space="preserve"> </v>
      </c>
      <c r="P15" s="5">
        <f>N15/M15</f>
        <v>0.42847177024759042</v>
      </c>
      <c r="Q15" s="4" t="str">
        <f>IF($C15=0," ",COUNTIFS($C:$C,1,P:P,"&gt;"&amp;P15)+1)</f>
        <v xml:space="preserve"> </v>
      </c>
      <c r="R15" s="17">
        <f>IF(I15&gt;K15,1-_xlfn.NORM.DIST(I15,K15,M15,1),_xlfn.NORM.DIST(I15,K15,M15,1))</f>
        <v>0.33415384099578926</v>
      </c>
      <c r="S15" s="32" t="str">
        <f>IF($C15=0," ",COUNTIFS($C:$C,1,R:R,"&gt;"&amp;R15)+1)</f>
        <v xml:space="preserve"> </v>
      </c>
      <c r="T15" s="6">
        <f>E15/K15</f>
        <v>244.30512797706007</v>
      </c>
      <c r="U15" s="4" t="str">
        <f>IF($C15=0," ",COUNTIFS($C:$C,1,T:T,"&lt;"&amp;T15)+1)</f>
        <v xml:space="preserve"> </v>
      </c>
      <c r="V15" s="4"/>
      <c r="X15" s="4"/>
      <c r="Y15" s="4"/>
    </row>
    <row r="16" spans="1:25" x14ac:dyDescent="0.35">
      <c r="A16" s="4">
        <v>17</v>
      </c>
      <c r="B16" s="4" t="s">
        <v>24</v>
      </c>
      <c r="C16" s="4">
        <v>1</v>
      </c>
      <c r="D16" s="4">
        <f t="array" ref="D16">MAX(IF(Sales!B:B=A16,Sales!C:C))</f>
        <v>17</v>
      </c>
      <c r="E16" s="4">
        <f>SUMIF(Sales!B:B,A16,Sales!E:E)</f>
        <v>190</v>
      </c>
      <c r="F16" s="6">
        <f>IF($C16=0," ",COUNTIFS($C:$C,1,E:E,"&gt;"&amp;E16)+1)</f>
        <v>20</v>
      </c>
      <c r="G16" s="4">
        <f>SUMIF(Sales!B:B,A16,Sales!D:D)</f>
        <v>17</v>
      </c>
      <c r="H16" s="4">
        <f>IF($C16=0," ",COUNTIFS($C:$C,1,G:G,"&gt;"&amp;G16)+1)</f>
        <v>20</v>
      </c>
      <c r="I16" s="4">
        <f>SUMIF(Prizes!B:B,A16,Prizes!D:D)</f>
        <v>0</v>
      </c>
      <c r="J16" s="4">
        <f>IF($C16=0," ",COUNTIFS($C:$C,1,I:I,"&gt;"&amp;I16)+1)</f>
        <v>23</v>
      </c>
      <c r="K16" s="5">
        <f>SUMIF(Sales!B:B,A16,Sales!F:F)</f>
        <v>0.78185759327377835</v>
      </c>
      <c r="L16" s="6">
        <f>IF($C16=0," ",COUNTIFS($C:$C,1,K:K,"&gt;"&amp;K16)+1)</f>
        <v>20</v>
      </c>
      <c r="M16" s="5">
        <f>SQRT(SUMIF(Sales!B:B,A16,Sales!G:G))</f>
        <v>0.85140329680434057</v>
      </c>
      <c r="N16" s="5">
        <f>I16-K16</f>
        <v>-0.78185759327377835</v>
      </c>
      <c r="O16" s="6">
        <f>IF($C16=0," ",COUNTIFS($C:$C,1,N:N,"&gt;"&amp;N16)+1)</f>
        <v>23</v>
      </c>
      <c r="P16" s="5">
        <f>N16/M16</f>
        <v>-0.91831637980309067</v>
      </c>
      <c r="Q16" s="4">
        <f>IF($C16=0," ",COUNTIFS($C:$C,1,P:P,"&gt;"&amp;P16)+1)</f>
        <v>25</v>
      </c>
      <c r="R16" s="17">
        <f>IF(I16&gt;K16,1-_xlfn.NORM.DIST(I16,K16,M16,1),_xlfn.NORM.DIST(I16,K16,M16,1))</f>
        <v>0.17922662716885635</v>
      </c>
      <c r="S16" s="32">
        <f>IF($C16=0," ",COUNTIFS($C:$C,1,R:R,"&gt;"&amp;R16)+1)</f>
        <v>21</v>
      </c>
      <c r="T16" s="6">
        <f>E16/K16</f>
        <v>243.01100562883303</v>
      </c>
      <c r="U16" s="4">
        <f>IF($C16=0," ",COUNTIFS($C:$C,1,T:T,"&lt;"&amp;T16)+1)</f>
        <v>25</v>
      </c>
      <c r="V16" s="4"/>
      <c r="X16" s="4"/>
      <c r="Y16" s="4"/>
    </row>
    <row r="17" spans="1:25" x14ac:dyDescent="0.35">
      <c r="A17" s="4">
        <v>16</v>
      </c>
      <c r="B17" s="4" t="s">
        <v>23</v>
      </c>
      <c r="C17" s="4">
        <v>1</v>
      </c>
      <c r="D17" s="4">
        <f t="array" ref="D17">MAX(IF(Sales!B:B=A17,Sales!C:C))</f>
        <v>16</v>
      </c>
      <c r="E17" s="4">
        <f>SUMIF(Sales!B:B,A17,Sales!E:E)</f>
        <v>170</v>
      </c>
      <c r="F17" s="6">
        <f>IF($C17=0," ",COUNTIFS($C:$C,1,E:E,"&gt;"&amp;E17)+1)</f>
        <v>21</v>
      </c>
      <c r="G17" s="4">
        <f>SUMIF(Sales!B:B,A17,Sales!D:D)</f>
        <v>14</v>
      </c>
      <c r="H17" s="4">
        <f>IF($C17=0," ",COUNTIFS($C:$C,1,G:G,"&gt;"&amp;G17)+1)</f>
        <v>24</v>
      </c>
      <c r="I17" s="4">
        <f>SUMIF(Prizes!B:B,A17,Prizes!D:D)</f>
        <v>0</v>
      </c>
      <c r="J17" s="4">
        <f>IF($C17=0," ",COUNTIFS($C:$C,1,I:I,"&gt;"&amp;I17)+1)</f>
        <v>23</v>
      </c>
      <c r="K17" s="5">
        <f>SUMIF(Sales!B:B,A17,Sales!F:F)</f>
        <v>0.70097913093196107</v>
      </c>
      <c r="L17" s="6">
        <f>IF($C17=0," ",COUNTIFS($C:$C,1,K:K,"&gt;"&amp;K17)+1)</f>
        <v>24</v>
      </c>
      <c r="M17" s="5">
        <f>SQRT(SUMIF(Sales!B:B,A17,Sales!G:G))</f>
        <v>0.80570500303843884</v>
      </c>
      <c r="N17" s="5">
        <f>I17-K17</f>
        <v>-0.70097913093196107</v>
      </c>
      <c r="O17" s="6">
        <f>IF($C17=0," ",COUNTIFS($C:$C,1,N:N,"&gt;"&amp;N17)+1)</f>
        <v>20</v>
      </c>
      <c r="P17" s="5">
        <f>N17/M17</f>
        <v>-0.87001958320782391</v>
      </c>
      <c r="Q17" s="4">
        <f>IF($C17=0," ",COUNTIFS($C:$C,1,P:P,"&gt;"&amp;P17)+1)</f>
        <v>23</v>
      </c>
      <c r="R17" s="17">
        <f>IF(I17&gt;K17,1-_xlfn.NORM.DIST(I17,K17,M17,1),_xlfn.NORM.DIST(I17,K17,M17,1))</f>
        <v>0.19214485114680332</v>
      </c>
      <c r="S17" s="32">
        <f>IF($C17=0," ",COUNTIFS($C:$C,1,R:R,"&gt;"&amp;R17)+1)</f>
        <v>19</v>
      </c>
      <c r="T17" s="6">
        <f>E17/K17</f>
        <v>242.51791886298062</v>
      </c>
      <c r="U17" s="4">
        <f>IF($C17=0," ",COUNTIFS($C:$C,1,T:T,"&lt;"&amp;T17)+1)</f>
        <v>24</v>
      </c>
      <c r="V17" s="4"/>
      <c r="X17" s="4"/>
      <c r="Y17" s="4"/>
    </row>
    <row r="18" spans="1:25" x14ac:dyDescent="0.35">
      <c r="A18" s="4">
        <v>30</v>
      </c>
      <c r="B18" s="4" t="s">
        <v>37</v>
      </c>
      <c r="C18" s="4">
        <v>0</v>
      </c>
      <c r="D18" s="4">
        <f t="array" ref="D18">MAX(IF(Sales!B:B=A18,Sales!C:C))</f>
        <v>5</v>
      </c>
      <c r="E18" s="4">
        <f>SUMIF(Sales!B:B,A18,Sales!E:E)</f>
        <v>50</v>
      </c>
      <c r="F18" s="6" t="str">
        <f>IF($C18=0," ",COUNTIFS($C:$C,1,E:E,"&gt;"&amp;E18)+1)</f>
        <v xml:space="preserve"> </v>
      </c>
      <c r="G18" s="4">
        <f>SUMIF(Sales!B:B,A18,Sales!D:D)</f>
        <v>5</v>
      </c>
      <c r="H18" s="4" t="str">
        <f>IF($C18=0," ",COUNTIFS($C:$C,1,G:G,"&gt;"&amp;G18)+1)</f>
        <v xml:space="preserve"> </v>
      </c>
      <c r="I18" s="4">
        <f>SUMIF(Prizes!B:B,A18,Prizes!D:D)</f>
        <v>0</v>
      </c>
      <c r="J18" s="4" t="str">
        <f>IF($C18=0," ",COUNTIFS($C:$C,1,I:I,"&gt;"&amp;I18)+1)</f>
        <v xml:space="preserve"> </v>
      </c>
      <c r="K18" s="5">
        <f>SUMIF(Sales!B:B,A18,Sales!F:F)</f>
        <v>0.20833333333333331</v>
      </c>
      <c r="L18" s="6" t="str">
        <f>IF($C18=0," ",COUNTIFS($C:$C,1,K:K,"&gt;"&amp;K18)+1)</f>
        <v xml:space="preserve"> </v>
      </c>
      <c r="M18" s="5">
        <f>SQRT(SUMIF(Sales!B:B,A18,Sales!G:G))</f>
        <v>0.43925136315935126</v>
      </c>
      <c r="N18" s="5">
        <f>I18-K18</f>
        <v>-0.20833333333333331</v>
      </c>
      <c r="O18" s="6" t="str">
        <f>IF($C18=0," ",COUNTIFS($C:$C,1,N:N,"&gt;"&amp;N18)+1)</f>
        <v xml:space="preserve"> </v>
      </c>
      <c r="P18" s="5">
        <f>N18/M18</f>
        <v>-0.47429183107111794</v>
      </c>
      <c r="Q18" s="4" t="str">
        <f>IF($C18=0," ",COUNTIFS($C:$C,1,P:P,"&gt;"&amp;P18)+1)</f>
        <v xml:space="preserve"> </v>
      </c>
      <c r="R18" s="17">
        <f>IF(I18&gt;K18,1-_xlfn.NORM.DIST(I18,K18,M18,1),_xlfn.NORM.DIST(I18,K18,M18,1))</f>
        <v>0.31764590799841352</v>
      </c>
      <c r="S18" s="32" t="str">
        <f>IF($C18=0," ",COUNTIFS($C:$C,1,R:R,"&gt;"&amp;R18)+1)</f>
        <v xml:space="preserve"> </v>
      </c>
      <c r="T18" s="6">
        <f>E18/K18</f>
        <v>240.00000000000003</v>
      </c>
      <c r="U18" s="6" t="str">
        <f>IF($C18=0," ",COUNTIFS($C:$C,1,T:T,"&lt;"&amp;T18)+1)</f>
        <v xml:space="preserve"> </v>
      </c>
      <c r="V18" s="4"/>
      <c r="X18" s="4"/>
      <c r="Y18" s="4"/>
    </row>
    <row r="19" spans="1:25" x14ac:dyDescent="0.35">
      <c r="A19" s="4">
        <v>2</v>
      </c>
      <c r="B19" s="4" t="s">
        <v>3</v>
      </c>
      <c r="C19" s="4">
        <v>1</v>
      </c>
      <c r="D19" s="4">
        <f t="array" ref="D19">MAX(IF(Sales!B:B=A19,Sales!C:C))</f>
        <v>17</v>
      </c>
      <c r="E19" s="4">
        <f>SUMIF(Sales!B:B,A19,Sales!E:E)</f>
        <v>600</v>
      </c>
      <c r="F19" s="6">
        <f>IF($C19=0," ",COUNTIFS($C:$C,1,E:E,"&gt;"&amp;E19)+1)</f>
        <v>10</v>
      </c>
      <c r="G19" s="4">
        <f>SUMIF(Sales!B:B,A19,Sales!D:D)</f>
        <v>50</v>
      </c>
      <c r="H19" s="4">
        <f>IF($C19=0," ",COUNTIFS($C:$C,1,G:G,"&gt;"&amp;G19)+1)</f>
        <v>13</v>
      </c>
      <c r="I19" s="4">
        <f>SUMIF(Prizes!B:B,A19,Prizes!D:D)</f>
        <v>2</v>
      </c>
      <c r="J19" s="4">
        <f>IF($C19=0," ",COUNTIFS($C:$C,1,I:I,"&gt;"&amp;I19)+1)</f>
        <v>11</v>
      </c>
      <c r="K19" s="5">
        <f>SUMIF(Sales!B:B,A19,Sales!F:F)</f>
        <v>2.5260425029242053</v>
      </c>
      <c r="L19" s="6">
        <f>IF($C19=0," ",COUNTIFS($C:$C,1,K:K,"&gt;"&amp;K19)+1)</f>
        <v>11</v>
      </c>
      <c r="M19" s="5">
        <f>SQRT(SUMIF(Sales!B:B,A19,Sales!G:G))</f>
        <v>1.5049219669770546</v>
      </c>
      <c r="N19" s="5">
        <f>I19-K19</f>
        <v>-0.52604250292420529</v>
      </c>
      <c r="O19" s="6">
        <f>IF($C19=0," ",COUNTIFS($C:$C,1,N:N,"&gt;"&amp;N19)+1)</f>
        <v>17</v>
      </c>
      <c r="P19" s="5">
        <f>N19/M19</f>
        <v>-0.34954802605537738</v>
      </c>
      <c r="Q19" s="4">
        <f>IF($C19=0," ",COUNTIFS($C:$C,1,P:P,"&gt;"&amp;P19)+1)</f>
        <v>17</v>
      </c>
      <c r="R19" s="17">
        <f>IF(I19&gt;K19,1-_xlfn.NORM.DIST(I19,K19,M19,1),_xlfn.NORM.DIST(I19,K19,M19,1))</f>
        <v>0.36333896109358743</v>
      </c>
      <c r="S19" s="32">
        <f>IF($C19=0," ",COUNTIFS($C:$C,1,R:R,"&gt;"&amp;R19)+1)</f>
        <v>9</v>
      </c>
      <c r="T19" s="6">
        <f>E19/K19</f>
        <v>237.52569456191893</v>
      </c>
      <c r="U19" s="4">
        <f>IF($C19=0," ",COUNTIFS($C:$C,1,T:T,"&lt;"&amp;T19)+1)</f>
        <v>23</v>
      </c>
      <c r="V19" s="4"/>
      <c r="X19" s="4"/>
      <c r="Y19" s="4"/>
    </row>
    <row r="20" spans="1:25" x14ac:dyDescent="0.35">
      <c r="A20" s="4">
        <v>10</v>
      </c>
      <c r="B20" s="4" t="s">
        <v>11</v>
      </c>
      <c r="C20" s="4">
        <v>1</v>
      </c>
      <c r="D20" s="4">
        <f t="array" ref="D20">MAX(IF(Sales!B:B=A20,Sales!C:C))</f>
        <v>16</v>
      </c>
      <c r="E20" s="4">
        <f>SUMIF(Sales!B:B,A20,Sales!E:E)</f>
        <v>1400</v>
      </c>
      <c r="F20" s="6">
        <f>IF($C20=0," ",COUNTIFS($C:$C,1,E:E,"&gt;"&amp;E20)+1)</f>
        <v>2</v>
      </c>
      <c r="G20" s="4">
        <f>SUMIF(Sales!B:B,A20,Sales!D:D)</f>
        <v>130</v>
      </c>
      <c r="H20" s="4">
        <f>IF($C20=0," ",COUNTIFS($C:$C,1,G:G,"&gt;"&amp;G20)+1)</f>
        <v>2</v>
      </c>
      <c r="I20" s="4">
        <f>SUMIF(Prizes!B:B,A20,Prizes!D:D)</f>
        <v>5</v>
      </c>
      <c r="J20" s="4">
        <f>IF($C20=0," ",COUNTIFS($C:$C,1,I:I,"&gt;"&amp;I20)+1)</f>
        <v>3</v>
      </c>
      <c r="K20" s="5">
        <f>SUMIF(Sales!B:B,A20,Sales!F:F)</f>
        <v>5.9193426690160855</v>
      </c>
      <c r="L20" s="6">
        <f>IF($C20=0," ",COUNTIFS($C:$C,1,K:K,"&gt;"&amp;K20)+1)</f>
        <v>2</v>
      </c>
      <c r="M20" s="5">
        <f>SQRT(SUMIF(Sales!B:B,A20,Sales!G:G))</f>
        <v>2.2835709364620573</v>
      </c>
      <c r="N20" s="5">
        <f>I20-K20</f>
        <v>-0.91934266901608552</v>
      </c>
      <c r="O20" s="6">
        <f>IF($C20=0," ",COUNTIFS($C:$C,1,N:N,"&gt;"&amp;N20)+1)</f>
        <v>24</v>
      </c>
      <c r="P20" s="5">
        <f>N20/M20</f>
        <v>-0.40258993243294017</v>
      </c>
      <c r="Q20" s="4">
        <f>IF($C20=0," ",COUNTIFS($C:$C,1,P:P,"&gt;"&amp;P20)+1)</f>
        <v>19</v>
      </c>
      <c r="R20" s="17">
        <f>IF(I20&gt;K20,1-_xlfn.NORM.DIST(I20,K20,M20,1),_xlfn.NORM.DIST(I20,K20,M20,1))</f>
        <v>0.34362495855693742</v>
      </c>
      <c r="S20" s="32">
        <f>IF($C20=0," ",COUNTIFS($C:$C,1,R:R,"&gt;"&amp;R20)+1)</f>
        <v>12</v>
      </c>
      <c r="T20" s="6">
        <f>E20/K20</f>
        <v>236.51274783061484</v>
      </c>
      <c r="U20" s="4">
        <f>IF($C20=0," ",COUNTIFS($C:$C,1,T:T,"&lt;"&amp;T20)+1)</f>
        <v>22</v>
      </c>
      <c r="V20" s="4"/>
      <c r="X20" s="4"/>
      <c r="Y20" s="4"/>
    </row>
    <row r="21" spans="1:25" x14ac:dyDescent="0.35">
      <c r="A21" s="4">
        <v>29</v>
      </c>
      <c r="B21" s="4" t="s">
        <v>100</v>
      </c>
      <c r="C21" s="4">
        <v>1</v>
      </c>
      <c r="D21" s="4">
        <f t="array" ref="D21">MAX(IF(Sales!B:B=A21,Sales!C:C))</f>
        <v>17</v>
      </c>
      <c r="E21" s="4">
        <f>SUMIF(Sales!B:B,A21,Sales!E:E)</f>
        <v>600</v>
      </c>
      <c r="F21" s="6">
        <f>IF($C21=0," ",COUNTIFS($C:$C,1,E:E,"&gt;"&amp;E21)+1)</f>
        <v>10</v>
      </c>
      <c r="G21" s="4">
        <f>SUMIF(Sales!B:B,A21,Sales!D:D)</f>
        <v>61</v>
      </c>
      <c r="H21" s="4">
        <f>IF($C21=0," ",COUNTIFS($C:$C,1,G:G,"&gt;"&amp;G21)+1)</f>
        <v>10</v>
      </c>
      <c r="I21" s="4">
        <f>SUMIF(Prizes!B:B,A21,Prizes!D:D)</f>
        <v>2</v>
      </c>
      <c r="J21" s="4">
        <f>IF($C21=0," ",COUNTIFS($C:$C,1,I:I,"&gt;"&amp;I21)+1)</f>
        <v>11</v>
      </c>
      <c r="K21" s="5">
        <f>SUMIF(Sales!B:B,A21,Sales!F:F)</f>
        <v>2.5438751903724213</v>
      </c>
      <c r="L21" s="6">
        <f>IF($C21=0," ",COUNTIFS($C:$C,1,K:K,"&gt;"&amp;K21)+1)</f>
        <v>10</v>
      </c>
      <c r="M21" s="5">
        <f>SQRT(SUMIF(Sales!B:B,A21,Sales!G:G))</f>
        <v>1.5044073928860557</v>
      </c>
      <c r="N21" s="5">
        <f>I21-K21</f>
        <v>-0.54387519037242127</v>
      </c>
      <c r="O21" s="6">
        <f>IF($C21=0," ",COUNTIFS($C:$C,1,N:N,"&gt;"&amp;N21)+1)</f>
        <v>18</v>
      </c>
      <c r="P21" s="5">
        <f>N21/M21</f>
        <v>-0.36152121622391853</v>
      </c>
      <c r="Q21" s="4">
        <f>IF($C21=0," ",COUNTIFS($C:$C,1,P:P,"&gt;"&amp;P21)+1)</f>
        <v>18</v>
      </c>
      <c r="R21" s="17">
        <f>IF(I21&gt;K21,1-_xlfn.NORM.DIST(I21,K21,M21,1),_xlfn.NORM.DIST(I21,K21,M21,1))</f>
        <v>0.35885492384157364</v>
      </c>
      <c r="S21" s="32">
        <f>IF($C21=0," ",COUNTIFS($C:$C,1,R:R,"&gt;"&amp;R21)+1)</f>
        <v>11</v>
      </c>
      <c r="T21" s="6">
        <f>E21/K21</f>
        <v>235.86062801774503</v>
      </c>
      <c r="U21" s="4">
        <f>IF($C21=0," ",COUNTIFS($C:$C,1,T:T,"&lt;"&amp;T21)+1)</f>
        <v>21</v>
      </c>
      <c r="V21" s="4"/>
      <c r="X21" s="4"/>
      <c r="Y21" s="4"/>
    </row>
    <row r="22" spans="1:25" x14ac:dyDescent="0.35">
      <c r="A22" s="4">
        <v>41</v>
      </c>
      <c r="B22" s="4" t="s">
        <v>79</v>
      </c>
      <c r="C22" s="4">
        <v>1</v>
      </c>
      <c r="D22" s="4">
        <f t="array" ref="D22">MAX(IF(Sales!B:B=A22,Sales!C:C))</f>
        <v>17</v>
      </c>
      <c r="E22" s="8">
        <f>SUMIF(Sales!B:B,A22,Sales!E:E)</f>
        <v>300</v>
      </c>
      <c r="F22" s="30">
        <f>IF($C22=0," ",COUNTIFS($C:$C,1,E:E,"&gt;"&amp;E22)+1)</f>
        <v>18</v>
      </c>
      <c r="G22" s="8">
        <f>SUMIF(Sales!B:B,A22,Sales!D:D)</f>
        <v>30</v>
      </c>
      <c r="H22" s="10">
        <f>IF($C22=0," ",COUNTIFS($C:$C,1,G:G,"&gt;"&amp;G22)+1)</f>
        <v>17</v>
      </c>
      <c r="I22" s="8">
        <f>SUMIF(Prizes!B:B,A22,Prizes!D:D)</f>
        <v>3</v>
      </c>
      <c r="J22" s="10">
        <f>IF($C22=0," ",COUNTIFS($C:$C,1,I:I,"&gt;"&amp;I22)+1)</f>
        <v>7</v>
      </c>
      <c r="K22" s="9">
        <f>SUMIF(Sales!B:B,A22,Sales!F:F)</f>
        <v>1.2768369704240574</v>
      </c>
      <c r="L22" s="30">
        <f>IF($C22=0," ",COUNTIFS($C:$C,1,K:K,"&gt;"&amp;K22)+1)</f>
        <v>18</v>
      </c>
      <c r="M22" s="9">
        <f>SQRT(SUMIF(Sales!B:B,A22,Sales!G:G))</f>
        <v>1.0787362494821104</v>
      </c>
      <c r="N22" s="9">
        <f>I22-K22</f>
        <v>1.7231630295759426</v>
      </c>
      <c r="O22" s="30">
        <f>IF($C22=0," ",COUNTIFS($C:$C,1,N:N,"&gt;"&amp;N22)+1)</f>
        <v>2</v>
      </c>
      <c r="P22" s="5">
        <f>N22/M22</f>
        <v>1.5973904931842371</v>
      </c>
      <c r="Q22" s="10">
        <f>IF($C22=0," ",COUNTIFS($C:$C,1,P:P,"&gt;"&amp;P22)+1)</f>
        <v>2</v>
      </c>
      <c r="R22" s="17">
        <f>IF(I22&gt;K22,1-_xlfn.NORM.DIST(I22,K22,M22,1),_xlfn.NORM.DIST(I22,K22,M22,1))</f>
        <v>5.5089345140605039E-2</v>
      </c>
      <c r="S22" s="32">
        <f>IF($C22=0," ",COUNTIFS($C:$C,1,R:R,"&gt;"&amp;R22)+1)</f>
        <v>28</v>
      </c>
      <c r="T22" s="6">
        <f>E22/K22</f>
        <v>234.9556027504164</v>
      </c>
      <c r="U22" s="10">
        <f>IF($C22=0," ",COUNTIFS($C:$C,1,T:T,"&lt;"&amp;T22)+1)</f>
        <v>20</v>
      </c>
      <c r="V22" s="4"/>
      <c r="X22" s="4"/>
      <c r="Y22" s="4"/>
    </row>
    <row r="23" spans="1:25" x14ac:dyDescent="0.35">
      <c r="A23" s="4">
        <v>8</v>
      </c>
      <c r="B23" s="4" t="s">
        <v>9</v>
      </c>
      <c r="C23" s="4">
        <v>1</v>
      </c>
      <c r="D23" s="4">
        <f t="array" ref="D23">MAX(IF(Sales!B:B=A23,Sales!C:C))</f>
        <v>17</v>
      </c>
      <c r="E23" s="4">
        <f>SUMIF(Sales!B:B,A23,Sales!E:E)</f>
        <v>2060</v>
      </c>
      <c r="F23" s="6">
        <f>IF($C23=0," ",COUNTIFS($C:$C,1,E:E,"&gt;"&amp;E23)+1)</f>
        <v>1</v>
      </c>
      <c r="G23" s="4">
        <f>SUMIF(Sales!B:B,A23,Sales!D:D)</f>
        <v>189</v>
      </c>
      <c r="H23" s="4">
        <f>IF($C23=0," ",COUNTIFS($C:$C,1,G:G,"&gt;"&amp;G23)+1)</f>
        <v>1</v>
      </c>
      <c r="I23" s="4">
        <f>SUMIF(Prizes!B:B,A23,Prizes!D:D)</f>
        <v>8</v>
      </c>
      <c r="J23" s="4">
        <f>IF($C23=0," ",COUNTIFS($C:$C,1,I:I,"&gt;"&amp;I23)+1)</f>
        <v>1</v>
      </c>
      <c r="K23" s="5">
        <f>SUMIF(Sales!B:B,A23,Sales!F:F)</f>
        <v>8.7731840201125806</v>
      </c>
      <c r="L23" s="6">
        <f>IF($C23=0," ",COUNTIFS($C:$C,1,K:K,"&gt;"&amp;K23)+1)</f>
        <v>1</v>
      </c>
      <c r="M23" s="5">
        <f>SQRT(SUMIF(Sales!B:B,A23,Sales!G:G))</f>
        <v>2.7176050085623271</v>
      </c>
      <c r="N23" s="5">
        <f>I23-K23</f>
        <v>-0.77318402011258058</v>
      </c>
      <c r="O23" s="6">
        <f>IF($C23=0," ",COUNTIFS($C:$C,1,N:N,"&gt;"&amp;N23)+1)</f>
        <v>22</v>
      </c>
      <c r="P23" s="5">
        <f>N23/M23</f>
        <v>-0.28450934469009237</v>
      </c>
      <c r="Q23" s="4">
        <f>IF($C23=0," ",COUNTIFS($C:$C,1,P:P,"&gt;"&amp;P23)+1)</f>
        <v>15</v>
      </c>
      <c r="R23" s="17">
        <f>IF(I23&gt;K23,1-_xlfn.NORM.DIST(I23,K23,M23,1),_xlfn.NORM.DIST(I23,K23,M23,1))</f>
        <v>0.3880100368901796</v>
      </c>
      <c r="S23" s="32">
        <f>IF($C23=0," ",COUNTIFS($C:$C,1,R:R,"&gt;"&amp;R23)+1)</f>
        <v>6</v>
      </c>
      <c r="T23" s="6">
        <f>E23/K23</f>
        <v>234.80642777780983</v>
      </c>
      <c r="U23" s="4">
        <f>IF($C23=0," ",COUNTIFS($C:$C,1,T:T,"&lt;"&amp;T23)+1)</f>
        <v>19</v>
      </c>
      <c r="V23" s="4"/>
      <c r="X23" s="4"/>
      <c r="Y23" s="4"/>
    </row>
    <row r="24" spans="1:25" x14ac:dyDescent="0.35">
      <c r="A24" s="4">
        <v>31</v>
      </c>
      <c r="B24" s="4" t="s">
        <v>38</v>
      </c>
      <c r="C24" s="4">
        <v>0</v>
      </c>
      <c r="D24" s="4">
        <f t="array" ref="D24">MAX(IF(Sales!B:B=A24,Sales!C:C))</f>
        <v>8</v>
      </c>
      <c r="E24" s="4">
        <f>SUMIF(Sales!B:B,A24,Sales!E:E)</f>
        <v>160</v>
      </c>
      <c r="F24" s="6" t="str">
        <f>IF($C24=0," ",COUNTIFS($C:$C,1,E:E,"&gt;"&amp;E24)+1)</f>
        <v xml:space="preserve"> </v>
      </c>
      <c r="G24" s="4">
        <f>SUMIF(Sales!B:B,A24,Sales!D:D)</f>
        <v>16</v>
      </c>
      <c r="H24" s="4" t="str">
        <f>IF($C24=0," ",COUNTIFS($C:$C,1,G:G,"&gt;"&amp;G24)+1)</f>
        <v xml:space="preserve"> </v>
      </c>
      <c r="I24" s="4">
        <f>SUMIF(Prizes!B:B,A24,Prizes!D:D)</f>
        <v>1</v>
      </c>
      <c r="J24" s="4" t="str">
        <f>IF($C24=0," ",COUNTIFS($C:$C,1,I:I,"&gt;"&amp;I24)+1)</f>
        <v xml:space="preserve"> </v>
      </c>
      <c r="K24" s="5">
        <f>SUMIF(Sales!B:B,A24,Sales!F:F)</f>
        <v>0.68315789473684219</v>
      </c>
      <c r="L24" s="6" t="str">
        <f>IF($C24=0," ",COUNTIFS($C:$C,1,K:K,"&gt;"&amp;K24)+1)</f>
        <v xml:space="preserve"> </v>
      </c>
      <c r="M24" s="5">
        <f>SQRT(SUMIF(Sales!B:B,A24,Sales!G:G))</f>
        <v>0.79496113990168826</v>
      </c>
      <c r="N24" s="5">
        <f>I24-K24</f>
        <v>0.31684210526315781</v>
      </c>
      <c r="O24" s="6" t="str">
        <f>IF($C24=0," ",COUNTIFS($C:$C,1,N:N,"&gt;"&amp;N24)+1)</f>
        <v xml:space="preserve"> </v>
      </c>
      <c r="P24" s="5">
        <f>N24/M24</f>
        <v>0.39856301064268529</v>
      </c>
      <c r="Q24" s="4" t="str">
        <f>IF($C24=0," ",COUNTIFS($C:$C,1,P:P,"&gt;"&amp;P24)+1)</f>
        <v xml:space="preserve"> </v>
      </c>
      <c r="R24" s="17">
        <f>IF(I24&gt;K24,1-_xlfn.NORM.DIST(I24,K24,M24,1),_xlfn.NORM.DIST(I24,K24,M24,1))</f>
        <v>0.34510761059987882</v>
      </c>
      <c r="S24" s="32" t="str">
        <f>IF($C24=0," ",COUNTIFS($C:$C,1,R:R,"&gt;"&amp;R24)+1)</f>
        <v xml:space="preserve"> </v>
      </c>
      <c r="T24" s="6">
        <f>E24/K24</f>
        <v>234.20647149460706</v>
      </c>
      <c r="U24" s="6" t="str">
        <f>IF($C24=0," ",COUNTIFS($C:$C,1,T:T,"&lt;"&amp;T24)+1)</f>
        <v xml:space="preserve"> </v>
      </c>
      <c r="V24" s="4"/>
      <c r="X24" s="4"/>
      <c r="Y24" s="4"/>
    </row>
    <row r="25" spans="1:25" x14ac:dyDescent="0.35">
      <c r="A25" s="4">
        <v>32</v>
      </c>
      <c r="B25" s="4" t="s">
        <v>39</v>
      </c>
      <c r="C25" s="4">
        <v>1</v>
      </c>
      <c r="D25" s="4">
        <f t="array" ref="D25">MAX(IF(Sales!B:B=A25,Sales!C:C))</f>
        <v>17</v>
      </c>
      <c r="E25" s="4">
        <f>SUMIF(Sales!B:B,A25,Sales!E:E)</f>
        <v>500</v>
      </c>
      <c r="F25" s="6">
        <f>IF($C25=0," ",COUNTIFS($C:$C,1,E:E,"&gt;"&amp;E25)+1)</f>
        <v>13</v>
      </c>
      <c r="G25" s="4">
        <f>SUMIF(Sales!B:B,A25,Sales!D:D)</f>
        <v>51</v>
      </c>
      <c r="H25" s="4">
        <f>IF($C25=0," ",COUNTIFS($C:$C,1,G:G,"&gt;"&amp;G25)+1)</f>
        <v>11</v>
      </c>
      <c r="I25" s="4">
        <f>SUMIF(Prizes!B:B,A25,Prizes!D:D)</f>
        <v>3</v>
      </c>
      <c r="J25" s="4">
        <f>IF($C25=0," ",COUNTIFS($C:$C,1,I:I,"&gt;"&amp;I25)+1)</f>
        <v>7</v>
      </c>
      <c r="K25" s="5">
        <f>SUMIF(Sales!B:B,A25,Sales!F:F)</f>
        <v>2.1559481791388295</v>
      </c>
      <c r="L25" s="6">
        <f>IF($C25=0," ",COUNTIFS($C:$C,1,K:K,"&gt;"&amp;K25)+1)</f>
        <v>15</v>
      </c>
      <c r="M25" s="5">
        <f>SQRT(SUMIF(Sales!B:B,A25,Sales!G:G))</f>
        <v>1.3849206552524513</v>
      </c>
      <c r="N25" s="5">
        <f>I25-K25</f>
        <v>0.84405182086117048</v>
      </c>
      <c r="O25" s="6">
        <f>IF($C25=0," ",COUNTIFS($C:$C,1,N:N,"&gt;"&amp;N25)+1)</f>
        <v>5</v>
      </c>
      <c r="P25" s="5">
        <f>N25/M25</f>
        <v>0.60945861241943267</v>
      </c>
      <c r="Q25" s="4">
        <f>IF($C25=0," ",COUNTIFS($C:$C,1,P:P,"&gt;"&amp;P25)+1)</f>
        <v>6</v>
      </c>
      <c r="R25" s="17">
        <f>IF(I25&gt;K25,1-_xlfn.NORM.DIST(I25,K25,M25,1),_xlfn.NORM.DIST(I25,K25,M25,1))</f>
        <v>0.27111024890101443</v>
      </c>
      <c r="S25" s="32">
        <f>IF($C25=0," ",COUNTIFS($C:$C,1,R:R,"&gt;"&amp;R25)+1)</f>
        <v>14</v>
      </c>
      <c r="T25" s="6">
        <f>E25/K25</f>
        <v>231.91652046095081</v>
      </c>
      <c r="U25" s="4">
        <f>IF($C25=0," ",COUNTIFS($C:$C,1,T:T,"&lt;"&amp;T25)+1)</f>
        <v>18</v>
      </c>
      <c r="V25" s="4"/>
      <c r="X25" s="4"/>
      <c r="Y25" s="4"/>
    </row>
    <row r="26" spans="1:25" x14ac:dyDescent="0.35">
      <c r="A26" s="4">
        <v>11</v>
      </c>
      <c r="B26" s="4" t="s">
        <v>12</v>
      </c>
      <c r="C26" s="4">
        <v>1</v>
      </c>
      <c r="D26" s="4">
        <f t="array" ref="D26">MAX(IF(Sales!B:B=A26,Sales!C:C))</f>
        <v>17</v>
      </c>
      <c r="E26" s="4">
        <f>SUMIF(Sales!B:B,A26,Sales!E:E)</f>
        <v>510</v>
      </c>
      <c r="F26" s="6">
        <f>IF($C26=0," ",COUNTIFS($C:$C,1,E:E,"&gt;"&amp;E26)+1)</f>
        <v>12</v>
      </c>
      <c r="G26" s="4">
        <f>SUMIF(Sales!B:B,A26,Sales!D:D)</f>
        <v>44</v>
      </c>
      <c r="H26" s="4">
        <f>IF($C26=0," ",COUNTIFS($C:$C,1,G:G,"&gt;"&amp;G26)+1)</f>
        <v>15</v>
      </c>
      <c r="I26" s="4">
        <f>SUMIF(Prizes!B:B,A26,Prizes!D:D)</f>
        <v>0</v>
      </c>
      <c r="J26" s="4">
        <f>IF($C26=0," ",COUNTIFS($C:$C,1,I:I,"&gt;"&amp;I26)+1)</f>
        <v>23</v>
      </c>
      <c r="K26" s="5">
        <f>SUMIF(Sales!B:B,A26,Sales!F:F)</f>
        <v>2.2302045616335824</v>
      </c>
      <c r="L26" s="6">
        <f>IF($C26=0," ",COUNTIFS($C:$C,1,K:K,"&gt;"&amp;K26)+1)</f>
        <v>14</v>
      </c>
      <c r="M26" s="5">
        <f>SQRT(SUMIF(Sales!B:B,A26,Sales!G:G))</f>
        <v>1.410416449680242</v>
      </c>
      <c r="N26" s="5">
        <f>I26-K26</f>
        <v>-2.2302045616335824</v>
      </c>
      <c r="O26" s="6">
        <f>IF($C26=0," ",COUNTIFS($C:$C,1,N:N,"&gt;"&amp;N26)+1)</f>
        <v>29</v>
      </c>
      <c r="P26" s="5">
        <f>N26/M26</f>
        <v>-1.5812383371870031</v>
      </c>
      <c r="Q26" s="4">
        <f>IF($C26=0," ",COUNTIFS($C:$C,1,P:P,"&gt;"&amp;P26)+1)</f>
        <v>29</v>
      </c>
      <c r="R26" s="17">
        <f>IF(I26&gt;K26,1-_xlfn.NORM.DIST(I26,K26,M26,1),_xlfn.NORM.DIST(I26,K26,M26,1))</f>
        <v>5.6911776347921383E-2</v>
      </c>
      <c r="S26" s="32">
        <f>IF($C26=0," ",COUNTIFS($C:$C,1,R:R,"&gt;"&amp;R26)+1)</f>
        <v>27</v>
      </c>
      <c r="T26" s="6">
        <f>E26/K26</f>
        <v>228.67857450100215</v>
      </c>
      <c r="U26" s="4">
        <f>IF($C26=0," ",COUNTIFS($C:$C,1,T:T,"&lt;"&amp;T26)+1)</f>
        <v>17</v>
      </c>
      <c r="V26" s="4"/>
      <c r="X26" s="4"/>
      <c r="Y26" s="4"/>
    </row>
    <row r="27" spans="1:25" x14ac:dyDescent="0.35">
      <c r="A27" s="4">
        <v>6</v>
      </c>
      <c r="B27" s="4" t="s">
        <v>101</v>
      </c>
      <c r="C27" s="4">
        <v>0</v>
      </c>
      <c r="D27" s="4">
        <f t="array" ref="D27">MAX(IF(Sales!B:B=A27,Sales!C:C))</f>
        <v>3</v>
      </c>
      <c r="E27" s="4">
        <f>SUMIF(Sales!B:B,A27,Sales!E:E)</f>
        <v>300</v>
      </c>
      <c r="F27" s="6" t="str">
        <f>IF($C27=0," ",COUNTIFS($C:$C,1,E:E,"&gt;"&amp;E27)+1)</f>
        <v xml:space="preserve"> </v>
      </c>
      <c r="G27" s="4">
        <f>SUMIF(Sales!B:B,A27,Sales!D:D)</f>
        <v>20</v>
      </c>
      <c r="H27" s="4" t="str">
        <f>IF($C27=0," ",COUNTIFS($C:$C,1,G:G,"&gt;"&amp;G27)+1)</f>
        <v xml:space="preserve"> </v>
      </c>
      <c r="I27" s="4">
        <f>SUMIF(Prizes!B:B,A27,Prizes!D:D)</f>
        <v>2</v>
      </c>
      <c r="J27" s="4" t="str">
        <f>IF($C27=0," ",COUNTIFS($C:$C,1,I:I,"&gt;"&amp;I27)+1)</f>
        <v xml:space="preserve"> </v>
      </c>
      <c r="K27" s="5">
        <f>SUMIF(Sales!B:B,A27,Sales!F:F)</f>
        <v>1.3260933806146571</v>
      </c>
      <c r="L27" s="6" t="str">
        <f>IF($C27=0," ",COUNTIFS($C:$C,1,K:K,"&gt;"&amp;K27)+1)</f>
        <v xml:space="preserve"> </v>
      </c>
      <c r="M27" s="5">
        <f>SQRT(SUMIF(Sales!B:B,A27,Sales!G:G))</f>
        <v>1.0672538107751555</v>
      </c>
      <c r="N27" s="5">
        <f>I27-K27</f>
        <v>0.67390661938534291</v>
      </c>
      <c r="O27" s="6" t="str">
        <f>IF($C27=0," ",COUNTIFS($C:$C,1,N:N,"&gt;"&amp;N27)+1)</f>
        <v xml:space="preserve"> </v>
      </c>
      <c r="P27" s="5">
        <f>N27/M27</f>
        <v>0.63143988110558147</v>
      </c>
      <c r="Q27" s="4" t="str">
        <f>IF($C27=0," ",COUNTIFS($C:$C,1,P:P,"&gt;"&amp;P27)+1)</f>
        <v xml:space="preserve"> </v>
      </c>
      <c r="R27" s="17">
        <f>IF(I27&gt;K27,1-_xlfn.NORM.DIST(I27,K27,M27,1),_xlfn.NORM.DIST(I27,K27,M27,1))</f>
        <v>0.26387647326386743</v>
      </c>
      <c r="S27" s="32" t="str">
        <f>IF($C27=0," ",COUNTIFS($C:$C,1,R:R,"&gt;"&amp;R27)+1)</f>
        <v xml:space="preserve"> </v>
      </c>
      <c r="T27" s="6">
        <f>E27/K27</f>
        <v>226.22841225626743</v>
      </c>
      <c r="U27" s="6" t="str">
        <f>IF($C27=0," ",COUNTIFS($C:$C,1,T:T,"&lt;"&amp;T27)+1)</f>
        <v xml:space="preserve"> </v>
      </c>
      <c r="V27" s="4"/>
      <c r="X27" s="4"/>
      <c r="Y27" s="4"/>
    </row>
    <row r="28" spans="1:25" x14ac:dyDescent="0.35">
      <c r="A28" s="4">
        <v>1</v>
      </c>
      <c r="B28" s="4" t="s">
        <v>45</v>
      </c>
      <c r="C28" s="4">
        <v>1</v>
      </c>
      <c r="D28" s="4">
        <f t="array" ref="D28">MAX(IF(Sales!B:B=A28,Sales!C:C))</f>
        <v>17</v>
      </c>
      <c r="E28" s="4">
        <f>SUMIF(Sales!B:B,A28,Sales!E:E)</f>
        <v>1260</v>
      </c>
      <c r="F28" s="6">
        <f>IF($C28=0," ",COUNTIFS($C:$C,1,E:E,"&gt;"&amp;E28)+1)</f>
        <v>3</v>
      </c>
      <c r="G28" s="4">
        <f>SUMIF(Sales!B:B,A28,Sales!D:D)</f>
        <v>117</v>
      </c>
      <c r="H28" s="4">
        <f>IF($C28=0," ",COUNTIFS($C:$C,1,G:G,"&gt;"&amp;G28)+1)</f>
        <v>3</v>
      </c>
      <c r="I28" s="4">
        <f>SUMIF(Prizes!B:B,A28,Prizes!D:D)</f>
        <v>5</v>
      </c>
      <c r="J28" s="4">
        <f>IF($C28=0," ",COUNTIFS($C:$C,1,I:I,"&gt;"&amp;I28)+1)</f>
        <v>3</v>
      </c>
      <c r="K28" s="5">
        <f>SUMIF(Sales!B:B,A28,Sales!F:F)</f>
        <v>5.6307939706270593</v>
      </c>
      <c r="L28" s="6">
        <f>IF($C28=0," ",COUNTIFS($C:$C,1,K:K,"&gt;"&amp;K28)+1)</f>
        <v>3</v>
      </c>
      <c r="M28" s="5">
        <f>SQRT(SUMIF(Sales!B:B,A28,Sales!G:G))</f>
        <v>2.1994331322517624</v>
      </c>
      <c r="N28" s="5">
        <f>I28-K28</f>
        <v>-0.63079397062705933</v>
      </c>
      <c r="O28" s="6">
        <f>IF($C28=0," ",COUNTIFS($C:$C,1,N:N,"&gt;"&amp;N28)+1)</f>
        <v>19</v>
      </c>
      <c r="P28" s="5">
        <f>N28/M28</f>
        <v>-0.28679843063983373</v>
      </c>
      <c r="Q28" s="4">
        <f>IF($C28=0," ",COUNTIFS($C:$C,1,P:P,"&gt;"&amp;P28)+1)</f>
        <v>16</v>
      </c>
      <c r="R28" s="17">
        <f>IF(I28&gt;K28,1-_xlfn.NORM.DIST(I28,K28,M28,1),_xlfn.NORM.DIST(I28,K28,M28,1))</f>
        <v>0.38713333232764557</v>
      </c>
      <c r="S28" s="32">
        <f>IF($C28=0," ",COUNTIFS($C:$C,1,R:R,"&gt;"&amp;R28)+1)</f>
        <v>7</v>
      </c>
      <c r="T28" s="6">
        <f>E28/K28</f>
        <v>223.76950862929252</v>
      </c>
      <c r="U28" s="4">
        <f>IF($C28=0," ",COUNTIFS($C:$C,1,T:T,"&lt;"&amp;T28)+1)</f>
        <v>16</v>
      </c>
      <c r="V28" s="4"/>
      <c r="X28" s="4"/>
      <c r="Y28" s="4"/>
    </row>
    <row r="29" spans="1:25" x14ac:dyDescent="0.35">
      <c r="A29" s="4">
        <v>9</v>
      </c>
      <c r="B29" s="4" t="s">
        <v>10</v>
      </c>
      <c r="C29" s="4">
        <v>0</v>
      </c>
      <c r="D29" s="4">
        <f t="array" ref="D29">MAX(IF(Sales!B:B=A29,Sales!C:C))</f>
        <v>12</v>
      </c>
      <c r="E29" s="4">
        <f>SUMIF(Sales!B:B,A29,Sales!E:E)</f>
        <v>720</v>
      </c>
      <c r="F29" s="6" t="str">
        <f>IF($C29=0," ",COUNTIFS($C:$C,1,E:E,"&gt;"&amp;E29)+1)</f>
        <v xml:space="preserve"> </v>
      </c>
      <c r="G29" s="4">
        <f>SUMIF(Sales!B:B,A29,Sales!D:D)</f>
        <v>68</v>
      </c>
      <c r="H29" s="4" t="str">
        <f>IF($C29=0," ",COUNTIFS($C:$C,1,G:G,"&gt;"&amp;G29)+1)</f>
        <v xml:space="preserve"> </v>
      </c>
      <c r="I29" s="4">
        <f>SUMIF(Prizes!B:B,A29,Prizes!D:D)</f>
        <v>7</v>
      </c>
      <c r="J29" s="4" t="str">
        <f>IF($C29=0," ",COUNTIFS($C:$C,1,I:I,"&gt;"&amp;I29)+1)</f>
        <v xml:space="preserve"> </v>
      </c>
      <c r="K29" s="5">
        <f>SUMIF(Sales!B:B,A29,Sales!F:F)</f>
        <v>3.2402189600805982</v>
      </c>
      <c r="L29" s="6" t="str">
        <f>IF($C29=0," ",COUNTIFS($C:$C,1,K:K,"&gt;"&amp;K29)+1)</f>
        <v xml:space="preserve"> </v>
      </c>
      <c r="M29" s="5">
        <f>SQRT(SUMIF(Sales!B:B,A29,Sales!G:G))</f>
        <v>1.6903967309717229</v>
      </c>
      <c r="N29" s="5">
        <f>I29-K29</f>
        <v>3.7597810399194018</v>
      </c>
      <c r="O29" s="6" t="str">
        <f>IF($C29=0," ",COUNTIFS($C:$C,1,N:N,"&gt;"&amp;N29)+1)</f>
        <v xml:space="preserve"> </v>
      </c>
      <c r="P29" s="5">
        <f>N29/M29</f>
        <v>2.224200373221318</v>
      </c>
      <c r="Q29" s="4" t="str">
        <f>IF($C29=0," ",COUNTIFS($C:$C,1,P:P,"&gt;"&amp;P29)+1)</f>
        <v xml:space="preserve"> </v>
      </c>
      <c r="R29" s="17">
        <f>IF(I29&gt;K29,1-_xlfn.NORM.DIST(I29,K29,M29,1),_xlfn.NORM.DIST(I29,K29,M29,1))</f>
        <v>1.3067482981361178E-2</v>
      </c>
      <c r="S29" s="32" t="str">
        <f>IF($C29=0," ",COUNTIFS($C:$C,1,R:R,"&gt;"&amp;R29)+1)</f>
        <v xml:space="preserve"> </v>
      </c>
      <c r="T29" s="6">
        <f>E29/K29</f>
        <v>222.20720539888777</v>
      </c>
      <c r="U29" s="4" t="str">
        <f>IF($C29=0," ",COUNTIFS($C:$C,1,T:T,"&lt;"&amp;T29)+1)</f>
        <v xml:space="preserve"> </v>
      </c>
      <c r="V29" s="4"/>
      <c r="X29" s="4"/>
      <c r="Y29" s="4"/>
    </row>
    <row r="30" spans="1:25" x14ac:dyDescent="0.35">
      <c r="A30" s="4">
        <v>20</v>
      </c>
      <c r="B30" s="4" t="s">
        <v>27</v>
      </c>
      <c r="C30" s="4">
        <v>1</v>
      </c>
      <c r="D30" s="4">
        <f t="array" ref="D30">MAX(IF(Sales!B:B=A30,Sales!C:C))</f>
        <v>17</v>
      </c>
      <c r="E30" s="4">
        <f>SUMIF(Sales!B:B,A30,Sales!E:E)</f>
        <v>660</v>
      </c>
      <c r="F30" s="6">
        <f>IF($C30=0," ",COUNTIFS($C:$C,1,E:E,"&gt;"&amp;E30)+1)</f>
        <v>9</v>
      </c>
      <c r="G30" s="4">
        <f>SUMIF(Sales!B:B,A30,Sales!D:D)</f>
        <v>65</v>
      </c>
      <c r="H30" s="4">
        <f>IF($C30=0," ",COUNTIFS($C:$C,1,G:G,"&gt;"&amp;G30)+1)</f>
        <v>9</v>
      </c>
      <c r="I30" s="4">
        <f>SUMIF(Prizes!B:B,A30,Prizes!D:D)</f>
        <v>4</v>
      </c>
      <c r="J30" s="4">
        <f>IF($C30=0," ",COUNTIFS($C:$C,1,I:I,"&gt;"&amp;I30)+1)</f>
        <v>6</v>
      </c>
      <c r="K30" s="5">
        <f>SUMIF(Sales!B:B,A30,Sales!F:F)</f>
        <v>2.9885497562752135</v>
      </c>
      <c r="L30" s="6">
        <f>IF($C30=0," ",COUNTIFS($C:$C,1,K:K,"&gt;"&amp;K30)+1)</f>
        <v>8</v>
      </c>
      <c r="M30" s="5">
        <f>SQRT(SUMIF(Sales!B:B,A30,Sales!G:G))</f>
        <v>1.6536444849097254</v>
      </c>
      <c r="N30" s="5">
        <f>I30-K30</f>
        <v>1.0114502437247865</v>
      </c>
      <c r="O30" s="6">
        <f>IF($C30=0," ",COUNTIFS($C:$C,1,N:N,"&gt;"&amp;N30)+1)</f>
        <v>3</v>
      </c>
      <c r="P30" s="5">
        <f>N30/M30</f>
        <v>0.61164915007714182</v>
      </c>
      <c r="Q30" s="4">
        <f>IF($C30=0," ",COUNTIFS($C:$C,1,P:P,"&gt;"&amp;P30)+1)</f>
        <v>5</v>
      </c>
      <c r="R30" s="17">
        <f>IF(I30&gt;K30,1-_xlfn.NORM.DIST(I30,K30,M30,1),_xlfn.NORM.DIST(I30,K30,M30,1))</f>
        <v>0.27038495596790424</v>
      </c>
      <c r="S30" s="32">
        <f>IF($C30=0," ",COUNTIFS($C:$C,1,R:R,"&gt;"&amp;R30)+1)</f>
        <v>15</v>
      </c>
      <c r="T30" s="6">
        <f>E30/K30</f>
        <v>220.84290168305336</v>
      </c>
      <c r="U30" s="4">
        <f>IF($C30=0," ",COUNTIFS($C:$C,1,T:T,"&lt;"&amp;T30)+1)</f>
        <v>15</v>
      </c>
      <c r="V30" s="4"/>
      <c r="X30" s="4"/>
      <c r="Y30" s="4"/>
    </row>
    <row r="31" spans="1:25" x14ac:dyDescent="0.35">
      <c r="A31" s="4">
        <v>14</v>
      </c>
      <c r="B31" s="4" t="s">
        <v>15</v>
      </c>
      <c r="C31" s="4">
        <v>1</v>
      </c>
      <c r="D31" s="4">
        <f t="array" ref="D31">MAX(IF(Sales!B:B=A31,Sales!C:C))</f>
        <v>17</v>
      </c>
      <c r="E31" s="4">
        <f>SUMIF(Sales!B:B,A31,Sales!E:E)</f>
        <v>870</v>
      </c>
      <c r="F31" s="6">
        <f>IF($C31=0," ",COUNTIFS($C:$C,1,E:E,"&gt;"&amp;E31)+1)</f>
        <v>6</v>
      </c>
      <c r="G31" s="4">
        <f>SUMIF(Sales!B:B,A31,Sales!D:D)</f>
        <v>83</v>
      </c>
      <c r="H31" s="4">
        <f>IF($C31=0," ",COUNTIFS($C:$C,1,G:G,"&gt;"&amp;G31)+1)</f>
        <v>6</v>
      </c>
      <c r="I31" s="4">
        <f>SUMIF(Prizes!B:B,A31,Prizes!D:D)</f>
        <v>6</v>
      </c>
      <c r="J31" s="4">
        <f>IF($C31=0," ",COUNTIFS($C:$C,1,I:I,"&gt;"&amp;I31)+1)</f>
        <v>2</v>
      </c>
      <c r="K31" s="5">
        <f>SUMIF(Sales!B:B,A31,Sales!F:F)</f>
        <v>3.9591223614176658</v>
      </c>
      <c r="L31" s="6">
        <f>IF($C31=0," ",COUNTIFS($C:$C,1,K:K,"&gt;"&amp;K31)+1)</f>
        <v>7</v>
      </c>
      <c r="M31" s="5">
        <f>SQRT(SUMIF(Sales!B:B,A31,Sales!G:G))</f>
        <v>1.873786234080935</v>
      </c>
      <c r="N31" s="5">
        <f>I31-K31</f>
        <v>2.0408776385823342</v>
      </c>
      <c r="O31" s="6">
        <f>IF($C31=0," ",COUNTIFS($C:$C,1,N:N,"&gt;"&amp;N31)+1)</f>
        <v>1</v>
      </c>
      <c r="P31" s="5">
        <f>N31/M31</f>
        <v>1.0891731412379357</v>
      </c>
      <c r="Q31" s="4">
        <f>IF($C31=0," ",COUNTIFS($C:$C,1,P:P,"&gt;"&amp;P31)+1)</f>
        <v>3</v>
      </c>
      <c r="R31" s="17">
        <f>IF(I31&gt;K31,1-_xlfn.NORM.DIST(I31,K31,M31,1),_xlfn.NORM.DIST(I31,K31,M31,1))</f>
        <v>0.13803877038073276</v>
      </c>
      <c r="S31" s="32">
        <f>IF($C31=0," ",COUNTIFS($C:$C,1,R:R,"&gt;"&amp;R31)+1)</f>
        <v>25</v>
      </c>
      <c r="T31" s="6">
        <f>E31/K31</f>
        <v>219.74567103010023</v>
      </c>
      <c r="U31" s="4">
        <f>IF($C31=0," ",COUNTIFS($C:$C,1,T:T,"&lt;"&amp;T31)+1)</f>
        <v>14</v>
      </c>
      <c r="V31" s="4"/>
      <c r="X31" s="4"/>
      <c r="Y31" s="4"/>
    </row>
    <row r="32" spans="1:25" x14ac:dyDescent="0.35">
      <c r="A32" s="4">
        <v>37</v>
      </c>
      <c r="B32" s="4" t="s">
        <v>80</v>
      </c>
      <c r="C32" s="4">
        <v>1</v>
      </c>
      <c r="D32" s="4">
        <f t="array" ref="D32">MAX(IF(Sales!B:B=A32,Sales!C:C))</f>
        <v>17</v>
      </c>
      <c r="E32" s="4">
        <f>SUMIF(Sales!B:B,A32,Sales!E:E)</f>
        <v>1100</v>
      </c>
      <c r="F32" s="6">
        <f>IF($C32=0," ",COUNTIFS($C:$C,1,E:E,"&gt;"&amp;E32)+1)</f>
        <v>4</v>
      </c>
      <c r="G32" s="4">
        <f>SUMIF(Sales!B:B,A32,Sales!D:D)</f>
        <v>111</v>
      </c>
      <c r="H32" s="4">
        <f>IF($C32=0," ",COUNTIFS($C:$C,1,G:G,"&gt;"&amp;G32)+1)</f>
        <v>4</v>
      </c>
      <c r="I32" s="4">
        <f>SUMIF(Prizes!B:B,A32,Prizes!D:D)</f>
        <v>3</v>
      </c>
      <c r="J32" s="4">
        <f>IF($C32=0," ",COUNTIFS($C:$C,1,I:I,"&gt;"&amp;I32)+1)</f>
        <v>7</v>
      </c>
      <c r="K32" s="5">
        <f>SUMIF(Sales!B:B,A32,Sales!F:F)</f>
        <v>5.1108409390421672</v>
      </c>
      <c r="L32" s="6">
        <f>IF($C32=0," ",COUNTIFS($C:$C,1,K:K,"&gt;"&amp;K32)+1)</f>
        <v>4</v>
      </c>
      <c r="M32" s="5">
        <f>SQRT(SUMIF(Sales!B:B,A32,Sales!G:G))</f>
        <v>2.1127246933270052</v>
      </c>
      <c r="N32" s="5">
        <f>I32-K32</f>
        <v>-2.1108409390421672</v>
      </c>
      <c r="O32" s="6">
        <f>IF($C32=0," ",COUNTIFS($C:$C,1,N:N,"&gt;"&amp;N32)+1)</f>
        <v>28</v>
      </c>
      <c r="P32" s="5">
        <f>N32/M32</f>
        <v>-0.99910837683168674</v>
      </c>
      <c r="Q32" s="4">
        <f>IF($C32=0," ",COUNTIFS($C:$C,1,P:P,"&gt;"&amp;P32)+1)</f>
        <v>27</v>
      </c>
      <c r="R32" s="17">
        <f>IF(I32&gt;K32,1-_xlfn.NORM.DIST(I32,K32,M32,1),_xlfn.NORM.DIST(I32,K32,M32,1))</f>
        <v>0.15887109681785896</v>
      </c>
      <c r="S32" s="32">
        <f>IF($C32=0," ",COUNTIFS($C:$C,1,R:R,"&gt;"&amp;R32)+1)</f>
        <v>23</v>
      </c>
      <c r="T32" s="6">
        <f>E32/K32</f>
        <v>215.22876824379378</v>
      </c>
      <c r="U32" s="4">
        <f>IF($C32=0," ",COUNTIFS($C:$C,1,T:T,"&lt;"&amp;T32)+1)</f>
        <v>13</v>
      </c>
      <c r="V32" s="4"/>
      <c r="X32" s="4"/>
      <c r="Y32" s="4"/>
    </row>
    <row r="33" spans="1:25" x14ac:dyDescent="0.35">
      <c r="A33" s="4">
        <v>18</v>
      </c>
      <c r="B33" s="4" t="s">
        <v>25</v>
      </c>
      <c r="C33" s="4">
        <v>0</v>
      </c>
      <c r="D33" s="4">
        <f t="array" ref="D33">MAX(IF(Sales!B:B=A33,Sales!C:C))</f>
        <v>11</v>
      </c>
      <c r="E33" s="4">
        <f>SUMIF(Sales!B:B,A33,Sales!E:E)</f>
        <v>150</v>
      </c>
      <c r="F33" s="6" t="str">
        <f>IF($C33=0," ",COUNTIFS($C:$C,1,E:E,"&gt;"&amp;E33)+1)</f>
        <v xml:space="preserve"> </v>
      </c>
      <c r="G33" s="4">
        <f>SUMIF(Sales!B:B,A33,Sales!D:D)</f>
        <v>11</v>
      </c>
      <c r="H33" s="4" t="str">
        <f>IF($C33=0," ",COUNTIFS($C:$C,1,G:G,"&gt;"&amp;G33)+1)</f>
        <v xml:space="preserve"> </v>
      </c>
      <c r="I33" s="4">
        <f>SUMIF(Prizes!B:B,A33,Prizes!D:D)</f>
        <v>1</v>
      </c>
      <c r="J33" s="4" t="str">
        <f>IF($C33=0," ",COUNTIFS($C:$C,1,I:I,"&gt;"&amp;I33)+1)</f>
        <v xml:space="preserve"> </v>
      </c>
      <c r="K33" s="5">
        <f>SUMIF(Sales!B:B,A33,Sales!F:F)</f>
        <v>0.70284369885433717</v>
      </c>
      <c r="L33" s="6" t="str">
        <f>IF($C33=0," ",COUNTIFS($C:$C,1,K:K,"&gt;"&amp;K33)+1)</f>
        <v xml:space="preserve"> </v>
      </c>
      <c r="M33" s="5">
        <f>SQRT(SUMIF(Sales!B:B,A33,Sales!G:G))</f>
        <v>0.78059289122728581</v>
      </c>
      <c r="N33" s="5">
        <f>I33-K33</f>
        <v>0.29715630114566283</v>
      </c>
      <c r="O33" s="6" t="str">
        <f>IF($C33=0," ",COUNTIFS($C:$C,1,N:N,"&gt;"&amp;N33)+1)</f>
        <v xml:space="preserve"> </v>
      </c>
      <c r="P33" s="5">
        <f>N33/M33</f>
        <v>0.38068025533573507</v>
      </c>
      <c r="Q33" s="4" t="str">
        <f>IF($C33=0," ",COUNTIFS($C:$C,1,P:P,"&gt;"&amp;P33)+1)</f>
        <v xml:space="preserve"> </v>
      </c>
      <c r="R33" s="17">
        <f>IF(I33&gt;K33,1-_xlfn.NORM.DIST(I33,K33,M33,1),_xlfn.NORM.DIST(I33,K33,M33,1))</f>
        <v>0.35172026081826924</v>
      </c>
      <c r="S33" s="32" t="str">
        <f>IF($C33=0," ",COUNTIFS($C:$C,1,R:R,"&gt;"&amp;R33)+1)</f>
        <v xml:space="preserve"> </v>
      </c>
      <c r="T33" s="6">
        <f>E33/K33</f>
        <v>213.41871634405473</v>
      </c>
      <c r="U33" s="4" t="str">
        <f>IF($C33=0," ",COUNTIFS($C:$C,1,T:T,"&lt;"&amp;T33)+1)</f>
        <v xml:space="preserve"> </v>
      </c>
      <c r="V33" s="4"/>
      <c r="X33" s="4"/>
      <c r="Y33" s="4"/>
    </row>
    <row r="34" spans="1:25" x14ac:dyDescent="0.35">
      <c r="A34" s="4">
        <v>33</v>
      </c>
      <c r="B34" s="4" t="s">
        <v>76</v>
      </c>
      <c r="C34" s="4">
        <v>1</v>
      </c>
      <c r="D34" s="4">
        <f t="array" ref="D34">MAX(IF(Sales!B:B=A34,Sales!C:C))</f>
        <v>17</v>
      </c>
      <c r="E34" s="4">
        <f>SUMIF(Sales!B:B,A34,Sales!E:E)</f>
        <v>1010</v>
      </c>
      <c r="F34" s="6">
        <f>IF($C34=0," ",COUNTIFS($C:$C,1,E:E,"&gt;"&amp;E34)+1)</f>
        <v>5</v>
      </c>
      <c r="G34" s="4">
        <f>SUMIF(Sales!B:B,A34,Sales!D:D)</f>
        <v>102</v>
      </c>
      <c r="H34" s="4">
        <f>IF($C34=0," ",COUNTIFS($C:$C,1,G:G,"&gt;"&amp;G34)+1)</f>
        <v>5</v>
      </c>
      <c r="I34" s="4">
        <f>SUMIF(Prizes!B:B,A34,Prizes!D:D)</f>
        <v>3</v>
      </c>
      <c r="J34" s="4">
        <f>IF($C34=0," ",COUNTIFS($C:$C,1,I:I,"&gt;"&amp;I34)+1)</f>
        <v>7</v>
      </c>
      <c r="K34" s="5">
        <f>SUMIF(Sales!B:B,A34,Sales!F:F)</f>
        <v>4.7472045754058039</v>
      </c>
      <c r="L34" s="6">
        <f>IF($C34=0," ",COUNTIFS($C:$C,1,K:K,"&gt;"&amp;K34)+1)</f>
        <v>5</v>
      </c>
      <c r="M34" s="5">
        <f>SQRT(SUMIF(Sales!B:B,A34,Sales!G:G))</f>
        <v>2.0431283905125053</v>
      </c>
      <c r="N34" s="5">
        <f>I34-K34</f>
        <v>-1.7472045754058039</v>
      </c>
      <c r="O34" s="6">
        <f>IF($C34=0," ",COUNTIFS($C:$C,1,N:N,"&gt;"&amp;N34)+1)</f>
        <v>26</v>
      </c>
      <c r="P34" s="5">
        <f>N34/M34</f>
        <v>-0.85516141986922767</v>
      </c>
      <c r="Q34" s="4">
        <f>IF($C34=0," ",COUNTIFS($C:$C,1,P:P,"&gt;"&amp;P34)+1)</f>
        <v>22</v>
      </c>
      <c r="R34" s="17">
        <f>IF(I34&gt;K34,1-_xlfn.NORM.DIST(I34,K34,M34,1),_xlfn.NORM.DIST(I34,K34,M34,1))</f>
        <v>0.19623089553500958</v>
      </c>
      <c r="S34" s="32">
        <f>IF($C34=0," ",COUNTIFS($C:$C,1,R:R,"&gt;"&amp;R34)+1)</f>
        <v>18</v>
      </c>
      <c r="T34" s="6">
        <f>E34/K34</f>
        <v>212.75678853879231</v>
      </c>
      <c r="U34" s="4">
        <f>IF($C34=0," ",COUNTIFS($C:$C,1,T:T,"&lt;"&amp;T34)+1)</f>
        <v>12</v>
      </c>
      <c r="V34" s="4"/>
      <c r="X34" s="4"/>
      <c r="Y34" s="4"/>
    </row>
    <row r="35" spans="1:25" x14ac:dyDescent="0.35">
      <c r="A35" s="4">
        <v>43</v>
      </c>
      <c r="B35" s="4" t="s">
        <v>82</v>
      </c>
      <c r="C35" s="4">
        <v>1</v>
      </c>
      <c r="D35" s="4">
        <f t="array" ref="D35">MAX(IF(Sales!B:B=A35,Sales!C:C))</f>
        <v>17</v>
      </c>
      <c r="E35" s="8">
        <f>SUMIF(Sales!B:B,A35,Sales!E:E)</f>
        <v>150</v>
      </c>
      <c r="F35" s="30">
        <f>IF($C35=0," ",COUNTIFS($C:$C,1,E:E,"&gt;"&amp;E35)+1)</f>
        <v>22</v>
      </c>
      <c r="G35" s="8">
        <f>SUMIF(Sales!B:B,A35,Sales!D:D)</f>
        <v>15</v>
      </c>
      <c r="H35" s="8">
        <f>IF($C35=0," ",COUNTIFS($C:$C,1,G:G,"&gt;"&amp;G35)+1)</f>
        <v>21</v>
      </c>
      <c r="I35" s="8">
        <f>SUMIF(Prizes!B:B,A35,Prizes!D:D)</f>
        <v>1</v>
      </c>
      <c r="J35" s="8">
        <f>IF($C35=0," ",COUNTIFS($C:$C,1,I:I,"&gt;"&amp;I35)+1)</f>
        <v>16</v>
      </c>
      <c r="K35" s="9">
        <f>SUMIF(Sales!B:B,A35,Sales!F:F)</f>
        <v>0.71021727706824467</v>
      </c>
      <c r="L35" s="30">
        <f>IF($C35=0," ",COUNTIFS($C:$C,1,K:K,"&gt;"&amp;K35)+1)</f>
        <v>23</v>
      </c>
      <c r="M35" s="9">
        <f>SQRT(SUMIF(Sales!B:B,A35,Sales!G:G))</f>
        <v>0.80744444630262557</v>
      </c>
      <c r="N35" s="9">
        <f>I35-K35</f>
        <v>0.28978272293175533</v>
      </c>
      <c r="O35" s="30">
        <f>IF($C35=0," ",COUNTIFS($C:$C,1,N:N,"&gt;"&amp;N35)+1)</f>
        <v>8</v>
      </c>
      <c r="P35" s="5">
        <f>N35/M35</f>
        <v>0.35888874368843748</v>
      </c>
      <c r="Q35" s="10">
        <f>IF($C35=0," ",COUNTIFS($C:$C,1,P:P,"&gt;"&amp;P35)+1)</f>
        <v>8</v>
      </c>
      <c r="R35" s="17">
        <f>IF(I35&gt;K35,1-_xlfn.NORM.DIST(I35,K35,M35,1),_xlfn.NORM.DIST(I35,K35,M35,1))</f>
        <v>0.35983916034069385</v>
      </c>
      <c r="S35" s="32">
        <f>IF($C35=0," ",COUNTIFS($C:$C,1,R:R,"&gt;"&amp;R35)+1)</f>
        <v>10</v>
      </c>
      <c r="T35" s="6">
        <f>E35/K35</f>
        <v>211.20297244696079</v>
      </c>
      <c r="U35" s="4">
        <f>IF($C35=0," ",COUNTIFS($C:$C,1,T:T,"&lt;"&amp;T35)+1)</f>
        <v>11</v>
      </c>
      <c r="V35" s="4"/>
      <c r="X35" s="4"/>
      <c r="Y35" s="4"/>
    </row>
    <row r="36" spans="1:25" x14ac:dyDescent="0.35">
      <c r="A36" s="4">
        <v>45</v>
      </c>
      <c r="B36" s="4" t="s">
        <v>97</v>
      </c>
      <c r="C36" s="4">
        <v>1</v>
      </c>
      <c r="D36" s="4">
        <f t="array" ref="D36">MAX(IF(Sales!B:B=A36,Sales!C:C))</f>
        <v>17</v>
      </c>
      <c r="E36" s="10">
        <f>SUMIF(Sales!B:B,A36,Sales!E:E)</f>
        <v>100</v>
      </c>
      <c r="F36" s="6">
        <f>IF($C36=0," ",COUNTIFS($C:$C,1,E:E,"&gt;"&amp;E36)+1)</f>
        <v>25</v>
      </c>
      <c r="G36" s="10">
        <f>SUMIF(Sales!B:B,A36,Sales!D:D)</f>
        <v>10</v>
      </c>
      <c r="H36" s="10">
        <f>IF($C36=0," ",COUNTIFS($C:$C,1,G:G,"&gt;"&amp;G36)+1)</f>
        <v>25</v>
      </c>
      <c r="I36" s="10">
        <f>SUMIF(Prizes!B:B,A36,Prizes!D:D)</f>
        <v>0</v>
      </c>
      <c r="J36" s="10">
        <f>IF($C36=0," ",COUNTIFS($C:$C,1,I:I,"&gt;"&amp;I36)+1)</f>
        <v>23</v>
      </c>
      <c r="K36" s="5">
        <f>SUMIF(Sales!B:B,A36,Sales!F:F)</f>
        <v>0.47503941145559642</v>
      </c>
      <c r="L36" s="6">
        <f>IF($C36=0," ",COUNTIFS($C:$C,1,K:K,"&gt;"&amp;K36)+1)</f>
        <v>25</v>
      </c>
      <c r="M36" s="5">
        <f>SQRT(SUMIF(Sales!B:B,A36,Sales!G:G))</f>
        <v>0.6618159463628458</v>
      </c>
      <c r="N36" s="5">
        <f>I36-K36</f>
        <v>-0.47503941145559642</v>
      </c>
      <c r="O36" s="6">
        <f>IF($C36=0," ",COUNTIFS($C:$C,1,N:N,"&gt;"&amp;N36)+1)</f>
        <v>16</v>
      </c>
      <c r="P36" s="5">
        <f>N36/M36</f>
        <v>-0.7177817549823019</v>
      </c>
      <c r="Q36" s="10">
        <f>IF($C36=0," ",COUNTIFS($C:$C,1,P:P,"&gt;"&amp;P36)+1)</f>
        <v>21</v>
      </c>
      <c r="R36" s="17">
        <f>IF(I36&gt;K36,1-_xlfn.NORM.DIST(I36,K36,M36,1),_xlfn.NORM.DIST(I36,K36,M36,1))</f>
        <v>0.23644593236757375</v>
      </c>
      <c r="S36" s="32">
        <f>IF($C36=0," ",COUNTIFS($C:$C,1,R:R,"&gt;"&amp;R36)+1)</f>
        <v>17</v>
      </c>
      <c r="T36" s="6">
        <f>E36/K36</f>
        <v>210.50884955752213</v>
      </c>
      <c r="U36" s="10">
        <f>IF($C36=0," ",COUNTIFS($C:$C,1,T:T,"&lt;"&amp;T36)+1)</f>
        <v>10</v>
      </c>
      <c r="V36" s="4"/>
      <c r="X36" s="4"/>
      <c r="Y36" s="4"/>
    </row>
    <row r="37" spans="1:25" x14ac:dyDescent="0.35">
      <c r="A37" s="4">
        <v>15</v>
      </c>
      <c r="B37" s="4" t="s">
        <v>16</v>
      </c>
      <c r="C37" s="4">
        <v>1</v>
      </c>
      <c r="D37" s="4">
        <f t="array" ref="D37">MAX(IF(Sales!B:B=A37,Sales!C:C))</f>
        <v>17</v>
      </c>
      <c r="E37" s="4">
        <f>SUMIF(Sales!B:B,A37,Sales!E:E)</f>
        <v>860</v>
      </c>
      <c r="F37" s="6">
        <f>IF($C37=0," ",COUNTIFS($C:$C,1,E:E,"&gt;"&amp;E37)+1)</f>
        <v>7</v>
      </c>
      <c r="G37" s="4">
        <f>SUMIF(Sales!B:B,A37,Sales!D:D)</f>
        <v>76</v>
      </c>
      <c r="H37" s="4">
        <f>IF($C37=0," ",COUNTIFS($C:$C,1,G:G,"&gt;"&amp;G37)+1)</f>
        <v>7</v>
      </c>
      <c r="I37" s="4">
        <f>SUMIF(Prizes!B:B,A37,Prizes!D:D)</f>
        <v>5</v>
      </c>
      <c r="J37" s="4">
        <f>IF($C37=0," ",COUNTIFS($C:$C,1,I:I,"&gt;"&amp;I37)+1)</f>
        <v>3</v>
      </c>
      <c r="K37" s="5">
        <f>SUMIF(Sales!B:B,A37,Sales!F:F)</f>
        <v>4.1429594525184577</v>
      </c>
      <c r="L37" s="6">
        <f>IF($C37=0," ",COUNTIFS($C:$C,1,K:K,"&gt;"&amp;K37)+1)</f>
        <v>6</v>
      </c>
      <c r="M37" s="5">
        <f>SQRT(SUMIF(Sales!B:B,A37,Sales!G:G))</f>
        <v>1.9107563812354875</v>
      </c>
      <c r="N37" s="5">
        <f>I37-K37</f>
        <v>0.85704054748154235</v>
      </c>
      <c r="O37" s="6">
        <f>IF($C37=0," ",COUNTIFS($C:$C,1,N:N,"&gt;"&amp;N37)+1)</f>
        <v>4</v>
      </c>
      <c r="P37" s="5">
        <f>N37/M37</f>
        <v>0.4485347037948309</v>
      </c>
      <c r="Q37" s="4">
        <f>IF($C37=0," ",COUNTIFS($C:$C,1,P:P,"&gt;"&amp;P37)+1)</f>
        <v>7</v>
      </c>
      <c r="R37" s="17">
        <f>IF(I37&gt;K37,1-_xlfn.NORM.DIST(I37,K37,M37,1),_xlfn.NORM.DIST(I37,K37,M37,1))</f>
        <v>0.32688367309613042</v>
      </c>
      <c r="S37" s="32">
        <f>IF($C37=0," ",COUNTIFS($C:$C,1,R:R,"&gt;"&amp;R37)+1)</f>
        <v>13</v>
      </c>
      <c r="T37" s="6">
        <f>E37/K37</f>
        <v>207.58108059136708</v>
      </c>
      <c r="U37" s="4">
        <f>IF($C37=0," ",COUNTIFS($C:$C,1,T:T,"&lt;"&amp;T37)+1)</f>
        <v>9</v>
      </c>
      <c r="V37" s="4"/>
      <c r="X37" s="4"/>
      <c r="Y37" s="4"/>
    </row>
    <row r="38" spans="1:25" x14ac:dyDescent="0.35">
      <c r="A38" s="4">
        <v>47</v>
      </c>
      <c r="B38" s="4" t="s">
        <v>7</v>
      </c>
      <c r="C38" s="4">
        <v>1</v>
      </c>
      <c r="D38" s="4">
        <f t="array" ref="D38">MAX(IF(Sales!B:B=A38,Sales!C:C))</f>
        <v>17</v>
      </c>
      <c r="E38" s="28">
        <f>SUMIF(Sales!B:B,A38,Sales!E:E)</f>
        <v>150</v>
      </c>
      <c r="F38" s="31">
        <f>IF($C38=0," ",COUNTIFS($C:$C,1,E:E,"&gt;"&amp;E38)+1)</f>
        <v>22</v>
      </c>
      <c r="G38" s="28">
        <f>SUMIF(Sales!B:B,A38,Sales!D:D)</f>
        <v>15</v>
      </c>
      <c r="H38" s="28">
        <f>IF($C38=0," ",COUNTIFS($C:$C,1,G:G,"&gt;"&amp;G38)+1)</f>
        <v>21</v>
      </c>
      <c r="I38" s="28">
        <f>SUMIF(Prizes!B:B,A38,Prizes!D:D)</f>
        <v>0</v>
      </c>
      <c r="J38" s="28">
        <f>IF($C38=0," ",COUNTIFS($C:$C,1,I:I,"&gt;"&amp;I38)+1)</f>
        <v>23</v>
      </c>
      <c r="K38" s="29">
        <f>SUMIF(Sales!B:B,A38,Sales!F:F)</f>
        <v>0.73071123397838655</v>
      </c>
      <c r="L38" s="31">
        <f>IF($C38=0," ",COUNTIFS($C:$C,1,K:K,"&gt;"&amp;K38)+1)</f>
        <v>22</v>
      </c>
      <c r="M38" s="29">
        <f>SQRT(SUMIF(Sales!B:B,A38,Sales!G:G))</f>
        <v>0.81200886153836094</v>
      </c>
      <c r="N38" s="29">
        <f>I38-K38</f>
        <v>-0.73071123397838655</v>
      </c>
      <c r="O38" s="31">
        <f>IF($C38=0," ",COUNTIFS($C:$C,1,N:N,"&gt;"&amp;N38)+1)</f>
        <v>21</v>
      </c>
      <c r="P38" s="5">
        <f>N38/M38</f>
        <v>-0.89988086163745185</v>
      </c>
      <c r="Q38" s="10">
        <f>IF($C38=0," ",COUNTIFS($C:$C,1,P:P,"&gt;"&amp;P38)+1)</f>
        <v>24</v>
      </c>
      <c r="R38" s="17">
        <f>IF(I38&gt;K38,1-_xlfn.NORM.DIST(I38,K38,M38,1),_xlfn.NORM.DIST(I38,K38,M38,1))</f>
        <v>0.18409182800727661</v>
      </c>
      <c r="S38" s="32">
        <f>IF($C38=0," ",COUNTIFS($C:$C,1,R:R,"&gt;"&amp;R38)+1)</f>
        <v>20</v>
      </c>
      <c r="T38" s="6">
        <f>E38/K38</f>
        <v>205.27944969905417</v>
      </c>
      <c r="U38" s="10">
        <f>IF($C38=0," ",COUNTIFS($C:$C,1,T:T,"&lt;"&amp;T38)+1)</f>
        <v>8</v>
      </c>
      <c r="V38" s="4"/>
      <c r="X38" s="4"/>
      <c r="Y38" s="4"/>
    </row>
    <row r="39" spans="1:25" x14ac:dyDescent="0.35">
      <c r="A39" s="4">
        <v>38</v>
      </c>
      <c r="B39" s="4" t="s">
        <v>58</v>
      </c>
      <c r="C39" s="4">
        <v>0</v>
      </c>
      <c r="D39" s="4">
        <f t="array" ref="D39">MAX(IF(Sales!B:B=A39,Sales!C:C))</f>
        <v>14</v>
      </c>
      <c r="E39" s="8">
        <f>SUMIF(Sales!B:B,A39,Sales!E:E)</f>
        <v>360</v>
      </c>
      <c r="F39" s="30" t="str">
        <f>IF($C39=0," ",COUNTIFS($C:$C,1,E:E,"&gt;"&amp;E39)+1)</f>
        <v xml:space="preserve"> </v>
      </c>
      <c r="G39" s="8">
        <f>SUMIF(Sales!B:B,A39,Sales!D:D)</f>
        <v>37</v>
      </c>
      <c r="H39" s="8" t="str">
        <f>IF($C39=0," ",COUNTIFS($C:$C,1,G:G,"&gt;"&amp;G39)+1)</f>
        <v xml:space="preserve"> </v>
      </c>
      <c r="I39" s="8">
        <f>SUMIF(Prizes!B:B,A39,Prizes!D:D)</f>
        <v>4</v>
      </c>
      <c r="J39" s="8" t="str">
        <f>IF($C39=0," ",COUNTIFS($C:$C,1,I:I,"&gt;"&amp;I39)+1)</f>
        <v xml:space="preserve"> </v>
      </c>
      <c r="K39" s="9">
        <f>SUMIF(Sales!B:B,A39,Sales!F:F)</f>
        <v>1.7654362892118982</v>
      </c>
      <c r="L39" s="30" t="str">
        <f>IF($C39=0," ",COUNTIFS($C:$C,1,K:K,"&gt;"&amp;K39)+1)</f>
        <v xml:space="preserve"> </v>
      </c>
      <c r="M39" s="9">
        <f>SQRT(SUMIF(Sales!B:B,A39,Sales!G:G))</f>
        <v>1.2439598119364987</v>
      </c>
      <c r="N39" s="9">
        <f>I39-K39</f>
        <v>2.2345637107881018</v>
      </c>
      <c r="O39" s="30" t="str">
        <f>IF($C39=0," ",COUNTIFS($C:$C,1,N:N,"&gt;"&amp;N39)+1)</f>
        <v xml:space="preserve"> </v>
      </c>
      <c r="P39" s="5">
        <f>N39/M39</f>
        <v>1.7963311108174056</v>
      </c>
      <c r="Q39" s="10" t="str">
        <f>IF($C39=0," ",COUNTIFS($C:$C,1,P:P,"&gt;"&amp;P39)+1)</f>
        <v xml:space="preserve"> </v>
      </c>
      <c r="R39" s="17">
        <f>IF(I39&gt;K39,1-_xlfn.NORM.DIST(I39,K39,M39,1),_xlfn.NORM.DIST(I39,K39,M39,1))</f>
        <v>3.6220936405928716E-2</v>
      </c>
      <c r="S39" s="32" t="str">
        <f>IF($C39=0," ",COUNTIFS($C:$C,1,R:R,"&gt;"&amp;R39)+1)</f>
        <v xml:space="preserve"> </v>
      </c>
      <c r="T39" s="6">
        <f>E39/K39</f>
        <v>203.9155999000713</v>
      </c>
      <c r="U39" s="4" t="str">
        <f>IF($C39=0," ",COUNTIFS($C:$C,1,T:T,"&lt;"&amp;T39)+1)</f>
        <v xml:space="preserve"> </v>
      </c>
      <c r="V39" s="4"/>
      <c r="X39" s="4"/>
      <c r="Y39" s="4"/>
    </row>
    <row r="40" spans="1:25" x14ac:dyDescent="0.35">
      <c r="A40" s="4">
        <v>34</v>
      </c>
      <c r="B40" s="4" t="s">
        <v>46</v>
      </c>
      <c r="C40" s="4">
        <v>1</v>
      </c>
      <c r="D40" s="4">
        <f t="array" ref="D40">MAX(IF(Sales!B:B=A40,Sales!C:C))</f>
        <v>17</v>
      </c>
      <c r="E40" s="4">
        <f>SUMIF(Sales!B:B,A40,Sales!E:E)</f>
        <v>500</v>
      </c>
      <c r="F40" s="6">
        <f>IF($C40=0," ",COUNTIFS($C:$C,1,E:E,"&gt;"&amp;E40)+1)</f>
        <v>13</v>
      </c>
      <c r="G40" s="4">
        <f>SUMIF(Sales!B:B,A40,Sales!D:D)</f>
        <v>51</v>
      </c>
      <c r="H40" s="4">
        <f>IF($C40=0," ",COUNTIFS($C:$C,1,G:G,"&gt;"&amp;G40)+1)</f>
        <v>11</v>
      </c>
      <c r="I40" s="4">
        <f>SUMIF(Prizes!B:B,A40,Prizes!D:D)</f>
        <v>1</v>
      </c>
      <c r="J40" s="4">
        <f>IF($C40=0," ",COUNTIFS($C:$C,1,I:I,"&gt;"&amp;I40)+1)</f>
        <v>16</v>
      </c>
      <c r="K40" s="5">
        <f>SUMIF(Sales!B:B,A40,Sales!F:F)</f>
        <v>2.4708050849056993</v>
      </c>
      <c r="L40" s="6">
        <f>IF($C40=0," ",COUNTIFS($C:$C,1,K:K,"&gt;"&amp;K40)+1)</f>
        <v>12</v>
      </c>
      <c r="M40" s="5">
        <f>SQRT(SUMIF(Sales!B:B,A40,Sales!G:G))</f>
        <v>1.4982611058840944</v>
      </c>
      <c r="N40" s="5">
        <f>I40-K40</f>
        <v>-1.4708050849056993</v>
      </c>
      <c r="O40" s="6">
        <f>IF($C40=0," ",COUNTIFS($C:$C,1,N:N,"&gt;"&amp;N40)+1)</f>
        <v>25</v>
      </c>
      <c r="P40" s="5">
        <f>N40/M40</f>
        <v>-0.98167474222579254</v>
      </c>
      <c r="Q40" s="4">
        <f>IF($C40=0," ",COUNTIFS($C:$C,1,P:P,"&gt;"&amp;P40)+1)</f>
        <v>26</v>
      </c>
      <c r="R40" s="17">
        <f>IF(I40&gt;K40,1-_xlfn.NORM.DIST(I40,K40,M40,1),_xlfn.NORM.DIST(I40,K40,M40,1))</f>
        <v>0.16313005625806695</v>
      </c>
      <c r="S40" s="32">
        <f>IF($C40=0," ",COUNTIFS($C:$C,1,R:R,"&gt;"&amp;R40)+1)</f>
        <v>22</v>
      </c>
      <c r="T40" s="6">
        <f>E40/K40</f>
        <v>202.36319046554132</v>
      </c>
      <c r="U40" s="4">
        <f>IF($C40=0," ",COUNTIFS($C:$C,1,T:T,"&lt;"&amp;T40)+1)</f>
        <v>7</v>
      </c>
      <c r="V40" s="4"/>
      <c r="X40" s="4"/>
      <c r="Y40" s="4"/>
    </row>
    <row r="41" spans="1:25" x14ac:dyDescent="0.35">
      <c r="A41" s="4">
        <v>3</v>
      </c>
      <c r="B41" s="4" t="s">
        <v>4</v>
      </c>
      <c r="C41" s="4">
        <v>1</v>
      </c>
      <c r="D41" s="4">
        <f t="array" ref="D41">MAX(IF(Sales!B:B=A41,Sales!C:C))</f>
        <v>14</v>
      </c>
      <c r="E41" s="4">
        <f>SUMIF(Sales!B:B,A41,Sales!E:E)</f>
        <v>350</v>
      </c>
      <c r="F41" s="6">
        <f>IF($C41=0," ",COUNTIFS($C:$C,1,E:E,"&gt;"&amp;E41)+1)</f>
        <v>17</v>
      </c>
      <c r="G41" s="4">
        <f>SUMIF(Sales!B:B,A41,Sales!D:D)</f>
        <v>26</v>
      </c>
      <c r="H41" s="4">
        <f>IF($C41=0," ",COUNTIFS($C:$C,1,G:G,"&gt;"&amp;G41)+1)</f>
        <v>18</v>
      </c>
      <c r="I41" s="4">
        <f>SUMIF(Prizes!B:B,A41,Prizes!D:D)</f>
        <v>2</v>
      </c>
      <c r="J41" s="4">
        <f>IF($C41=0," ",COUNTIFS($C:$C,1,I:I,"&gt;"&amp;I41)+1)</f>
        <v>11</v>
      </c>
      <c r="K41" s="5">
        <f>SUMIF(Sales!B:B,A41,Sales!F:F)</f>
        <v>1.7386807932020698</v>
      </c>
      <c r="L41" s="6">
        <f>IF($C41=0," ",COUNTIFS($C:$C,1,K:K,"&gt;"&amp;K41)+1)</f>
        <v>17</v>
      </c>
      <c r="M41" s="5">
        <f>SQRT(SUMIF(Sales!B:B,A41,Sales!G:G))</f>
        <v>1.2196223879112047</v>
      </c>
      <c r="N41" s="5">
        <f>I41-K41</f>
        <v>0.26131920679793019</v>
      </c>
      <c r="O41" s="6">
        <f>IF($C41=0," ",COUNTIFS($C:$C,1,N:N,"&gt;"&amp;N41)+1)</f>
        <v>9</v>
      </c>
      <c r="P41" s="5">
        <f>N41/M41</f>
        <v>0.21426238923465521</v>
      </c>
      <c r="Q41" s="4">
        <f>IF($C41=0," ",COUNTIFS($C:$C,1,P:P,"&gt;"&amp;P41)+1)</f>
        <v>10</v>
      </c>
      <c r="R41" s="17">
        <f>IF(I41&gt;K41,1-_xlfn.NORM.DIST(I41,K41,M41,1),_xlfn.NORM.DIST(I41,K41,M41,1))</f>
        <v>0.41517122299034059</v>
      </c>
      <c r="S41" s="32">
        <f>IF($C41=0," ",COUNTIFS($C:$C,1,R:R,"&gt;"&amp;R41)+1)</f>
        <v>5</v>
      </c>
      <c r="T41" s="6">
        <f>E41/K41</f>
        <v>201.3020454176737</v>
      </c>
      <c r="U41" s="4">
        <f>IF($C41=0," ",COUNTIFS($C:$C,1,T:T,"&lt;"&amp;T41)+1)</f>
        <v>6</v>
      </c>
      <c r="V41" s="4"/>
      <c r="X41" s="4"/>
      <c r="Y41" s="4"/>
    </row>
    <row r="42" spans="1:25" x14ac:dyDescent="0.35">
      <c r="A42" s="4">
        <v>46</v>
      </c>
      <c r="B42" s="4" t="s">
        <v>98</v>
      </c>
      <c r="C42" s="4">
        <v>1</v>
      </c>
      <c r="D42" s="4">
        <f t="array" ref="D42">MAX(IF(Sales!B:B=A42,Sales!C:C))</f>
        <v>17</v>
      </c>
      <c r="E42" s="10">
        <f>SUMIF(Sales!B:B,A42,Sales!E:E)</f>
        <v>150</v>
      </c>
      <c r="F42" s="6">
        <f>IF($C42=0," ",COUNTIFS($C:$C,1,E:E,"&gt;"&amp;E42)+1)</f>
        <v>22</v>
      </c>
      <c r="G42" s="10">
        <f>SUMIF(Sales!B:B,A42,Sales!D:D)</f>
        <v>15</v>
      </c>
      <c r="H42" s="10">
        <f>IF($C42=0," ",COUNTIFS($C:$C,1,G:G,"&gt;"&amp;G42)+1)</f>
        <v>21</v>
      </c>
      <c r="I42" s="10">
        <f>SUMIF(Prizes!B:B,A42,Prizes!D:D)</f>
        <v>1</v>
      </c>
      <c r="J42" s="10">
        <f>IF($C42=0," ",COUNTIFS($C:$C,1,I:I,"&gt;"&amp;I42)+1)</f>
        <v>16</v>
      </c>
      <c r="K42" s="5">
        <f>SUMIF(Sales!B:B,A42,Sales!F:F)</f>
        <v>0.74776668418286918</v>
      </c>
      <c r="L42" s="6">
        <f>IF($C42=0," ",COUNTIFS($C:$C,1,K:K,"&gt;"&amp;K42)+1)</f>
        <v>21</v>
      </c>
      <c r="M42" s="5">
        <f>SQRT(SUMIF(Sales!B:B,A42,Sales!G:G))</f>
        <v>0.81408419631026008</v>
      </c>
      <c r="N42" s="5">
        <f>I42-K42</f>
        <v>0.25223331581713082</v>
      </c>
      <c r="O42" s="6">
        <f>IF($C42=0," ",COUNTIFS($C:$C,1,N:N,"&gt;"&amp;N42)+1)</f>
        <v>10</v>
      </c>
      <c r="P42" s="5">
        <f>N42/M42</f>
        <v>0.30983689028769795</v>
      </c>
      <c r="Q42" s="10">
        <f>IF($C42=0," ",COUNTIFS($C:$C,1,P:P,"&gt;"&amp;P42)+1)</f>
        <v>9</v>
      </c>
      <c r="R42" s="17">
        <f>IF(I42&gt;K42,1-_xlfn.NORM.DIST(I42,K42,M42,1),_xlfn.NORM.DIST(I42,K42,M42,1))</f>
        <v>0.37834249835702016</v>
      </c>
      <c r="S42" s="32">
        <f>IF($C42=0," ",COUNTIFS($C:$C,1,R:R,"&gt;"&amp;R42)+1)</f>
        <v>8</v>
      </c>
      <c r="T42" s="6">
        <f>E42/K42</f>
        <v>200.59732958538299</v>
      </c>
      <c r="U42" s="10">
        <f>IF($C42=0," ",COUNTIFS($C:$C,1,T:T,"&lt;"&amp;T42)+1)</f>
        <v>5</v>
      </c>
      <c r="V42" s="4"/>
      <c r="X42" s="4"/>
      <c r="Y42" s="4"/>
    </row>
    <row r="43" spans="1:25" x14ac:dyDescent="0.35">
      <c r="A43" s="4">
        <v>36</v>
      </c>
      <c r="B43" s="4" t="s">
        <v>48</v>
      </c>
      <c r="C43" s="4">
        <v>1</v>
      </c>
      <c r="D43" s="4">
        <f t="array" ref="D43">MAX(IF(Sales!B:B=A43,Sales!C:C))</f>
        <v>15</v>
      </c>
      <c r="E43" s="4">
        <f>SUMIF(Sales!B:B,A43,Sales!E:E)</f>
        <v>400</v>
      </c>
      <c r="F43" s="6">
        <f>IF($C43=0," ",COUNTIFS($C:$C,1,E:E,"&gt;"&amp;E43)+1)</f>
        <v>16</v>
      </c>
      <c r="G43" s="4">
        <f>SUMIF(Sales!B:B,A43,Sales!D:D)</f>
        <v>41</v>
      </c>
      <c r="H43" s="4">
        <f>IF($C43=0," ",COUNTIFS($C:$C,1,G:G,"&gt;"&amp;G43)+1)</f>
        <v>16</v>
      </c>
      <c r="I43" s="4">
        <f>SUMIF(Prizes!B:B,A43,Prizes!D:D)</f>
        <v>2</v>
      </c>
      <c r="J43" s="4">
        <f>IF($C43=0," ",COUNTIFS($C:$C,1,I:I,"&gt;"&amp;I43)+1)</f>
        <v>11</v>
      </c>
      <c r="K43" s="5">
        <f>SUMIF(Sales!B:B,A43,Sales!F:F)</f>
        <v>1.9957656734501028</v>
      </c>
      <c r="L43" s="6">
        <f>IF($C43=0," ",COUNTIFS($C:$C,1,K:K,"&gt;"&amp;K43)+1)</f>
        <v>16</v>
      </c>
      <c r="M43" s="5">
        <f>SQRT(SUMIF(Sales!B:B,A43,Sales!G:G))</f>
        <v>1.3441673982599343</v>
      </c>
      <c r="N43" s="5">
        <f>I43-K43</f>
        <v>4.2343265498971938E-3</v>
      </c>
      <c r="O43" s="6">
        <f>IF($C43=0," ",COUNTIFS($C:$C,1,N:N,"&gt;"&amp;N43)+1)</f>
        <v>11</v>
      </c>
      <c r="P43" s="5">
        <f>N43/M43</f>
        <v>3.1501482295870731E-3</v>
      </c>
      <c r="Q43" s="4">
        <f>IF($C43=0," ",COUNTIFS($C:$C,1,P:P,"&gt;"&amp;P43)+1)</f>
        <v>11</v>
      </c>
      <c r="R43" s="17">
        <f>IF(I43&gt;K43,1-_xlfn.NORM.DIST(I43,K43,M43,1),_xlfn.NORM.DIST(I43,K43,M43,1))</f>
        <v>0.49874327476019131</v>
      </c>
      <c r="S43" s="32">
        <f>IF($C43=0," ",COUNTIFS($C:$C,1,R:R,"&gt;"&amp;R43)+1)</f>
        <v>1</v>
      </c>
      <c r="T43" s="6">
        <f>E43/K43</f>
        <v>200.42433103306936</v>
      </c>
      <c r="U43" s="4">
        <f>IF($C43=0," ",COUNTIFS($C:$C,1,T:T,"&lt;"&amp;T43)+1)</f>
        <v>4</v>
      </c>
      <c r="V43" s="4"/>
      <c r="X43" s="4"/>
      <c r="Y43" s="4"/>
    </row>
    <row r="44" spans="1:25" x14ac:dyDescent="0.35">
      <c r="A44" s="4">
        <v>44</v>
      </c>
      <c r="B44" s="4" t="s">
        <v>83</v>
      </c>
      <c r="C44" s="4">
        <v>1</v>
      </c>
      <c r="D44" s="4">
        <f t="array" ref="D44">MAX(IF(Sales!B:B=A44,Sales!C:C))</f>
        <v>17</v>
      </c>
      <c r="E44" s="8">
        <f>SUMIF(Sales!B:B,A44,Sales!E:E)</f>
        <v>200</v>
      </c>
      <c r="F44" s="30">
        <f>IF($C44=0," ",COUNTIFS($C:$C,1,E:E,"&gt;"&amp;E44)+1)</f>
        <v>19</v>
      </c>
      <c r="G44" s="8">
        <f>SUMIF(Sales!B:B,A44,Sales!D:D)</f>
        <v>20</v>
      </c>
      <c r="H44" s="8">
        <f>IF($C44=0," ",COUNTIFS($C:$C,1,G:G,"&gt;"&amp;G44)+1)</f>
        <v>19</v>
      </c>
      <c r="I44" s="8">
        <f>SUMIF(Prizes!B:B,A44,Prizes!D:D)</f>
        <v>1</v>
      </c>
      <c r="J44" s="8">
        <f>IF($C44=0," ",COUNTIFS($C:$C,1,I:I,"&gt;"&amp;I44)+1)</f>
        <v>16</v>
      </c>
      <c r="K44" s="9">
        <f>SUMIF(Sales!B:B,A44,Sales!F:F)</f>
        <v>1.0034385067056593</v>
      </c>
      <c r="L44" s="30">
        <f>IF($C44=0," ",COUNTIFS($C:$C,1,K:K,"&gt;"&amp;K44)+1)</f>
        <v>19</v>
      </c>
      <c r="M44" s="9">
        <f>SQRT(SUMIF(Sales!B:B,A44,Sales!G:G))</f>
        <v>0.95275768171801667</v>
      </c>
      <c r="N44" s="9">
        <f>I44-K44</f>
        <v>-3.4385067056592611E-3</v>
      </c>
      <c r="O44" s="30">
        <f>IF($C44=0," ",COUNTIFS($C:$C,1,N:N,"&gt;"&amp;N44)+1)</f>
        <v>12</v>
      </c>
      <c r="P44" s="5">
        <f>N44/M44</f>
        <v>-3.6090044421987042E-3</v>
      </c>
      <c r="Q44" s="10">
        <f>IF($C44=0," ",COUNTIFS($C:$C,1,P:P,"&gt;"&amp;P44)+1)</f>
        <v>12</v>
      </c>
      <c r="R44" s="17">
        <f>IF(I44&gt;K44,1-_xlfn.NORM.DIST(I44,K44,M44,1),_xlfn.NORM.DIST(I44,K44,M44,1))</f>
        <v>0.49856021866335548</v>
      </c>
      <c r="S44" s="32">
        <f>IF($C44=0," ",COUNTIFS($C:$C,1,R:R,"&gt;"&amp;R44)+1)</f>
        <v>2</v>
      </c>
      <c r="T44" s="6">
        <f>E44/K44</f>
        <v>199.31465522148477</v>
      </c>
      <c r="U44" s="4">
        <f>IF($C44=0," ",COUNTIFS($C:$C,1,T:T,"&lt;"&amp;T44)+1)</f>
        <v>3</v>
      </c>
      <c r="V44" s="4"/>
      <c r="X44" s="4"/>
      <c r="Y44" s="4"/>
    </row>
    <row r="45" spans="1:25" x14ac:dyDescent="0.35">
      <c r="A45" s="4">
        <v>13</v>
      </c>
      <c r="B45" s="4" t="s">
        <v>14</v>
      </c>
      <c r="C45" s="4">
        <v>0</v>
      </c>
      <c r="D45" s="4">
        <f t="array" ref="D45">MAX(IF(Sales!B:B=A45,Sales!C:C))</f>
        <v>11</v>
      </c>
      <c r="E45" s="4">
        <f>SUMIF(Sales!B:B,A45,Sales!E:E)</f>
        <v>420</v>
      </c>
      <c r="F45" s="6" t="str">
        <f>IF($C45=0," ",COUNTIFS($C:$C,1,E:E,"&gt;"&amp;E45)+1)</f>
        <v xml:space="preserve"> </v>
      </c>
      <c r="G45" s="4">
        <f>SUMIF(Sales!B:B,A45,Sales!D:D)</f>
        <v>38</v>
      </c>
      <c r="H45" s="4" t="str">
        <f>IF($C45=0," ",COUNTIFS($C:$C,1,G:G,"&gt;"&amp;G45)+1)</f>
        <v xml:space="preserve"> </v>
      </c>
      <c r="I45" s="4">
        <f>SUMIF(Prizes!B:B,A45,Prizes!D:D)</f>
        <v>1</v>
      </c>
      <c r="J45" s="4" t="str">
        <f>IF($C45=0," ",COUNTIFS($C:$C,1,I:I,"&gt;"&amp;I45)+1)</f>
        <v xml:space="preserve"> </v>
      </c>
      <c r="K45" s="5">
        <f>SUMIF(Sales!B:B,A45,Sales!F:F)</f>
        <v>2.1292839623966007</v>
      </c>
      <c r="L45" s="6" t="str">
        <f>IF($C45=0," ",COUNTIFS($C:$C,1,K:K,"&gt;"&amp;K45)+1)</f>
        <v xml:space="preserve"> </v>
      </c>
      <c r="M45" s="5">
        <f>SQRT(SUMIF(Sales!B:B,A45,Sales!G:G))</f>
        <v>1.3555226273956775</v>
      </c>
      <c r="N45" s="5">
        <f>I45-K45</f>
        <v>-1.1292839623966007</v>
      </c>
      <c r="O45" s="6" t="str">
        <f>IF($C45=0," ",COUNTIFS($C:$C,1,N:N,"&gt;"&amp;N45)+1)</f>
        <v xml:space="preserve"> </v>
      </c>
      <c r="P45" s="5">
        <f>N45/M45</f>
        <v>-0.83309856993406151</v>
      </c>
      <c r="Q45" s="4" t="str">
        <f>IF($C45=0," ",COUNTIFS($C:$C,1,P:P,"&gt;"&amp;P45)+1)</f>
        <v xml:space="preserve"> </v>
      </c>
      <c r="R45" s="17">
        <f>IF(I45&gt;K45,1-_xlfn.NORM.DIST(I45,K45,M45,1),_xlfn.NORM.DIST(I45,K45,M45,1))</f>
        <v>0.20239457002747768</v>
      </c>
      <c r="S45" s="32" t="str">
        <f>IF($C45=0," ",COUNTIFS($C:$C,1,R:R,"&gt;"&amp;R45)+1)</f>
        <v xml:space="preserve"> </v>
      </c>
      <c r="T45" s="6">
        <f>E45/K45</f>
        <v>197.2494075084621</v>
      </c>
      <c r="U45" s="4" t="str">
        <f>IF($C45=0," ",COUNTIFS($C:$C,1,T:T,"&lt;"&amp;T45)+1)</f>
        <v xml:space="preserve"> </v>
      </c>
      <c r="V45" s="4"/>
      <c r="X45" s="4"/>
      <c r="Y45" s="4"/>
    </row>
    <row r="46" spans="1:25" x14ac:dyDescent="0.35">
      <c r="A46" s="4">
        <v>35</v>
      </c>
      <c r="B46" s="4" t="s">
        <v>47</v>
      </c>
      <c r="C46" s="4">
        <v>1</v>
      </c>
      <c r="D46" s="4">
        <f t="array" ref="D46">MAX(IF(Sales!B:B=A46,Sales!C:C))</f>
        <v>17</v>
      </c>
      <c r="E46" s="4">
        <f>SUMIF(Sales!B:B,A46,Sales!E:E)</f>
        <v>450</v>
      </c>
      <c r="F46" s="6">
        <f>IF($C46=0," ",COUNTIFS($C:$C,1,E:E,"&gt;"&amp;E46)+1)</f>
        <v>15</v>
      </c>
      <c r="G46" s="4">
        <f>SUMIF(Sales!B:B,A46,Sales!D:D)</f>
        <v>46</v>
      </c>
      <c r="H46" s="4">
        <f>IF($C46=0," ",COUNTIFS($C:$C,1,G:G,"&gt;"&amp;G46)+1)</f>
        <v>14</v>
      </c>
      <c r="I46" s="4">
        <f>SUMIF(Prizes!B:B,A46,Prizes!D:D)</f>
        <v>2</v>
      </c>
      <c r="J46" s="4">
        <f>IF($C46=0," ",COUNTIFS($C:$C,1,I:I,"&gt;"&amp;I46)+1)</f>
        <v>11</v>
      </c>
      <c r="K46" s="5">
        <f>SUMIF(Sales!B:B,A46,Sales!F:F)</f>
        <v>2.3063314006951727</v>
      </c>
      <c r="L46" s="6">
        <f>IF($C46=0," ",COUNTIFS($C:$C,1,K:K,"&gt;"&amp;K46)+1)</f>
        <v>13</v>
      </c>
      <c r="M46" s="5">
        <f>SQRT(SUMIF(Sales!B:B,A46,Sales!G:G))</f>
        <v>1.4456612932648341</v>
      </c>
      <c r="N46" s="5">
        <f>I46-K46</f>
        <v>-0.30633140069517273</v>
      </c>
      <c r="O46" s="6">
        <f>IF($C46=0," ",COUNTIFS($C:$C,1,N:N,"&gt;"&amp;N46)+1)</f>
        <v>14</v>
      </c>
      <c r="P46" s="5">
        <f>N46/M46</f>
        <v>-0.21189707583811968</v>
      </c>
      <c r="Q46" s="4">
        <f>IF($C46=0," ",COUNTIFS($C:$C,1,P:P,"&gt;"&amp;P46)+1)</f>
        <v>14</v>
      </c>
      <c r="R46" s="17">
        <f>IF(I46&gt;K46,1-_xlfn.NORM.DIST(I46,K46,M46,1),_xlfn.NORM.DIST(I46,K46,M46,1))</f>
        <v>0.41609366597116121</v>
      </c>
      <c r="S46" s="32">
        <f>IF($C46=0," ",COUNTIFS($C:$C,1,R:R,"&gt;"&amp;R46)+1)</f>
        <v>4</v>
      </c>
      <c r="T46" s="6">
        <f>E46/K46</f>
        <v>195.11506449782598</v>
      </c>
      <c r="U46" s="4">
        <f>IF($C46=0," ",COUNTIFS($C:$C,1,T:T,"&lt;"&amp;T46)+1)</f>
        <v>2</v>
      </c>
      <c r="V46" s="4"/>
      <c r="X46" s="4"/>
      <c r="Y46" s="4"/>
    </row>
    <row r="47" spans="1:25" x14ac:dyDescent="0.35">
      <c r="A47" s="4">
        <v>22</v>
      </c>
      <c r="B47" s="4" t="s">
        <v>29</v>
      </c>
      <c r="C47" s="4">
        <v>0</v>
      </c>
      <c r="D47" s="4">
        <f t="array" ref="D47">MAX(IF(Sales!B:B=A47,Sales!C:C))</f>
        <v>11</v>
      </c>
      <c r="E47" s="4">
        <f>SUMIF(Sales!B:B,A47,Sales!E:E)</f>
        <v>100</v>
      </c>
      <c r="F47" s="6" t="str">
        <f>IF($C47=0," ",COUNTIFS($C:$C,1,E:E,"&gt;"&amp;E47)+1)</f>
        <v xml:space="preserve"> </v>
      </c>
      <c r="G47" s="4">
        <f>SUMIF(Sales!B:B,A47,Sales!D:D)</f>
        <v>6</v>
      </c>
      <c r="H47" s="4" t="str">
        <f>IF($C47=0," ",COUNTIFS($C:$C,1,G:G,"&gt;"&amp;G47)+1)</f>
        <v xml:space="preserve"> </v>
      </c>
      <c r="I47" s="4">
        <f>SUMIF(Prizes!B:B,A47,Prizes!D:D)</f>
        <v>1</v>
      </c>
      <c r="J47" s="4" t="str">
        <f>IF($C47=0," ",COUNTIFS($C:$C,1,I:I,"&gt;"&amp;I47)+1)</f>
        <v xml:space="preserve"> </v>
      </c>
      <c r="K47" s="5">
        <f>SUMIF(Sales!B:B,A47,Sales!F:F)</f>
        <v>0.54326923076923084</v>
      </c>
      <c r="L47" s="6" t="str">
        <f>IF($C47=0," ",COUNTIFS($C:$C,1,K:K,"&gt;"&amp;K47)+1)</f>
        <v xml:space="preserve"> </v>
      </c>
      <c r="M47" s="5">
        <f>SQRT(SUMIF(Sales!B:B,A47,Sales!G:G))</f>
        <v>0.67686632105875888</v>
      </c>
      <c r="N47" s="5">
        <f>I47-K47</f>
        <v>0.45673076923076916</v>
      </c>
      <c r="O47" s="6" t="str">
        <f>IF($C47=0," ",COUNTIFS($C:$C,1,N:N,"&gt;"&amp;N47)+1)</f>
        <v xml:space="preserve"> </v>
      </c>
      <c r="P47" s="5">
        <f>N47/M47</f>
        <v>0.67477248464120332</v>
      </c>
      <c r="Q47" s="4" t="str">
        <f>IF($C47=0," ",COUNTIFS($C:$C,1,P:P,"&gt;"&amp;P47)+1)</f>
        <v xml:space="preserve"> </v>
      </c>
      <c r="R47" s="17">
        <f>IF(I47&gt;K47,1-_xlfn.NORM.DIST(I47,K47,M47,1),_xlfn.NORM.DIST(I47,K47,M47,1))</f>
        <v>0.24991016218462114</v>
      </c>
      <c r="S47" s="32" t="str">
        <f>IF($C47=0," ",COUNTIFS($C:$C,1,R:R,"&gt;"&amp;R47)+1)</f>
        <v xml:space="preserve"> </v>
      </c>
      <c r="T47" s="6">
        <f>E47/K47</f>
        <v>184.07079646017698</v>
      </c>
      <c r="U47" s="4" t="str">
        <f>IF($C47=0," ",COUNTIFS($C:$C,1,T:T,"&lt;"&amp;T47)+1)</f>
        <v xml:space="preserve"> </v>
      </c>
      <c r="X47" s="4"/>
      <c r="Y47" s="4"/>
    </row>
    <row r="48" spans="1:25" x14ac:dyDescent="0.35">
      <c r="A48" s="4">
        <v>27</v>
      </c>
      <c r="B48" s="4" t="s">
        <v>35</v>
      </c>
      <c r="C48" s="4">
        <v>0</v>
      </c>
      <c r="D48" s="4">
        <f t="array" ref="D48">MAX(IF(Sales!B:B=A48,Sales!C:C))</f>
        <v>11</v>
      </c>
      <c r="E48" s="4">
        <f>SUMIF(Sales!B:B,A48,Sales!E:E)</f>
        <v>100</v>
      </c>
      <c r="F48" s="6" t="str">
        <f>IF($C48=0," ",COUNTIFS($C:$C,1,E:E,"&gt;"&amp;E48)+1)</f>
        <v xml:space="preserve"> </v>
      </c>
      <c r="G48" s="4">
        <f>SUMIF(Sales!B:B,A48,Sales!D:D)</f>
        <v>11</v>
      </c>
      <c r="H48" s="4" t="str">
        <f>IF($C48=0," ",COUNTIFS($C:$C,1,G:G,"&gt;"&amp;G48)+1)</f>
        <v xml:space="preserve"> </v>
      </c>
      <c r="I48" s="4">
        <f>SUMIF(Prizes!B:B,A48,Prizes!D:D)</f>
        <v>0</v>
      </c>
      <c r="J48" s="4" t="str">
        <f>IF($C48=0," ",COUNTIFS($C:$C,1,I:I,"&gt;"&amp;I48)+1)</f>
        <v xml:space="preserve"> </v>
      </c>
      <c r="K48" s="5">
        <f>SUMIF(Sales!B:B,A48,Sales!F:F)</f>
        <v>0.58616138763197578</v>
      </c>
      <c r="L48" s="6" t="str">
        <f>IF($C48=0," ",COUNTIFS($C:$C,1,K:K,"&gt;"&amp;K48)+1)</f>
        <v xml:space="preserve"> </v>
      </c>
      <c r="M48" s="5">
        <f>SQRT(SUMIF(Sales!B:B,A48,Sales!G:G))</f>
        <v>0.71401106976234563</v>
      </c>
      <c r="N48" s="5">
        <f>I48-K48</f>
        <v>-0.58616138763197578</v>
      </c>
      <c r="O48" s="6" t="str">
        <f>IF($C48=0," ",COUNTIFS($C:$C,1,N:N,"&gt;"&amp;N48)+1)</f>
        <v xml:space="preserve"> </v>
      </c>
      <c r="P48" s="5">
        <f>N48/M48</f>
        <v>-0.82094159664369926</v>
      </c>
      <c r="Q48" s="4" t="str">
        <f>IF($C48=0," ",COUNTIFS($C:$C,1,P:P,"&gt;"&amp;P48)+1)</f>
        <v xml:space="preserve"> </v>
      </c>
      <c r="R48" s="17">
        <f>IF(I48&gt;K48,1-_xlfn.NORM.DIST(I48,K48,M48,1),_xlfn.NORM.DIST(I48,K48,M48,1))</f>
        <v>0.20583976793322406</v>
      </c>
      <c r="S48" s="32" t="str">
        <f>IF($C48=0," ",COUNTIFS($C:$C,1,R:R,"&gt;"&amp;R48)+1)</f>
        <v xml:space="preserve"> </v>
      </c>
      <c r="T48" s="6">
        <f>E48/K48</f>
        <v>170.6014795754262</v>
      </c>
      <c r="U48" s="4" t="str">
        <f>IF($C48=0," ",COUNTIFS($C:$C,1,T:T,"&lt;"&amp;T48)+1)</f>
        <v xml:space="preserve"> </v>
      </c>
      <c r="X48" s="4"/>
      <c r="Y48" s="4"/>
    </row>
    <row r="49" spans="1:25" x14ac:dyDescent="0.35">
      <c r="A49" s="4">
        <v>0</v>
      </c>
      <c r="B49" s="4" t="s">
        <v>59</v>
      </c>
      <c r="C49" s="4">
        <v>0</v>
      </c>
      <c r="D49" s="4">
        <f t="array" ref="D49">MAX(IF(Sales!B:B=A49,Sales!C:C))</f>
        <v>11</v>
      </c>
      <c r="E49" s="8">
        <f>SUMIF(Sales!B:B,A49,Sales!E:E)</f>
        <v>100</v>
      </c>
      <c r="F49" s="6" t="str">
        <f>IF($C49=0," ",COUNTIFS($C:$C,1,E:E,"&gt;"&amp;E49)+1)</f>
        <v xml:space="preserve"> </v>
      </c>
      <c r="G49" s="8">
        <f>SUMIF(Sales!B:B,A49,Sales!D:D)</f>
        <v>12</v>
      </c>
      <c r="H49" s="8" t="str">
        <f>IF($C49=0," ",COUNTIFS($C:$C,1,G:G,"&gt;"&amp;G49)+1)</f>
        <v xml:space="preserve"> </v>
      </c>
      <c r="I49" s="8">
        <f>SUMIF(Prizes!B:B,A49,Prizes!D:D)</f>
        <v>0</v>
      </c>
      <c r="J49" s="8" t="str">
        <f>IF($C49=0," ",COUNTIFS($C:$C,1,I:I,"&gt;"&amp;I49)+1)</f>
        <v xml:space="preserve"> </v>
      </c>
      <c r="K49" s="9">
        <f>SUMIF(Sales!B:B,A49,Sales!F:F)</f>
        <v>0.98785425101214575</v>
      </c>
      <c r="L49" s="30" t="str">
        <f>IF($C49=0," ",COUNTIFS($C:$C,1,K:K,"&gt;"&amp;K49)+1)</f>
        <v xml:space="preserve"> </v>
      </c>
      <c r="M49" s="9">
        <f>SQRT(SUMIF(Sales!B:B,A49,Sales!G:G))</f>
        <v>0.90534417201851047</v>
      </c>
      <c r="N49" s="9">
        <f>I49-K49</f>
        <v>-0.98785425101214575</v>
      </c>
      <c r="O49" s="6" t="str">
        <f>IF($C49=0," ",COUNTIFS($C:$C,1,N:N,"&gt;"&amp;N49)+1)</f>
        <v xml:space="preserve"> </v>
      </c>
      <c r="P49" s="5">
        <f>N49/M49</f>
        <v>-1.0911366986652986</v>
      </c>
      <c r="Q49" s="10" t="str">
        <f>IF($C49=0," ",COUNTIFS($C:$C,1,P:P,"&gt;"&amp;P49)+1)</f>
        <v xml:space="preserve"> </v>
      </c>
      <c r="R49" s="17">
        <f>IF(I49&gt;K49,1-_xlfn.NORM.DIST(I49,K49,M49,1),_xlfn.NORM.DIST(I49,K49,M49,1))</f>
        <v>0.137606368366785</v>
      </c>
      <c r="S49" s="6" t="str">
        <f>IF($C49=0," ",COUNTIFS($C:$C,1,R:R,"&gt;"&amp;R49)+1)</f>
        <v xml:space="preserve"> </v>
      </c>
      <c r="T49" s="6">
        <f>E49/K49</f>
        <v>101.22950819672131</v>
      </c>
      <c r="U49" s="6" t="str">
        <f>IF($C49=0," ",COUNTIFS($C:$C,1,T:T,"&lt;"&amp;T49)+1)</f>
        <v xml:space="preserve"> </v>
      </c>
      <c r="X49" s="4"/>
      <c r="Y49" s="4"/>
    </row>
    <row r="50" spans="1:25" x14ac:dyDescent="0.35">
      <c r="A50" s="4">
        <v>39</v>
      </c>
      <c r="B50" s="4" t="s">
        <v>77</v>
      </c>
      <c r="C50" s="4">
        <v>1</v>
      </c>
      <c r="D50" s="4">
        <f t="array" ref="D50">MAX(IF(Sales!B:B=A50,Sales!C:C))</f>
        <v>15</v>
      </c>
      <c r="E50" s="8">
        <f>SUMIF(Sales!B:B,A50,Sales!E:E)</f>
        <v>20</v>
      </c>
      <c r="F50" s="30">
        <f>IF($C50=0," ",COUNTIFS($C:$C,1,E:E,"&gt;"&amp;E50)+1)</f>
        <v>28</v>
      </c>
      <c r="G50" s="8">
        <f>SUMIF(Sales!B:B,A50,Sales!D:D)</f>
        <v>3</v>
      </c>
      <c r="H50" s="8">
        <f>IF($C50=0," ",COUNTIFS($C:$C,1,G:G,"&gt;"&amp;G50)+1)</f>
        <v>28</v>
      </c>
      <c r="I50" s="8">
        <f>SUMIF(Prizes!B:B,A50,Prizes!D:D)</f>
        <v>0</v>
      </c>
      <c r="J50" s="8">
        <f>IF($C50=0," ",COUNTIFS($C:$C,1,I:I,"&gt;"&amp;I50)+1)</f>
        <v>23</v>
      </c>
      <c r="K50" s="9">
        <f>SUMIF(Sales!B:B,A50,Sales!F:F)</f>
        <v>0.3612040133779264</v>
      </c>
      <c r="L50" s="30">
        <f>IF($C50=0," ",COUNTIFS($C:$C,1,K:K,"&gt;"&amp;K50)+1)</f>
        <v>27</v>
      </c>
      <c r="M50" s="9">
        <f>SQRT(SUMIF(Sales!B:B,A50,Sales!G:G))</f>
        <v>0.54598817687849921</v>
      </c>
      <c r="N50" s="9">
        <f>I50-K50</f>
        <v>-0.3612040133779264</v>
      </c>
      <c r="O50" s="30">
        <f>IF($C50=0," ",COUNTIFS($C:$C,1,N:N,"&gt;"&amp;N50)+1)</f>
        <v>15</v>
      </c>
      <c r="P50" s="5">
        <f>N50/M50</f>
        <v>-0.66156013751613985</v>
      </c>
      <c r="Q50" s="10">
        <f>IF($C50=0," ",COUNTIFS($C:$C,1,P:P,"&gt;"&amp;P50)+1)</f>
        <v>20</v>
      </c>
      <c r="R50" s="17">
        <f>IF(I50&gt;K50,1-_xlfn.NORM.DIST(I50,K50,M50,1),_xlfn.NORM.DIST(I50,K50,M50,1))</f>
        <v>0.25412658085528567</v>
      </c>
      <c r="S50" s="32">
        <f>IF($C50=0," ",COUNTIFS($C:$C,1,R:R,"&gt;"&amp;R50)+1)</f>
        <v>16</v>
      </c>
      <c r="T50" s="6">
        <f>E50/K50</f>
        <v>55.370370370370374</v>
      </c>
      <c r="U50" s="4">
        <f>IF($C50=0," ",COUNTIFS($C:$C,1,T:T,"&lt;"&amp;T50)+1)</f>
        <v>1</v>
      </c>
      <c r="X50" s="4"/>
      <c r="Y50" s="4"/>
    </row>
    <row r="51" spans="1:25" x14ac:dyDescent="0.35">
      <c r="A51" s="4">
        <v>40</v>
      </c>
      <c r="B51" s="4" t="s">
        <v>78</v>
      </c>
      <c r="C51" s="4">
        <v>0</v>
      </c>
      <c r="D51" s="4">
        <f t="array" ref="D51">MAX(IF(Sales!B:B=A51,Sales!C:C))</f>
        <v>11</v>
      </c>
      <c r="E51" s="8">
        <f>SUMIF(Sales!B:B,A51,Sales!E:E)</f>
        <v>0</v>
      </c>
      <c r="F51" s="30" t="str">
        <f>IF($C51=0," ",COUNTIFS($C:$C,1,E:E,"&gt;"&amp;E51)+1)</f>
        <v xml:space="preserve"> </v>
      </c>
      <c r="G51" s="8">
        <f>SUMIF(Sales!B:B,A51,Sales!D:D)</f>
        <v>1</v>
      </c>
      <c r="H51" s="8" t="str">
        <f>IF($C51=0," ",COUNTIFS($C:$C,1,G:G,"&gt;"&amp;G51)+1)</f>
        <v xml:space="preserve"> </v>
      </c>
      <c r="I51" s="8">
        <f>SUMIF(Prizes!B:B,A51,Prizes!D:D)</f>
        <v>0</v>
      </c>
      <c r="J51" s="8" t="str">
        <f>IF($C51=0," ",COUNTIFS($C:$C,1,I:I,"&gt;"&amp;I51)+1)</f>
        <v xml:space="preserve"> </v>
      </c>
      <c r="K51" s="9">
        <f>SUMIF(Sales!B:B,A51,Sales!F:F)</f>
        <v>0.23076923076923078</v>
      </c>
      <c r="L51" s="30" t="str">
        <f>IF($C51=0," ",COUNTIFS($C:$C,1,K:K,"&gt;"&amp;K51)+1)</f>
        <v xml:space="preserve"> </v>
      </c>
      <c r="M51" s="9">
        <f>SQRT(SUMIF(Sales!B:B,A51,Sales!G:G))</f>
        <v>0.42132504423474315</v>
      </c>
      <c r="N51" s="9">
        <f>I51-K51</f>
        <v>-0.23076923076923078</v>
      </c>
      <c r="O51" s="30" t="str">
        <f>IF($C51=0," ",COUNTIFS($C:$C,1,N:N,"&gt;"&amp;N51)+1)</f>
        <v xml:space="preserve"> </v>
      </c>
      <c r="P51" s="5">
        <f>N51/M51</f>
        <v>-0.54772255750516619</v>
      </c>
      <c r="Q51" s="10" t="str">
        <f>IF($C51=0," ",COUNTIFS($C:$C,1,P:P,"&gt;"&amp;P51)+1)</f>
        <v xml:space="preserve"> </v>
      </c>
      <c r="R51" s="17">
        <f>IF(I51&gt;K51,1-_xlfn.NORM.DIST(I51,K51,M51,1),_xlfn.NORM.DIST(I51,K51,M51,1))</f>
        <v>0.2919412103851825</v>
      </c>
      <c r="S51" s="32" t="str">
        <f>IF($C51=0," ",COUNTIFS($C:$C,1,R:R,"&gt;"&amp;R51)+1)</f>
        <v xml:space="preserve"> </v>
      </c>
      <c r="T51" s="6">
        <f>E51/K51</f>
        <v>0</v>
      </c>
      <c r="U51" s="4" t="str">
        <f>IF($C51=0," ",COUNTIFS($C:$C,1,T:T,"&lt;"&amp;T51)+1)</f>
        <v xml:space="preserve"> </v>
      </c>
      <c r="X51" s="4"/>
      <c r="Y51" s="4"/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49" sqref="F49"/>
    </sheetView>
  </sheetViews>
  <sheetFormatPr defaultColWidth="8.90625" defaultRowHeight="14.5" x14ac:dyDescent="0.35"/>
  <cols>
    <col min="2" max="2" width="10" customWidth="1"/>
  </cols>
  <sheetData>
    <row r="1" spans="1:7" x14ac:dyDescent="0.35">
      <c r="A1" s="20" t="s">
        <v>0</v>
      </c>
      <c r="B1" s="20" t="s">
        <v>17</v>
      </c>
      <c r="C1" s="20" t="s">
        <v>50</v>
      </c>
      <c r="D1" s="18" t="s">
        <v>49</v>
      </c>
      <c r="E1" s="18" t="s">
        <v>21</v>
      </c>
      <c r="F1" s="18" t="s">
        <v>85</v>
      </c>
      <c r="G1" s="18" t="s">
        <v>99</v>
      </c>
    </row>
    <row r="2" spans="1:7" x14ac:dyDescent="0.35">
      <c r="A2">
        <v>1</v>
      </c>
      <c r="B2" s="1">
        <v>42293</v>
      </c>
      <c r="C2" s="7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  <c r="G2" s="27">
        <f t="shared" ref="G2:G17" si="1">C2*D2/E2</f>
        <v>144</v>
      </c>
    </row>
    <row r="3" spans="1:7" x14ac:dyDescent="0.35">
      <c r="A3">
        <v>2</v>
      </c>
      <c r="B3" s="1">
        <v>42405</v>
      </c>
      <c r="C3" s="7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  <c r="G3" s="27">
        <f t="shared" si="1"/>
        <v>320</v>
      </c>
    </row>
    <row r="4" spans="1:7" x14ac:dyDescent="0.35">
      <c r="A4">
        <v>3</v>
      </c>
      <c r="B4" s="1">
        <v>42482</v>
      </c>
      <c r="C4" s="7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  <c r="G4" s="27">
        <f t="shared" si="1"/>
        <v>313.33333333333331</v>
      </c>
    </row>
    <row r="5" spans="1:7" x14ac:dyDescent="0.35">
      <c r="A5">
        <v>4</v>
      </c>
      <c r="B5" s="1">
        <v>43175</v>
      </c>
      <c r="C5" s="7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  <c r="G5" s="27">
        <f t="shared" si="1"/>
        <v>340</v>
      </c>
    </row>
    <row r="6" spans="1:7" x14ac:dyDescent="0.35">
      <c r="A6">
        <v>5</v>
      </c>
      <c r="B6" s="1">
        <v>43224</v>
      </c>
      <c r="C6" s="7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  <c r="G6" s="27">
        <f t="shared" si="1"/>
        <v>240</v>
      </c>
    </row>
    <row r="7" spans="1:7" x14ac:dyDescent="0.35">
      <c r="A7">
        <v>6</v>
      </c>
      <c r="B7" s="1">
        <v>43259</v>
      </c>
      <c r="C7" s="7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  <c r="G7" s="27">
        <f t="shared" si="1"/>
        <v>300</v>
      </c>
    </row>
    <row r="8" spans="1:7" x14ac:dyDescent="0.35">
      <c r="A8">
        <v>7</v>
      </c>
      <c r="B8" s="1">
        <v>43322</v>
      </c>
      <c r="C8" s="7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  <c r="G8" s="27">
        <f t="shared" si="1"/>
        <v>250</v>
      </c>
    </row>
    <row r="9" spans="1:7" x14ac:dyDescent="0.35">
      <c r="A9">
        <v>8</v>
      </c>
      <c r="B9" s="1">
        <v>43357</v>
      </c>
      <c r="C9" s="7">
        <v>10</v>
      </c>
      <c r="D9" s="7">
        <f>SUMIFS(Sales!D:D,Sales!C:C,A9)</f>
        <v>133</v>
      </c>
      <c r="E9">
        <f>SUMIFS(Prizes!D:D,Prizes!C:C,A9)</f>
        <v>7</v>
      </c>
      <c r="F9" s="3">
        <f t="shared" si="0"/>
        <v>5.2631578947368418E-2</v>
      </c>
      <c r="G9" s="27">
        <f t="shared" si="1"/>
        <v>190</v>
      </c>
    </row>
    <row r="10" spans="1:7" x14ac:dyDescent="0.35">
      <c r="A10">
        <v>9</v>
      </c>
      <c r="B10" s="1">
        <v>43385</v>
      </c>
      <c r="C10" s="7">
        <v>10</v>
      </c>
      <c r="D10" s="7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  <c r="G10" s="27">
        <f t="shared" si="1"/>
        <v>304</v>
      </c>
    </row>
    <row r="11" spans="1:7" x14ac:dyDescent="0.35">
      <c r="A11">
        <v>10</v>
      </c>
      <c r="B11" s="1">
        <v>43427</v>
      </c>
      <c r="C11" s="7">
        <v>10</v>
      </c>
      <c r="D11" s="7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  <c r="G11" s="27">
        <f t="shared" si="1"/>
        <v>314</v>
      </c>
    </row>
    <row r="12" spans="1:7" x14ac:dyDescent="0.35">
      <c r="A12">
        <v>11</v>
      </c>
      <c r="B12" s="1">
        <v>43454</v>
      </c>
      <c r="C12" s="7">
        <v>0</v>
      </c>
      <c r="D12" s="7">
        <f>SUMIFS(Sales!D:D,Sales!C:C,A12)</f>
        <v>26</v>
      </c>
      <c r="E12">
        <f>SUMIFS(Prizes!D:D,Prizes!C:C,A12)</f>
        <v>6</v>
      </c>
      <c r="F12" s="3">
        <f t="shared" si="0"/>
        <v>0.23076923076923078</v>
      </c>
      <c r="G12" s="27">
        <f t="shared" si="1"/>
        <v>0</v>
      </c>
    </row>
    <row r="13" spans="1:7" x14ac:dyDescent="0.35">
      <c r="A13">
        <v>12</v>
      </c>
      <c r="B13" s="1">
        <v>43483</v>
      </c>
      <c r="C13" s="7">
        <v>10</v>
      </c>
      <c r="D13" s="7">
        <f>SUMIFS(Sales!D:D,Sales!C:C,A13)</f>
        <v>128</v>
      </c>
      <c r="E13">
        <f>SUMIFS(Prizes!D:D,Prizes!C:C,A13)</f>
        <v>6</v>
      </c>
      <c r="F13" s="3">
        <f t="shared" si="0"/>
        <v>4.6875E-2</v>
      </c>
      <c r="G13" s="27">
        <f t="shared" si="1"/>
        <v>213.33333333333334</v>
      </c>
    </row>
    <row r="14" spans="1:7" x14ac:dyDescent="0.35">
      <c r="A14">
        <v>13</v>
      </c>
      <c r="B14" s="1">
        <v>43532</v>
      </c>
      <c r="C14" s="7">
        <v>10</v>
      </c>
      <c r="D14" s="7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  <c r="G14" s="27">
        <f t="shared" si="1"/>
        <v>212</v>
      </c>
    </row>
    <row r="15" spans="1:7" x14ac:dyDescent="0.35">
      <c r="A15">
        <v>14</v>
      </c>
      <c r="B15" s="1">
        <v>43601</v>
      </c>
      <c r="C15" s="7">
        <v>10</v>
      </c>
      <c r="D15" s="7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  <c r="G15" s="27">
        <f t="shared" si="1"/>
        <v>275</v>
      </c>
    </row>
    <row r="16" spans="1:7" x14ac:dyDescent="0.35">
      <c r="A16">
        <v>15</v>
      </c>
      <c r="B16" s="1">
        <v>43686</v>
      </c>
      <c r="C16" s="7">
        <v>10</v>
      </c>
      <c r="D16" s="7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  <c r="G16" s="27">
        <f t="shared" si="1"/>
        <v>153.33333333333334</v>
      </c>
    </row>
    <row r="17" spans="1:7" x14ac:dyDescent="0.3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7">
        <f>SUMIFS(Prizes!D:D,Prizes!C:C,A17)</f>
        <v>6</v>
      </c>
      <c r="F17" s="3">
        <f>E17/D17</f>
        <v>5.4545454545454543E-2</v>
      </c>
      <c r="G17" s="27">
        <f t="shared" si="1"/>
        <v>183.33333333333334</v>
      </c>
    </row>
    <row r="18" spans="1:7" x14ac:dyDescent="0.3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7">
        <f>SUMIFS(Prizes!D:D,Prizes!C:C,A18)</f>
        <v>7</v>
      </c>
      <c r="F18" s="3">
        <f>E18/D18</f>
        <v>4.046242774566474E-2</v>
      </c>
      <c r="G18" s="27">
        <f>C18*D18/E18</f>
        <v>247.14285714285714</v>
      </c>
    </row>
  </sheetData>
  <conditionalFormatting sqref="G2:G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opLeftCell="A283" workbookViewId="0">
      <selection activeCell="I27" sqref="I27"/>
    </sheetView>
  </sheetViews>
  <sheetFormatPr defaultColWidth="8.90625" defaultRowHeight="14.5" x14ac:dyDescent="0.35"/>
  <cols>
    <col min="8" max="8" width="10.6328125" style="2" bestFit="1" customWidth="1"/>
    <col min="10" max="10" width="10.08984375" bestFit="1" customWidth="1"/>
  </cols>
  <sheetData>
    <row r="1" spans="1:10" ht="16.5" x14ac:dyDescent="0.3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I1" t="s">
        <v>89</v>
      </c>
      <c r="J1" s="13">
        <f>SUM(E:E)</f>
        <v>23550</v>
      </c>
    </row>
    <row r="2" spans="1:10" x14ac:dyDescent="0.3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77</v>
      </c>
    </row>
    <row r="275" spans="1:8" x14ac:dyDescent="0.35">
      <c r="A275">
        <v>274</v>
      </c>
      <c r="B275">
        <f>INDEX(Persons!A:A,MATCH(Sales!H275,Persons!B:B,0))</f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D275*INDEX(Lotteries!F:F,MATCH(C275,Lotteries!A:A,0))</f>
        <v>0.54545454545454541</v>
      </c>
      <c r="G275" s="3">
        <f>INDEX(Lotteries!E:E,MATCH(C275,Lotteries!A:A,0))*D275/INDEX(Lotteries!D:D,MATCH(C275,Lotteries!A:A,0))*(INDEX(Lotteries!D:D,MATCH(C275,Lotteries!A:A,0))-D275)/INDEX(Lotteries!D:D,MATCH(C275,Lotteries!A:A,0))*(INDEX(Lotteries!D:D,MATCH(C275,Lotteries!A:A,0))-INDEX(Lotteries!E:E,MATCH(C275,Lotteries!A:A,0)))/(INDEX(Lotteries!D:D,MATCH(C275,Lotteries!A:A,0))-1)</f>
        <v>0.47312154067783757</v>
      </c>
      <c r="H275" s="2" t="s">
        <v>76</v>
      </c>
    </row>
    <row r="276" spans="1:8" x14ac:dyDescent="0.35">
      <c r="A276">
        <v>275</v>
      </c>
      <c r="B276">
        <f>INDEX(Persons!A:A,MATCH(Sales!H276,Persons!B:B,0))</f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D276*INDEX(Lotteries!F:F,MATCH(C276,Lotteries!A:A,0))</f>
        <v>0.27272727272727271</v>
      </c>
      <c r="G276" s="3">
        <f>INDEX(Lotteries!E:E,MATCH(C276,Lotteries!A:A,0))*D276/INDEX(Lotteries!D:D,MATCH(C276,Lotteries!A:A,0))*(INDEX(Lotteries!D:D,MATCH(C276,Lotteries!A:A,0))-D276)/INDEX(Lotteries!D:D,MATCH(C276,Lotteries!A:A,0))*(INDEX(Lotteries!D:D,MATCH(C276,Lotteries!A:A,0))-INDEX(Lotteries!E:E,MATCH(C276,Lotteries!A:A,0)))/(INDEX(Lotteries!D:D,MATCH(C276,Lotteries!A:A,0))-1)</f>
        <v>0.2483888088558647</v>
      </c>
      <c r="H276" s="2" t="s">
        <v>79</v>
      </c>
    </row>
    <row r="277" spans="1:8" x14ac:dyDescent="0.35">
      <c r="A277">
        <v>276</v>
      </c>
      <c r="B277">
        <f>INDEX(Persons!A:A,MATCH(Sales!H277,Persons!B:B,0))</f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D277*INDEX(Lotteries!F:F,MATCH(C277,Lotteries!A:A,0))</f>
        <v>0.27272727272727271</v>
      </c>
      <c r="G277" s="3">
        <f>INDEX(Lotteries!E:E,MATCH(C277,Lotteries!A:A,0))*D277/INDEX(Lotteries!D:D,MATCH(C277,Lotteries!A:A,0))*(INDEX(Lotteries!D:D,MATCH(C277,Lotteries!A:A,0))-D277)/INDEX(Lotteries!D:D,MATCH(C277,Lotteries!A:A,0))*(INDEX(Lotteries!D:D,MATCH(C277,Lotteries!A:A,0))-INDEX(Lotteries!E:E,MATCH(C277,Lotteries!A:A,0)))/(INDEX(Lotteries!D:D,MATCH(C277,Lotteries!A:A,0))-1)</f>
        <v>0.2483888088558647</v>
      </c>
      <c r="H277" s="2" t="s">
        <v>24</v>
      </c>
    </row>
    <row r="278" spans="1:8" x14ac:dyDescent="0.35">
      <c r="A278">
        <v>277</v>
      </c>
      <c r="B278">
        <f>INDEX(Persons!A:A,MATCH(Sales!H278,Persons!B:B,0))</f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D278*INDEX(Lotteries!F:F,MATCH(C278,Lotteries!A:A,0))</f>
        <v>0.27272727272727271</v>
      </c>
      <c r="G278" s="3">
        <f>INDEX(Lotteries!E:E,MATCH(C278,Lotteries!A:A,0))*D278/INDEX(Lotteries!D:D,MATCH(C278,Lotteries!A:A,0))*(INDEX(Lotteries!D:D,MATCH(C278,Lotteries!A:A,0))-D278)/INDEX(Lotteries!D:D,MATCH(C278,Lotteries!A:A,0))*(INDEX(Lotteries!D:D,MATCH(C278,Lotteries!A:A,0))-INDEX(Lotteries!E:E,MATCH(C278,Lotteries!A:A,0)))/(INDEX(Lotteries!D:D,MATCH(C278,Lotteries!A:A,0))-1)</f>
        <v>0.2483888088558647</v>
      </c>
      <c r="H278" s="2" t="s">
        <v>47</v>
      </c>
    </row>
    <row r="279" spans="1:8" x14ac:dyDescent="0.35">
      <c r="A279">
        <v>278</v>
      </c>
      <c r="B279">
        <f>INDEX(Persons!A:A,MATCH(Sales!H279,Persons!B:B,0))</f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D279*INDEX(Lotteries!F:F,MATCH(C279,Lotteries!A:A,0))</f>
        <v>0.27272727272727271</v>
      </c>
      <c r="G279" s="3">
        <f>INDEX(Lotteries!E:E,MATCH(C279,Lotteries!A:A,0))*D279/INDEX(Lotteries!D:D,MATCH(C279,Lotteries!A:A,0))*(INDEX(Lotteries!D:D,MATCH(C279,Lotteries!A:A,0))-D279)/INDEX(Lotteries!D:D,MATCH(C279,Lotteries!A:A,0))*(INDEX(Lotteries!D:D,MATCH(C279,Lotteries!A:A,0))-INDEX(Lotteries!E:E,MATCH(C279,Lotteries!A:A,0)))/(INDEX(Lotteries!D:D,MATCH(C279,Lotteries!A:A,0))-1)</f>
        <v>0.2483888088558647</v>
      </c>
      <c r="H279" s="2" t="s">
        <v>27</v>
      </c>
    </row>
    <row r="280" spans="1:8" x14ac:dyDescent="0.35">
      <c r="A280">
        <v>279</v>
      </c>
      <c r="B280">
        <f>INDEX(Persons!A:A,MATCH(Sales!H280,Persons!B:B,0))</f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D280*INDEX(Lotteries!F:F,MATCH(C280,Lotteries!A:A,0))</f>
        <v>0.27272727272727271</v>
      </c>
      <c r="G280" s="3">
        <f>INDEX(Lotteries!E:E,MATCH(C280,Lotteries!A:A,0))*D280/INDEX(Lotteries!D:D,MATCH(C280,Lotteries!A:A,0))*(INDEX(Lotteries!D:D,MATCH(C280,Lotteries!A:A,0))-D280)/INDEX(Lotteries!D:D,MATCH(C280,Lotteries!A:A,0))*(INDEX(Lotteries!D:D,MATCH(C280,Lotteries!A:A,0))-INDEX(Lotteries!E:E,MATCH(C280,Lotteries!A:A,0)))/(INDEX(Lotteries!D:D,MATCH(C280,Lotteries!A:A,0))-1)</f>
        <v>0.2483888088558647</v>
      </c>
      <c r="H280" s="2" t="s">
        <v>6</v>
      </c>
    </row>
    <row r="281" spans="1:8" x14ac:dyDescent="0.35">
      <c r="A281">
        <v>280</v>
      </c>
      <c r="B281">
        <f>INDEX(Persons!A:A,MATCH(Sales!H281,Persons!B:B,0))</f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D281*INDEX(Lotteries!F:F,MATCH(C281,Lotteries!A:A,0))</f>
        <v>0.27272727272727271</v>
      </c>
      <c r="G281" s="3">
        <f>INDEX(Lotteries!E:E,MATCH(C281,Lotteries!A:A,0))*D281/INDEX(Lotteries!D:D,MATCH(C281,Lotteries!A:A,0))*(INDEX(Lotteries!D:D,MATCH(C281,Lotteries!A:A,0))-D281)/INDEX(Lotteries!D:D,MATCH(C281,Lotteries!A:A,0))*(INDEX(Lotteries!D:D,MATCH(C281,Lotteries!A:A,0))-INDEX(Lotteries!E:E,MATCH(C281,Lotteries!A:A,0)))/(INDEX(Lotteries!D:D,MATCH(C281,Lotteries!A:A,0))-1)</f>
        <v>0.2483888088558647</v>
      </c>
      <c r="H281" s="2" t="s">
        <v>15</v>
      </c>
    </row>
    <row r="282" spans="1:8" x14ac:dyDescent="0.35">
      <c r="A282">
        <v>281</v>
      </c>
      <c r="B282">
        <f>INDEX(Persons!A:A,MATCH(Sales!H282,Persons!B:B,0))</f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D282*INDEX(Lotteries!F:F,MATCH(C282,Lotteries!A:A,0))</f>
        <v>0.87272727272727268</v>
      </c>
      <c r="G282" s="3">
        <f>INDEX(Lotteries!E:E,MATCH(C282,Lotteries!A:A,0))*D282/INDEX(Lotteries!D:D,MATCH(C282,Lotteries!A:A,0))*(INDEX(Lotteries!D:D,MATCH(C282,Lotteries!A:A,0))-D282)/INDEX(Lotteries!D:D,MATCH(C282,Lotteries!A:A,0))*(INDEX(Lotteries!D:D,MATCH(C282,Lotteries!A:A,0))-INDEX(Lotteries!E:E,MATCH(C282,Lotteries!A:A,0)))/(INDEX(Lotteries!D:D,MATCH(C282,Lotteries!A:A,0))-1)</f>
        <v>0.7115747971794677</v>
      </c>
      <c r="H282" s="2" t="s">
        <v>9</v>
      </c>
    </row>
    <row r="283" spans="1:8" x14ac:dyDescent="0.35">
      <c r="A283">
        <v>282</v>
      </c>
      <c r="B283">
        <f>INDEX(Persons!A:A,MATCH(Sales!H283,Persons!B:B,0))</f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D283*INDEX(Lotteries!F:F,MATCH(C283,Lotteries!A:A,0))</f>
        <v>0.27272727272727271</v>
      </c>
      <c r="G283" s="3">
        <f>INDEX(Lotteries!E:E,MATCH(C283,Lotteries!A:A,0))*D283/INDEX(Lotteries!D:D,MATCH(C283,Lotteries!A:A,0))*(INDEX(Lotteries!D:D,MATCH(C283,Lotteries!A:A,0))-D283)/INDEX(Lotteries!D:D,MATCH(C283,Lotteries!A:A,0))*(INDEX(Lotteries!D:D,MATCH(C283,Lotteries!A:A,0))-INDEX(Lotteries!E:E,MATCH(C283,Lotteries!A:A,0)))/(INDEX(Lotteries!D:D,MATCH(C283,Lotteries!A:A,0))-1)</f>
        <v>0.2483888088558647</v>
      </c>
      <c r="H283" s="2" t="s">
        <v>97</v>
      </c>
    </row>
    <row r="284" spans="1:8" x14ac:dyDescent="0.35">
      <c r="A284">
        <v>283</v>
      </c>
      <c r="B284">
        <f>INDEX(Persons!A:A,MATCH(Sales!H284,Persons!B:B,0))</f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D284*INDEX(Lotteries!F:F,MATCH(C284,Lotteries!A:A,0))</f>
        <v>0.27272727272727271</v>
      </c>
      <c r="G284" s="3">
        <f>INDEX(Lotteries!E:E,MATCH(C284,Lotteries!A:A,0))*D284/INDEX(Lotteries!D:D,MATCH(C284,Lotteries!A:A,0))*(INDEX(Lotteries!D:D,MATCH(C284,Lotteries!A:A,0))-D284)/INDEX(Lotteries!D:D,MATCH(C284,Lotteries!A:A,0))*(INDEX(Lotteries!D:D,MATCH(C284,Lotteries!A:A,0))-INDEX(Lotteries!E:E,MATCH(C284,Lotteries!A:A,0)))/(INDEX(Lotteries!D:D,MATCH(C284,Lotteries!A:A,0))-1)</f>
        <v>0.2483888088558647</v>
      </c>
      <c r="H284" s="2" t="s">
        <v>83</v>
      </c>
    </row>
    <row r="285" spans="1:8" x14ac:dyDescent="0.35">
      <c r="A285">
        <v>284</v>
      </c>
      <c r="B285">
        <f>INDEX(Persons!A:A,MATCH(Sales!H285,Persons!B:B,0))</f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D285*INDEX(Lotteries!F:F,MATCH(C285,Lotteries!A:A,0))</f>
        <v>0.32727272727272727</v>
      </c>
      <c r="G285" s="3">
        <f>INDEX(Lotteries!E:E,MATCH(C285,Lotteries!A:A,0))*D285/INDEX(Lotteries!D:D,MATCH(C285,Lotteries!A:A,0))*(INDEX(Lotteries!D:D,MATCH(C285,Lotteries!A:A,0))-D285)/INDEX(Lotteries!D:D,MATCH(C285,Lotteries!A:A,0))*(INDEX(Lotteries!D:D,MATCH(C285,Lotteries!A:A,0))-INDEX(Lotteries!E:E,MATCH(C285,Lotteries!A:A,0)))/(INDEX(Lotteries!D:D,MATCH(C285,Lotteries!A:A,0))-1)</f>
        <v>0.2952278413829707</v>
      </c>
      <c r="H285" s="2" t="s">
        <v>16</v>
      </c>
    </row>
    <row r="286" spans="1:8" x14ac:dyDescent="0.35">
      <c r="A286">
        <v>285</v>
      </c>
      <c r="B286">
        <f>INDEX(Persons!A:A,MATCH(Sales!H286,Persons!B:B,0))</f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D286*INDEX(Lotteries!F:F,MATCH(C286,Lotteries!A:A,0))</f>
        <v>0.16363636363636364</v>
      </c>
      <c r="G286" s="3">
        <f>INDEX(Lotteries!E:E,MATCH(C286,Lotteries!A:A,0))*D286/INDEX(Lotteries!D:D,MATCH(C286,Lotteries!A:A,0))*(INDEX(Lotteries!D:D,MATCH(C286,Lotteries!A:A,0))-D286)/INDEX(Lotteries!D:D,MATCH(C286,Lotteries!A:A,0))*(INDEX(Lotteries!D:D,MATCH(C286,Lotteries!A:A,0))-INDEX(Lotteries!E:E,MATCH(C286,Lotteries!A:A,0)))/(INDEX(Lotteries!D:D,MATCH(C286,Lotteries!A:A,0))-1)</f>
        <v>0.15187201455758587</v>
      </c>
      <c r="H286" s="2" t="s">
        <v>23</v>
      </c>
    </row>
    <row r="287" spans="1:8" x14ac:dyDescent="0.35">
      <c r="A287">
        <v>286</v>
      </c>
      <c r="B287">
        <f>INDEX(Persons!A:A,MATCH(Sales!H287,Persons!B:B,0))</f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D287*INDEX(Lotteries!F:F,MATCH(C287,Lotteries!A:A,0))</f>
        <v>0.54545454545454541</v>
      </c>
      <c r="G287" s="3">
        <f>INDEX(Lotteries!E:E,MATCH(C287,Lotteries!A:A,0))*D287/INDEX(Lotteries!D:D,MATCH(C287,Lotteries!A:A,0))*(INDEX(Lotteries!D:D,MATCH(C287,Lotteries!A:A,0))-D287)/INDEX(Lotteries!D:D,MATCH(C287,Lotteries!A:A,0))*(INDEX(Lotteries!D:D,MATCH(C287,Lotteries!A:A,0))-INDEX(Lotteries!E:E,MATCH(C287,Lotteries!A:A,0)))/(INDEX(Lotteries!D:D,MATCH(C287,Lotteries!A:A,0))-1)</f>
        <v>0.47312154067783757</v>
      </c>
      <c r="H287" s="2" t="s">
        <v>98</v>
      </c>
    </row>
    <row r="288" spans="1:8" x14ac:dyDescent="0.35">
      <c r="A288">
        <v>287</v>
      </c>
      <c r="B288">
        <f>INDEX(Persons!A:A,MATCH(Sales!H288,Persons!B:B,0))</f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D288*INDEX(Lotteries!F:F,MATCH(C288,Lotteries!A:A,0))</f>
        <v>0.27272727272727271</v>
      </c>
      <c r="G288" s="3">
        <f>INDEX(Lotteries!E:E,MATCH(C288,Lotteries!A:A,0))*D288/INDEX(Lotteries!D:D,MATCH(C288,Lotteries!A:A,0))*(INDEX(Lotteries!D:D,MATCH(C288,Lotteries!A:A,0))-D288)/INDEX(Lotteries!D:D,MATCH(C288,Lotteries!A:A,0))*(INDEX(Lotteries!D:D,MATCH(C288,Lotteries!A:A,0))-INDEX(Lotteries!E:E,MATCH(C288,Lotteries!A:A,0)))/(INDEX(Lotteries!D:D,MATCH(C288,Lotteries!A:A,0))-1)</f>
        <v>0.2483888088558647</v>
      </c>
      <c r="H288" s="2" t="s">
        <v>46</v>
      </c>
    </row>
    <row r="289" spans="1:11" x14ac:dyDescent="0.35">
      <c r="A289">
        <v>288</v>
      </c>
      <c r="B289">
        <f>INDEX(Persons!A:A,MATCH(Sales!H289,Persons!B:B,0))</f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D289*INDEX(Lotteries!F:F,MATCH(C289,Lotteries!A:A,0))</f>
        <v>0.54545454545454541</v>
      </c>
      <c r="G289" s="3">
        <f>INDEX(Lotteries!E:E,MATCH(C289,Lotteries!A:A,0))*D289/INDEX(Lotteries!D:D,MATCH(C289,Lotteries!A:A,0))*(INDEX(Lotteries!D:D,MATCH(C289,Lotteries!A:A,0))-D289)/INDEX(Lotteries!D:D,MATCH(C289,Lotteries!A:A,0))*(INDEX(Lotteries!D:D,MATCH(C289,Lotteries!A:A,0))-INDEX(Lotteries!E:E,MATCH(C289,Lotteries!A:A,0)))/(INDEX(Lotteries!D:D,MATCH(C289,Lotteries!A:A,0))-1)</f>
        <v>0.47312154067783757</v>
      </c>
      <c r="H289" s="2" t="s">
        <v>11</v>
      </c>
    </row>
    <row r="290" spans="1:11" x14ac:dyDescent="0.35">
      <c r="A290">
        <v>289</v>
      </c>
      <c r="B290">
        <f>INDEX(Persons!A:A,MATCH(Sales!H290,Persons!B:B,0))</f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D290*INDEX(Lotteries!F:F,MATCH(C290,Lotteries!A:A,0))</f>
        <v>0.54545454545454541</v>
      </c>
      <c r="G290" s="3">
        <f>INDEX(Lotteries!E:E,MATCH(C290,Lotteries!A:A,0))*D290/INDEX(Lotteries!D:D,MATCH(C290,Lotteries!A:A,0))*(INDEX(Lotteries!D:D,MATCH(C290,Lotteries!A:A,0))-D290)/INDEX(Lotteries!D:D,MATCH(C290,Lotteries!A:A,0))*(INDEX(Lotteries!D:D,MATCH(C290,Lotteries!A:A,0))-INDEX(Lotteries!E:E,MATCH(C290,Lotteries!A:A,0)))/(INDEX(Lotteries!D:D,MATCH(C290,Lotteries!A:A,0))-1)</f>
        <v>0.47312154067783757</v>
      </c>
      <c r="H290" s="2" t="s">
        <v>80</v>
      </c>
    </row>
    <row r="291" spans="1:11" x14ac:dyDescent="0.35">
      <c r="A291">
        <v>290</v>
      </c>
      <c r="B291">
        <f>INDEX(Persons!A:A,MATCH(Sales!H291,Persons!B:B,0))</f>
        <v>33</v>
      </c>
      <c r="C291" s="11">
        <v>17</v>
      </c>
      <c r="D291">
        <f>I291</f>
        <v>10</v>
      </c>
      <c r="E291" s="7">
        <f>INDEX(Lotteries!C:C,MATCH(C291,Lotteries!A:A,0))*D291</f>
        <v>100</v>
      </c>
      <c r="F291" s="3">
        <f>D291*INDEX(Lotteries!F:F,MATCH(C291,Lotteries!A:A,0))</f>
        <v>0.40462427745664742</v>
      </c>
      <c r="G291" s="3">
        <f>INDEX(Lotteries!E:E,MATCH(C291,Lotteries!A:A,0))*D291/INDEX(Lotteries!D:D,MATCH(C291,Lotteries!A:A,0))*(INDEX(Lotteries!D:D,MATCH(C291,Lotteries!A:A,0))-D291)/INDEX(Lotteries!D:D,MATCH(C291,Lotteries!A:A,0))*(INDEX(Lotteries!D:D,MATCH(C291,Lotteries!A:A,0))-INDEX(Lotteries!E:E,MATCH(C291,Lotteries!A:A,0)))/(INDEX(Lotteries!D:D,MATCH(C291,Lotteries!A:A,0))-1)</f>
        <v>0.36793667493688559</v>
      </c>
      <c r="H291" s="2" t="str">
        <f>MID(K291,3+FIND(":",K291,FIND("name",K291)),FIND(",",K291,FIND("name",K291))-FIND("name",K291)-9)</f>
        <v>Anders A</v>
      </c>
      <c r="I291">
        <f>VALUE(MID(K291,2+FIND(":",K291,FIND("tickets",K291)),FIND(",",K291,FIND("tickets",K291))-FIND("tickets",K291)-11))</f>
        <v>10</v>
      </c>
      <c r="K291" t="s">
        <v>102</v>
      </c>
    </row>
    <row r="292" spans="1:11" x14ac:dyDescent="0.35">
      <c r="A292">
        <v>291</v>
      </c>
      <c r="B292">
        <f>INDEX(Persons!A:A,MATCH(Sales!H292,Persons!B:B,0))</f>
        <v>48</v>
      </c>
      <c r="C292" s="11">
        <v>17</v>
      </c>
      <c r="D292">
        <f>I292</f>
        <v>4</v>
      </c>
      <c r="E292" s="7">
        <f>INDEX(Lotteries!C:C,MATCH(C292,Lotteries!A:A,0))*D292</f>
        <v>40</v>
      </c>
      <c r="F292" s="3">
        <f>D292*INDEX(Lotteries!F:F,MATCH(C292,Lotteries!A:A,0))</f>
        <v>0.16184971098265896</v>
      </c>
      <c r="G292" s="3">
        <f>INDEX(Lotteries!E:E,MATCH(C292,Lotteries!A:A,0))*D292/INDEX(Lotteries!D:D,MATCH(C292,Lotteries!A:A,0))*(INDEX(Lotteries!D:D,MATCH(C292,Lotteries!A:A,0))-D292)/INDEX(Lotteries!D:D,MATCH(C292,Lotteries!A:A,0))*(INDEX(Lotteries!D:D,MATCH(C292,Lotteries!A:A,0))-INDEX(Lotteries!E:E,MATCH(C292,Lotteries!A:A,0)))/(INDEX(Lotteries!D:D,MATCH(C292,Lotteries!A:A,0))-1)</f>
        <v>0.15259214248916236</v>
      </c>
      <c r="H292" s="2" t="str">
        <f t="shared" ref="H292:H312" si="0">MID(K292,3+FIND(":",K292,FIND("name",K292)),FIND(",",K292,FIND("name",K292))-FIND("name",K292)-9)</f>
        <v>Ivan</v>
      </c>
      <c r="I292">
        <f t="shared" ref="I292:I312" si="1">VALUE(MID(K292,2+FIND(":",K292,FIND("tickets",K292)),FIND(",",K292,FIND("tickets",K292))-FIND("tickets",K292)-11))</f>
        <v>4</v>
      </c>
      <c r="K292" t="s">
        <v>103</v>
      </c>
    </row>
    <row r="293" spans="1:11" x14ac:dyDescent="0.35">
      <c r="A293">
        <v>292</v>
      </c>
      <c r="B293">
        <f>INDEX(Persons!A:A,MATCH(Sales!H293,Persons!B:B,0))</f>
        <v>14</v>
      </c>
      <c r="C293" s="11">
        <v>17</v>
      </c>
      <c r="D293">
        <f t="shared" ref="D293:D314" si="2">I293</f>
        <v>5</v>
      </c>
      <c r="E293" s="7">
        <f>INDEX(Lotteries!C:C,MATCH(C293,Lotteries!A:A,0))*D293</f>
        <v>50</v>
      </c>
      <c r="F293" s="3">
        <f>D293*INDEX(Lotteries!F:F,MATCH(C293,Lotteries!A:A,0))</f>
        <v>0.20231213872832371</v>
      </c>
      <c r="G293" s="3">
        <f>INDEX(Lotteries!E:E,MATCH(C293,Lotteries!A:A,0))*D293/INDEX(Lotteries!D:D,MATCH(C293,Lotteries!A:A,0))*(INDEX(Lotteries!D:D,MATCH(C293,Lotteries!A:A,0))-D293)/INDEX(Lotteries!D:D,MATCH(C293,Lotteries!A:A,0))*(INDEX(Lotteries!D:D,MATCH(C293,Lotteries!A:A,0))-INDEX(Lotteries!E:E,MATCH(C293,Lotteries!A:A,0)))/(INDEX(Lotteries!D:D,MATCH(C293,Lotteries!A:A,0))-1)</f>
        <v>0.18961153800428451</v>
      </c>
      <c r="H293" s="2" t="str">
        <f t="shared" si="0"/>
        <v>Truls</v>
      </c>
      <c r="I293">
        <f t="shared" si="1"/>
        <v>5</v>
      </c>
      <c r="K293" t="s">
        <v>104</v>
      </c>
    </row>
    <row r="294" spans="1:11" x14ac:dyDescent="0.35">
      <c r="A294">
        <v>293</v>
      </c>
      <c r="B294">
        <f>INDEX(Persons!A:A,MATCH(Sales!H294,Persons!B:B,0))</f>
        <v>11</v>
      </c>
      <c r="C294" s="11">
        <v>17</v>
      </c>
      <c r="D294">
        <f t="shared" si="2"/>
        <v>5</v>
      </c>
      <c r="E294" s="7">
        <f>INDEX(Lotteries!C:C,MATCH(C294,Lotteries!A:A,0))*D294</f>
        <v>50</v>
      </c>
      <c r="F294" s="3">
        <f>D294*INDEX(Lotteries!F:F,MATCH(C294,Lotteries!A:A,0))</f>
        <v>0.20231213872832371</v>
      </c>
      <c r="G294" s="3">
        <f>INDEX(Lotteries!E:E,MATCH(C294,Lotteries!A:A,0))*D294/INDEX(Lotteries!D:D,MATCH(C294,Lotteries!A:A,0))*(INDEX(Lotteries!D:D,MATCH(C294,Lotteries!A:A,0))-D294)/INDEX(Lotteries!D:D,MATCH(C294,Lotteries!A:A,0))*(INDEX(Lotteries!D:D,MATCH(C294,Lotteries!A:A,0))-INDEX(Lotteries!E:E,MATCH(C294,Lotteries!A:A,0)))/(INDEX(Lotteries!D:D,MATCH(C294,Lotteries!A:A,0))-1)</f>
        <v>0.18961153800428451</v>
      </c>
      <c r="H294" s="2" t="str">
        <f t="shared" si="0"/>
        <v>Stein</v>
      </c>
      <c r="I294">
        <f t="shared" si="1"/>
        <v>5</v>
      </c>
      <c r="K294" t="s">
        <v>105</v>
      </c>
    </row>
    <row r="295" spans="1:11" x14ac:dyDescent="0.35">
      <c r="A295">
        <v>294</v>
      </c>
      <c r="B295">
        <f>INDEX(Persons!A:A,MATCH(Sales!H295,Persons!B:B,0))</f>
        <v>29</v>
      </c>
      <c r="C295" s="11">
        <v>17</v>
      </c>
      <c r="D295">
        <f t="shared" si="2"/>
        <v>10</v>
      </c>
      <c r="E295" s="7">
        <f>INDEX(Lotteries!C:C,MATCH(C295,Lotteries!A:A,0))*D295</f>
        <v>100</v>
      </c>
      <c r="F295" s="3">
        <f>D295*INDEX(Lotteries!F:F,MATCH(C295,Lotteries!A:A,0))</f>
        <v>0.40462427745664742</v>
      </c>
      <c r="G295" s="3">
        <f>INDEX(Lotteries!E:E,MATCH(C295,Lotteries!A:A,0))*D295/INDEX(Lotteries!D:D,MATCH(C295,Lotteries!A:A,0))*(INDEX(Lotteries!D:D,MATCH(C295,Lotteries!A:A,0))-D295)/INDEX(Lotteries!D:D,MATCH(C295,Lotteries!A:A,0))*(INDEX(Lotteries!D:D,MATCH(C295,Lotteries!A:A,0))-INDEX(Lotteries!E:E,MATCH(C295,Lotteries!A:A,0)))/(INDEX(Lotteries!D:D,MATCH(C295,Lotteries!A:A,0))-1)</f>
        <v>0.36793667493688559</v>
      </c>
      <c r="H295" s="2" t="str">
        <f t="shared" si="0"/>
        <v>Magnus BK</v>
      </c>
      <c r="I295">
        <f t="shared" si="1"/>
        <v>10</v>
      </c>
      <c r="K295" t="s">
        <v>124</v>
      </c>
    </row>
    <row r="296" spans="1:11" x14ac:dyDescent="0.35">
      <c r="A296">
        <v>295</v>
      </c>
      <c r="B296">
        <f>INDEX(Persons!A:A,MATCH(Sales!H296,Persons!B:B,0))</f>
        <v>17</v>
      </c>
      <c r="C296" s="11">
        <v>17</v>
      </c>
      <c r="D296">
        <f t="shared" si="2"/>
        <v>5</v>
      </c>
      <c r="E296" s="7">
        <f>INDEX(Lotteries!C:C,MATCH(C296,Lotteries!A:A,0))*D296</f>
        <v>50</v>
      </c>
      <c r="F296" s="3">
        <f>D296*INDEX(Lotteries!F:F,MATCH(C296,Lotteries!A:A,0))</f>
        <v>0.20231213872832371</v>
      </c>
      <c r="G296" s="3">
        <f>INDEX(Lotteries!E:E,MATCH(C296,Lotteries!A:A,0))*D296/INDEX(Lotteries!D:D,MATCH(C296,Lotteries!A:A,0))*(INDEX(Lotteries!D:D,MATCH(C296,Lotteries!A:A,0))-D296)/INDEX(Lotteries!D:D,MATCH(C296,Lotteries!A:A,0))*(INDEX(Lotteries!D:D,MATCH(C296,Lotteries!A:A,0))-INDEX(Lotteries!E:E,MATCH(C296,Lotteries!A:A,0)))/(INDEX(Lotteries!D:D,MATCH(C296,Lotteries!A:A,0))-1)</f>
        <v>0.18961153800428451</v>
      </c>
      <c r="H296" s="2" t="str">
        <f t="shared" si="0"/>
        <v>Hanne</v>
      </c>
      <c r="I296">
        <f t="shared" si="1"/>
        <v>5</v>
      </c>
      <c r="K296" t="s">
        <v>106</v>
      </c>
    </row>
    <row r="297" spans="1:11" x14ac:dyDescent="0.35">
      <c r="A297">
        <v>296</v>
      </c>
      <c r="B297">
        <f>INDEX(Persons!A:A,MATCH(Sales!H297,Persons!B:B,0))</f>
        <v>35</v>
      </c>
      <c r="C297" s="11">
        <v>17</v>
      </c>
      <c r="D297">
        <f t="shared" si="2"/>
        <v>5</v>
      </c>
      <c r="E297" s="7">
        <f>INDEX(Lotteries!C:C,MATCH(C297,Lotteries!A:A,0))*D297</f>
        <v>50</v>
      </c>
      <c r="F297" s="3">
        <f>D297*INDEX(Lotteries!F:F,MATCH(C297,Lotteries!A:A,0))</f>
        <v>0.20231213872832371</v>
      </c>
      <c r="G297" s="3">
        <f>INDEX(Lotteries!E:E,MATCH(C297,Lotteries!A:A,0))*D297/INDEX(Lotteries!D:D,MATCH(C297,Lotteries!A:A,0))*(INDEX(Lotteries!D:D,MATCH(C297,Lotteries!A:A,0))-D297)/INDEX(Lotteries!D:D,MATCH(C297,Lotteries!A:A,0))*(INDEX(Lotteries!D:D,MATCH(C297,Lotteries!A:A,0))-INDEX(Lotteries!E:E,MATCH(C297,Lotteries!A:A,0)))/(INDEX(Lotteries!D:D,MATCH(C297,Lotteries!A:A,0))-1)</f>
        <v>0.18961153800428451</v>
      </c>
      <c r="H297" s="2" t="str">
        <f t="shared" si="0"/>
        <v>Mathias</v>
      </c>
      <c r="I297">
        <f t="shared" si="1"/>
        <v>5</v>
      </c>
      <c r="K297" t="s">
        <v>107</v>
      </c>
    </row>
    <row r="298" spans="1:11" x14ac:dyDescent="0.35">
      <c r="A298">
        <v>297</v>
      </c>
      <c r="B298">
        <f>INDEX(Persons!A:A,MATCH(Sales!H298,Persons!B:B,0))</f>
        <v>46</v>
      </c>
      <c r="C298" s="11">
        <v>17</v>
      </c>
      <c r="D298">
        <f t="shared" si="2"/>
        <v>5</v>
      </c>
      <c r="E298" s="7">
        <f>INDEX(Lotteries!C:C,MATCH(C298,Lotteries!A:A,0))*D298</f>
        <v>50</v>
      </c>
      <c r="F298" s="3">
        <f>D298*INDEX(Lotteries!F:F,MATCH(C298,Lotteries!A:A,0))</f>
        <v>0.20231213872832371</v>
      </c>
      <c r="G298" s="3">
        <f>INDEX(Lotteries!E:E,MATCH(C298,Lotteries!A:A,0))*D298/INDEX(Lotteries!D:D,MATCH(C298,Lotteries!A:A,0))*(INDEX(Lotteries!D:D,MATCH(C298,Lotteries!A:A,0))-D298)/INDEX(Lotteries!D:D,MATCH(C298,Lotteries!A:A,0))*(INDEX(Lotteries!D:D,MATCH(C298,Lotteries!A:A,0))-INDEX(Lotteries!E:E,MATCH(C298,Lotteries!A:A,0)))/(INDEX(Lotteries!D:D,MATCH(C298,Lotteries!A:A,0))-1)</f>
        <v>0.18961153800428451</v>
      </c>
      <c r="H298" s="2" t="str">
        <f t="shared" si="0"/>
        <v>Ciaran</v>
      </c>
      <c r="I298">
        <f t="shared" si="1"/>
        <v>5</v>
      </c>
      <c r="K298" t="s">
        <v>108</v>
      </c>
    </row>
    <row r="299" spans="1:11" x14ac:dyDescent="0.35">
      <c r="A299">
        <v>298</v>
      </c>
      <c r="B299">
        <f>INDEX(Persons!A:A,MATCH(Sales!H299,Persons!B:B,0))</f>
        <v>1</v>
      </c>
      <c r="C299" s="11">
        <v>17</v>
      </c>
      <c r="D299">
        <f t="shared" si="2"/>
        <v>15</v>
      </c>
      <c r="E299" s="7">
        <f>INDEX(Lotteries!C:C,MATCH(C299,Lotteries!A:A,0))*D299</f>
        <v>150</v>
      </c>
      <c r="F299" s="3">
        <f>D299*INDEX(Lotteries!F:F,MATCH(C299,Lotteries!A:A,0))</f>
        <v>0.60693641618497107</v>
      </c>
      <c r="G299" s="3">
        <f>INDEX(Lotteries!E:E,MATCH(C299,Lotteries!A:A,0))*D299/INDEX(Lotteries!D:D,MATCH(C299,Lotteries!A:A,0))*(INDEX(Lotteries!D:D,MATCH(C299,Lotteries!A:A,0))-D299)/INDEX(Lotteries!D:D,MATCH(C299,Lotteries!A:A,0))*(INDEX(Lotteries!D:D,MATCH(C299,Lotteries!A:A,0))-INDEX(Lotteries!E:E,MATCH(C299,Lotteries!A:A,0)))/(INDEX(Lotteries!D:D,MATCH(C299,Lotteries!A:A,0))-1)</f>
        <v>0.53497541079780275</v>
      </c>
      <c r="H299" s="2" t="str">
        <f t="shared" si="0"/>
        <v>Anders W</v>
      </c>
      <c r="I299">
        <f t="shared" si="1"/>
        <v>15</v>
      </c>
      <c r="K299" t="s">
        <v>109</v>
      </c>
    </row>
    <row r="300" spans="1:11" x14ac:dyDescent="0.35">
      <c r="A300">
        <v>299</v>
      </c>
      <c r="B300">
        <f>INDEX(Persons!A:A,MATCH(Sales!H300,Persons!B:B,0))</f>
        <v>42</v>
      </c>
      <c r="C300" s="11">
        <v>17</v>
      </c>
      <c r="D300">
        <f t="shared" si="2"/>
        <v>6</v>
      </c>
      <c r="E300" s="7">
        <f>INDEX(Lotteries!C:C,MATCH(C300,Lotteries!A:A,0))*D300</f>
        <v>60</v>
      </c>
      <c r="F300" s="3">
        <f>D300*INDEX(Lotteries!F:F,MATCH(C300,Lotteries!A:A,0))</f>
        <v>0.24277456647398843</v>
      </c>
      <c r="G300" s="3">
        <f>INDEX(Lotteries!E:E,MATCH(C300,Lotteries!A:A,0))*D300/INDEX(Lotteries!D:D,MATCH(C300,Lotteries!A:A,0))*(INDEX(Lotteries!D:D,MATCH(C300,Lotteries!A:A,0))-D300)/INDEX(Lotteries!D:D,MATCH(C300,Lotteries!A:A,0))*(INDEX(Lotteries!D:D,MATCH(C300,Lotteries!A:A,0))-INDEX(Lotteries!E:E,MATCH(C300,Lotteries!A:A,0)))/(INDEX(Lotteries!D:D,MATCH(C300,Lotteries!A:A,0))-1)</f>
        <v>0.22617947747653944</v>
      </c>
      <c r="H300" s="2" t="str">
        <f t="shared" si="0"/>
        <v>Magnus W</v>
      </c>
      <c r="I300">
        <f t="shared" si="1"/>
        <v>6</v>
      </c>
      <c r="K300" t="s">
        <v>110</v>
      </c>
    </row>
    <row r="301" spans="1:11" x14ac:dyDescent="0.35">
      <c r="A301">
        <v>300</v>
      </c>
      <c r="B301">
        <f>INDEX(Persons!A:A,MATCH(Sales!H301,Persons!B:B,0))</f>
        <v>43</v>
      </c>
      <c r="C301" s="11">
        <v>17</v>
      </c>
      <c r="D301">
        <f t="shared" si="2"/>
        <v>5</v>
      </c>
      <c r="E301" s="7">
        <f>INDEX(Lotteries!C:C,MATCH(C301,Lotteries!A:A,0))*D301</f>
        <v>50</v>
      </c>
      <c r="F301" s="3">
        <f>D301*INDEX(Lotteries!F:F,MATCH(C301,Lotteries!A:A,0))</f>
        <v>0.20231213872832371</v>
      </c>
      <c r="G301" s="3">
        <f>INDEX(Lotteries!E:E,MATCH(C301,Lotteries!A:A,0))*D301/INDEX(Lotteries!D:D,MATCH(C301,Lotteries!A:A,0))*(INDEX(Lotteries!D:D,MATCH(C301,Lotteries!A:A,0))-D301)/INDEX(Lotteries!D:D,MATCH(C301,Lotteries!A:A,0))*(INDEX(Lotteries!D:D,MATCH(C301,Lotteries!A:A,0))-INDEX(Lotteries!E:E,MATCH(C301,Lotteries!A:A,0)))/(INDEX(Lotteries!D:D,MATCH(C301,Lotteries!A:A,0))-1)</f>
        <v>0.18961153800428451</v>
      </c>
      <c r="H301" s="2" t="str">
        <f t="shared" si="0"/>
        <v>Andreas</v>
      </c>
      <c r="I301">
        <f t="shared" si="1"/>
        <v>5</v>
      </c>
      <c r="K301" t="s">
        <v>111</v>
      </c>
    </row>
    <row r="302" spans="1:11" x14ac:dyDescent="0.35">
      <c r="A302">
        <v>301</v>
      </c>
      <c r="B302">
        <f>INDEX(Persons!A:A,MATCH(Sales!H302,Persons!B:B,0))</f>
        <v>44</v>
      </c>
      <c r="C302" s="11">
        <v>17</v>
      </c>
      <c r="D302">
        <f t="shared" si="2"/>
        <v>10</v>
      </c>
      <c r="E302" s="7">
        <f>INDEX(Lotteries!C:C,MATCH(C302,Lotteries!A:A,0))*D302</f>
        <v>100</v>
      </c>
      <c r="F302" s="3">
        <f>D302*INDEX(Lotteries!F:F,MATCH(C302,Lotteries!A:A,0))</f>
        <v>0.40462427745664742</v>
      </c>
      <c r="G302" s="3">
        <f>INDEX(Lotteries!E:E,MATCH(C302,Lotteries!A:A,0))*D302/INDEX(Lotteries!D:D,MATCH(C302,Lotteries!A:A,0))*(INDEX(Lotteries!D:D,MATCH(C302,Lotteries!A:A,0))-D302)/INDEX(Lotteries!D:D,MATCH(C302,Lotteries!A:A,0))*(INDEX(Lotteries!D:D,MATCH(C302,Lotteries!A:A,0))-INDEX(Lotteries!E:E,MATCH(C302,Lotteries!A:A,0)))/(INDEX(Lotteries!D:D,MATCH(C302,Lotteries!A:A,0))-1)</f>
        <v>0.36793667493688559</v>
      </c>
      <c r="H302" s="2" t="str">
        <f t="shared" si="0"/>
        <v>Jan</v>
      </c>
      <c r="I302">
        <f t="shared" si="1"/>
        <v>10</v>
      </c>
      <c r="K302" t="s">
        <v>112</v>
      </c>
    </row>
    <row r="303" spans="1:11" x14ac:dyDescent="0.35">
      <c r="A303">
        <v>302</v>
      </c>
      <c r="B303">
        <f>INDEX(Persons!A:A,MATCH(Sales!H303,Persons!B:B,0))</f>
        <v>20</v>
      </c>
      <c r="C303" s="11">
        <v>17</v>
      </c>
      <c r="D303">
        <f t="shared" si="2"/>
        <v>5</v>
      </c>
      <c r="E303" s="7">
        <f>INDEX(Lotteries!C:C,MATCH(C303,Lotteries!A:A,0))*D303</f>
        <v>50</v>
      </c>
      <c r="F303" s="3">
        <f>D303*INDEX(Lotteries!F:F,MATCH(C303,Lotteries!A:A,0))</f>
        <v>0.20231213872832371</v>
      </c>
      <c r="G303" s="3">
        <f>INDEX(Lotteries!E:E,MATCH(C303,Lotteries!A:A,0))*D303/INDEX(Lotteries!D:D,MATCH(C303,Lotteries!A:A,0))*(INDEX(Lotteries!D:D,MATCH(C303,Lotteries!A:A,0))-D303)/INDEX(Lotteries!D:D,MATCH(C303,Lotteries!A:A,0))*(INDEX(Lotteries!D:D,MATCH(C303,Lotteries!A:A,0))-INDEX(Lotteries!E:E,MATCH(C303,Lotteries!A:A,0)))/(INDEX(Lotteries!D:D,MATCH(C303,Lotteries!A:A,0))-1)</f>
        <v>0.18961153800428451</v>
      </c>
      <c r="H303" s="2" t="str">
        <f t="shared" si="0"/>
        <v>Kyrre</v>
      </c>
      <c r="I303">
        <f t="shared" si="1"/>
        <v>5</v>
      </c>
      <c r="K303" t="s">
        <v>113</v>
      </c>
    </row>
    <row r="304" spans="1:11" x14ac:dyDescent="0.35">
      <c r="A304">
        <v>303</v>
      </c>
      <c r="B304">
        <f>INDEX(Persons!A:A,MATCH(Sales!H304,Persons!B:B,0))</f>
        <v>24</v>
      </c>
      <c r="C304" s="11">
        <v>17</v>
      </c>
      <c r="D304">
        <f t="shared" si="2"/>
        <v>5</v>
      </c>
      <c r="E304" s="7">
        <f>INDEX(Lotteries!C:C,MATCH(C304,Lotteries!A:A,0))*D304</f>
        <v>50</v>
      </c>
      <c r="F304" s="3">
        <f>D304*INDEX(Lotteries!F:F,MATCH(C304,Lotteries!A:A,0))</f>
        <v>0.20231213872832371</v>
      </c>
      <c r="G304" s="3">
        <f>INDEX(Lotteries!E:E,MATCH(C304,Lotteries!A:A,0))*D304/INDEX(Lotteries!D:D,MATCH(C304,Lotteries!A:A,0))*(INDEX(Lotteries!D:D,MATCH(C304,Lotteries!A:A,0))-D304)/INDEX(Lotteries!D:D,MATCH(C304,Lotteries!A:A,0))*(INDEX(Lotteries!D:D,MATCH(C304,Lotteries!A:A,0))-INDEX(Lotteries!E:E,MATCH(C304,Lotteries!A:A,0)))/(INDEX(Lotteries!D:D,MATCH(C304,Lotteries!A:A,0))-1)</f>
        <v>0.18961153800428451</v>
      </c>
      <c r="H304" s="2" t="str">
        <f t="shared" si="0"/>
        <v>Terje</v>
      </c>
      <c r="I304">
        <f t="shared" si="1"/>
        <v>5</v>
      </c>
      <c r="K304" t="s">
        <v>114</v>
      </c>
    </row>
    <row r="305" spans="1:11" x14ac:dyDescent="0.35">
      <c r="A305">
        <v>304</v>
      </c>
      <c r="B305">
        <f>INDEX(Persons!A:A,MATCH(Sales!H305,Persons!B:B,0))</f>
        <v>32</v>
      </c>
      <c r="C305" s="11">
        <v>17</v>
      </c>
      <c r="D305">
        <f t="shared" si="2"/>
        <v>10</v>
      </c>
      <c r="E305" s="7">
        <f>INDEX(Lotteries!C:C,MATCH(C305,Lotteries!A:A,0))*D305</f>
        <v>100</v>
      </c>
      <c r="F305" s="3">
        <f>D305*INDEX(Lotteries!F:F,MATCH(C305,Lotteries!A:A,0))</f>
        <v>0.40462427745664742</v>
      </c>
      <c r="G305" s="3">
        <f>INDEX(Lotteries!E:E,MATCH(C305,Lotteries!A:A,0))*D305/INDEX(Lotteries!D:D,MATCH(C305,Lotteries!A:A,0))*(INDEX(Lotteries!D:D,MATCH(C305,Lotteries!A:A,0))-D305)/INDEX(Lotteries!D:D,MATCH(C305,Lotteries!A:A,0))*(INDEX(Lotteries!D:D,MATCH(C305,Lotteries!A:A,0))-INDEX(Lotteries!E:E,MATCH(C305,Lotteries!A:A,0)))/(INDEX(Lotteries!D:D,MATCH(C305,Lotteries!A:A,0))-1)</f>
        <v>0.36793667493688559</v>
      </c>
      <c r="H305" s="2" t="str">
        <f t="shared" si="0"/>
        <v>Martin</v>
      </c>
      <c r="I305">
        <f t="shared" si="1"/>
        <v>10</v>
      </c>
      <c r="K305" t="s">
        <v>115</v>
      </c>
    </row>
    <row r="306" spans="1:11" x14ac:dyDescent="0.35">
      <c r="A306">
        <v>305</v>
      </c>
      <c r="B306">
        <f>INDEX(Persons!A:A,MATCH(Sales!H306,Persons!B:B,0))</f>
        <v>8</v>
      </c>
      <c r="C306" s="11">
        <v>17</v>
      </c>
      <c r="D306">
        <f t="shared" si="2"/>
        <v>16</v>
      </c>
      <c r="E306" s="7">
        <f>INDEX(Lotteries!C:C,MATCH(C306,Lotteries!A:A,0))*D306</f>
        <v>160</v>
      </c>
      <c r="F306" s="3">
        <f>D306*INDEX(Lotteries!F:F,MATCH(C306,Lotteries!A:A,0))</f>
        <v>0.64739884393063585</v>
      </c>
      <c r="G306" s="3">
        <f>INDEX(Lotteries!E:E,MATCH(C306,Lotteries!A:A,0))*D306/INDEX(Lotteries!D:D,MATCH(C306,Lotteries!A:A,0))*(INDEX(Lotteries!D:D,MATCH(C306,Lotteries!A:A,0))-D306)/INDEX(Lotteries!D:D,MATCH(C306,Lotteries!A:A,0))*(INDEX(Lotteries!D:D,MATCH(C306,Lotteries!A:A,0))-INDEX(Lotteries!E:E,MATCH(C306,Lotteries!A:A,0)))/(INDEX(Lotteries!D:D,MATCH(C306,Lotteries!A:A,0))-1)</f>
        <v>0.56702878984138438</v>
      </c>
      <c r="H306" s="2" t="str">
        <f t="shared" si="0"/>
        <v>Marius</v>
      </c>
      <c r="I306">
        <f t="shared" si="1"/>
        <v>16</v>
      </c>
      <c r="K306" t="s">
        <v>116</v>
      </c>
    </row>
    <row r="307" spans="1:11" x14ac:dyDescent="0.35">
      <c r="A307">
        <v>306</v>
      </c>
      <c r="B307">
        <f>INDEX(Persons!A:A,MATCH(Sales!H307,Persons!B:B,0))</f>
        <v>15</v>
      </c>
      <c r="C307" s="11">
        <v>17</v>
      </c>
      <c r="D307">
        <f t="shared" si="2"/>
        <v>6</v>
      </c>
      <c r="E307" s="7">
        <f>INDEX(Lotteries!C:C,MATCH(C307,Lotteries!A:A,0))*D307</f>
        <v>60</v>
      </c>
      <c r="F307" s="3">
        <f>D307*INDEX(Lotteries!F:F,MATCH(C307,Lotteries!A:A,0))</f>
        <v>0.24277456647398843</v>
      </c>
      <c r="G307" s="3">
        <f>INDEX(Lotteries!E:E,MATCH(C307,Lotteries!A:A,0))*D307/INDEX(Lotteries!D:D,MATCH(C307,Lotteries!A:A,0))*(INDEX(Lotteries!D:D,MATCH(C307,Lotteries!A:A,0))-D307)/INDEX(Lotteries!D:D,MATCH(C307,Lotteries!A:A,0))*(INDEX(Lotteries!D:D,MATCH(C307,Lotteries!A:A,0))-INDEX(Lotteries!E:E,MATCH(C307,Lotteries!A:A,0)))/(INDEX(Lotteries!D:D,MATCH(C307,Lotteries!A:A,0))-1)</f>
        <v>0.22617947747653944</v>
      </c>
      <c r="H307" s="2" t="str">
        <f t="shared" si="0"/>
        <v>Yngvar</v>
      </c>
      <c r="I307">
        <f t="shared" si="1"/>
        <v>6</v>
      </c>
      <c r="K307" t="s">
        <v>117</v>
      </c>
    </row>
    <row r="308" spans="1:11" x14ac:dyDescent="0.35">
      <c r="A308">
        <v>307</v>
      </c>
      <c r="B308">
        <f>INDEX(Persons!A:A,MATCH(Sales!H308,Persons!B:B,0))</f>
        <v>2</v>
      </c>
      <c r="C308" s="11">
        <v>17</v>
      </c>
      <c r="D308">
        <f t="shared" si="2"/>
        <v>5</v>
      </c>
      <c r="E308" s="7">
        <f>INDEX(Lotteries!C:C,MATCH(C308,Lotteries!A:A,0))*D308</f>
        <v>50</v>
      </c>
      <c r="F308" s="3">
        <f>D308*INDEX(Lotteries!F:F,MATCH(C308,Lotteries!A:A,0))</f>
        <v>0.20231213872832371</v>
      </c>
      <c r="G308" s="3">
        <f>INDEX(Lotteries!E:E,MATCH(C308,Lotteries!A:A,0))*D308/INDEX(Lotteries!D:D,MATCH(C308,Lotteries!A:A,0))*(INDEX(Lotteries!D:D,MATCH(C308,Lotteries!A:A,0))-D308)/INDEX(Lotteries!D:D,MATCH(C308,Lotteries!A:A,0))*(INDEX(Lotteries!D:D,MATCH(C308,Lotteries!A:A,0))-INDEX(Lotteries!E:E,MATCH(C308,Lotteries!A:A,0)))/(INDEX(Lotteries!D:D,MATCH(C308,Lotteries!A:A,0))-1)</f>
        <v>0.18961153800428451</v>
      </c>
      <c r="H308" s="2" t="str">
        <f t="shared" si="0"/>
        <v>Erik B</v>
      </c>
      <c r="I308">
        <f t="shared" si="1"/>
        <v>5</v>
      </c>
      <c r="K308" t="s">
        <v>118</v>
      </c>
    </row>
    <row r="309" spans="1:11" x14ac:dyDescent="0.35">
      <c r="A309">
        <v>308</v>
      </c>
      <c r="B309">
        <f>INDEX(Persons!A:A,MATCH(Sales!H309,Persons!B:B,0))</f>
        <v>47</v>
      </c>
      <c r="C309" s="11">
        <v>17</v>
      </c>
      <c r="D309">
        <f t="shared" si="2"/>
        <v>10</v>
      </c>
      <c r="E309" s="7">
        <f>INDEX(Lotteries!C:C,MATCH(C309,Lotteries!A:A,0))*D309</f>
        <v>100</v>
      </c>
      <c r="F309" s="3">
        <f>D309*INDEX(Lotteries!F:F,MATCH(C309,Lotteries!A:A,0))</f>
        <v>0.40462427745664742</v>
      </c>
      <c r="G309" s="3">
        <f>INDEX(Lotteries!E:E,MATCH(C309,Lotteries!A:A,0))*D309/INDEX(Lotteries!D:D,MATCH(C309,Lotteries!A:A,0))*(INDEX(Lotteries!D:D,MATCH(C309,Lotteries!A:A,0))-D309)/INDEX(Lotteries!D:D,MATCH(C309,Lotteries!A:A,0))*(INDEX(Lotteries!D:D,MATCH(C309,Lotteries!A:A,0))-INDEX(Lotteries!E:E,MATCH(C309,Lotteries!A:A,0)))/(INDEX(Lotteries!D:D,MATCH(C309,Lotteries!A:A,0))-1)</f>
        <v>0.36793667493688559</v>
      </c>
      <c r="H309" s="2" t="str">
        <f t="shared" si="0"/>
        <v>Kenneth</v>
      </c>
      <c r="I309">
        <f t="shared" si="1"/>
        <v>10</v>
      </c>
      <c r="K309" t="s">
        <v>119</v>
      </c>
    </row>
    <row r="310" spans="1:11" x14ac:dyDescent="0.35">
      <c r="A310">
        <v>309</v>
      </c>
      <c r="B310">
        <f>INDEX(Persons!A:A,MATCH(Sales!H310,Persons!B:B,0))</f>
        <v>37</v>
      </c>
      <c r="C310" s="11">
        <v>17</v>
      </c>
      <c r="D310">
        <f t="shared" si="2"/>
        <v>10</v>
      </c>
      <c r="E310" s="7">
        <f>INDEX(Lotteries!C:C,MATCH(C310,Lotteries!A:A,0))*D310</f>
        <v>100</v>
      </c>
      <c r="F310" s="3">
        <f>D310*INDEX(Lotteries!F:F,MATCH(C310,Lotteries!A:A,0))</f>
        <v>0.40462427745664742</v>
      </c>
      <c r="G310" s="3">
        <f>INDEX(Lotteries!E:E,MATCH(C310,Lotteries!A:A,0))*D310/INDEX(Lotteries!D:D,MATCH(C310,Lotteries!A:A,0))*(INDEX(Lotteries!D:D,MATCH(C310,Lotteries!A:A,0))-D310)/INDEX(Lotteries!D:D,MATCH(C310,Lotteries!A:A,0))*(INDEX(Lotteries!D:D,MATCH(C310,Lotteries!A:A,0))-INDEX(Lotteries!E:E,MATCH(C310,Lotteries!A:A,0)))/(INDEX(Lotteries!D:D,MATCH(C310,Lotteries!A:A,0))-1)</f>
        <v>0.36793667493688559</v>
      </c>
      <c r="H310" s="2" t="str">
        <f t="shared" si="0"/>
        <v>Ruben O</v>
      </c>
      <c r="I310">
        <f t="shared" si="1"/>
        <v>10</v>
      </c>
      <c r="K310" t="s">
        <v>120</v>
      </c>
    </row>
    <row r="311" spans="1:11" x14ac:dyDescent="0.35">
      <c r="A311">
        <v>310</v>
      </c>
      <c r="B311">
        <f>INDEX(Persons!A:A,MATCH(Sales!H311,Persons!B:B,0))</f>
        <v>41</v>
      </c>
      <c r="C311" s="11">
        <v>17</v>
      </c>
      <c r="D311">
        <f t="shared" si="2"/>
        <v>10</v>
      </c>
      <c r="E311" s="7">
        <f>INDEX(Lotteries!C:C,MATCH(C311,Lotteries!A:A,0))*D311</f>
        <v>100</v>
      </c>
      <c r="F311" s="3">
        <f>D311*INDEX(Lotteries!F:F,MATCH(C311,Lotteries!A:A,0))</f>
        <v>0.40462427745664742</v>
      </c>
      <c r="G311" s="3">
        <f>INDEX(Lotteries!E:E,MATCH(C311,Lotteries!A:A,0))*D311/INDEX(Lotteries!D:D,MATCH(C311,Lotteries!A:A,0))*(INDEX(Lotteries!D:D,MATCH(C311,Lotteries!A:A,0))-D311)/INDEX(Lotteries!D:D,MATCH(C311,Lotteries!A:A,0))*(INDEX(Lotteries!D:D,MATCH(C311,Lotteries!A:A,0))-INDEX(Lotteries!E:E,MATCH(C311,Lotteries!A:A,0)))/(INDEX(Lotteries!D:D,MATCH(C311,Lotteries!A:A,0))-1)</f>
        <v>0.36793667493688559</v>
      </c>
      <c r="H311" s="2" t="str">
        <f t="shared" si="0"/>
        <v>Ruben B</v>
      </c>
      <c r="I311">
        <f t="shared" si="1"/>
        <v>10</v>
      </c>
      <c r="K311" t="s">
        <v>121</v>
      </c>
    </row>
    <row r="312" spans="1:11" x14ac:dyDescent="0.35">
      <c r="A312">
        <v>311</v>
      </c>
      <c r="B312">
        <f>INDEX(Persons!A:A,MATCH(Sales!H312,Persons!B:B,0))</f>
        <v>34</v>
      </c>
      <c r="C312" s="11">
        <v>17</v>
      </c>
      <c r="D312">
        <f t="shared" si="2"/>
        <v>5</v>
      </c>
      <c r="E312" s="7">
        <f>INDEX(Lotteries!C:C,MATCH(C312,Lotteries!A:A,0))*D312</f>
        <v>50</v>
      </c>
      <c r="F312" s="3">
        <f>D312*INDEX(Lotteries!F:F,MATCH(C312,Lotteries!A:A,0))</f>
        <v>0.20231213872832371</v>
      </c>
      <c r="G312" s="3">
        <f>INDEX(Lotteries!E:E,MATCH(C312,Lotteries!A:A,0))*D312/INDEX(Lotteries!D:D,MATCH(C312,Lotteries!A:A,0))*(INDEX(Lotteries!D:D,MATCH(C312,Lotteries!A:A,0))-D312)/INDEX(Lotteries!D:D,MATCH(C312,Lotteries!A:A,0))*(INDEX(Lotteries!D:D,MATCH(C312,Lotteries!A:A,0))-INDEX(Lotteries!E:E,MATCH(C312,Lotteries!A:A,0)))/(INDEX(Lotteries!D:D,MATCH(C312,Lotteries!A:A,0))-1)</f>
        <v>0.18961153800428451</v>
      </c>
      <c r="H312" s="2" t="str">
        <f t="shared" si="0"/>
        <v>Asgeir</v>
      </c>
      <c r="I312">
        <f t="shared" si="1"/>
        <v>5</v>
      </c>
      <c r="K312" t="s">
        <v>123</v>
      </c>
    </row>
    <row r="313" spans="1:11" x14ac:dyDescent="0.35">
      <c r="A313">
        <v>312</v>
      </c>
      <c r="B313">
        <f>INDEX(Persons!A:A,MATCH(Sales!H313,Persons!B:B,0))</f>
        <v>49</v>
      </c>
      <c r="C313" s="11">
        <v>17</v>
      </c>
      <c r="D313">
        <f t="shared" si="2"/>
        <v>1</v>
      </c>
      <c r="E313" s="7">
        <f>INDEX(Lotteries!C:C,MATCH(C313,Lotteries!A:A,0))*D313</f>
        <v>10</v>
      </c>
      <c r="F313" s="3">
        <f>D313*INDEX(Lotteries!F:F,MATCH(C313,Lotteries!A:A,0))</f>
        <v>4.046242774566474E-2</v>
      </c>
      <c r="G313" s="3">
        <f>INDEX(Lotteries!E:E,MATCH(C313,Lotteries!A:A,0))*D313/INDEX(Lotteries!D:D,MATCH(C313,Lotteries!A:A,0))*(INDEX(Lotteries!D:D,MATCH(C313,Lotteries!A:A,0))-D313)/INDEX(Lotteries!D:D,MATCH(C313,Lotteries!A:A,0))*(INDEX(Lotteries!D:D,MATCH(C313,Lotteries!A:A,0))-INDEX(Lotteries!E:E,MATCH(C313,Lotteries!A:A,0)))/(INDEX(Lotteries!D:D,MATCH(C313,Lotteries!A:A,0))-1)</f>
        <v>3.8825219686591604E-2</v>
      </c>
      <c r="H313" s="2" t="str">
        <f t="shared" ref="H313:H314" si="3">MID(K313,3+FIND(":",K313,FIND("name",K313)),FIND(",",K313,FIND("name",K313))-FIND("name",K313)-9)</f>
        <v>Stan</v>
      </c>
      <c r="I313">
        <f t="shared" ref="I313:I314" si="4">VALUE(MID(K313,2+FIND(":",K313,FIND("tickets",K313)),FIND(",",K313,FIND("tickets",K313))-FIND("tickets",K313)-11))</f>
        <v>1</v>
      </c>
      <c r="K313" t="s">
        <v>125</v>
      </c>
    </row>
    <row r="314" spans="1:11" x14ac:dyDescent="0.35">
      <c r="A314">
        <v>313</v>
      </c>
      <c r="B314">
        <f>INDEX(Persons!A:A,MATCH(Sales!H314,Persons!B:B,0))</f>
        <v>45</v>
      </c>
      <c r="C314" s="11">
        <v>17</v>
      </c>
      <c r="D314">
        <f t="shared" si="2"/>
        <v>5</v>
      </c>
      <c r="E314" s="7">
        <f>INDEX(Lotteries!C:C,MATCH(C314,Lotteries!A:A,0))*D314</f>
        <v>50</v>
      </c>
      <c r="F314" s="3">
        <f>D314*INDEX(Lotteries!F:F,MATCH(C314,Lotteries!A:A,0))</f>
        <v>0.20231213872832371</v>
      </c>
      <c r="G314" s="3">
        <f>INDEX(Lotteries!E:E,MATCH(C314,Lotteries!A:A,0))*D314/INDEX(Lotteries!D:D,MATCH(C314,Lotteries!A:A,0))*(INDEX(Lotteries!D:D,MATCH(C314,Lotteries!A:A,0))-D314)/INDEX(Lotteries!D:D,MATCH(C314,Lotteries!A:A,0))*(INDEX(Lotteries!D:D,MATCH(C314,Lotteries!A:A,0))-INDEX(Lotteries!E:E,MATCH(C314,Lotteries!A:A,0)))/(INDEX(Lotteries!D:D,MATCH(C314,Lotteries!A:A,0))-1)</f>
        <v>0.18961153800428451</v>
      </c>
      <c r="H314" s="2" t="str">
        <f t="shared" si="3"/>
        <v>Fridtjof</v>
      </c>
      <c r="I314">
        <f t="shared" si="4"/>
        <v>5</v>
      </c>
      <c r="K314" t="s">
        <v>127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46" workbookViewId="0">
      <selection activeCell="D91" sqref="D91:D96"/>
    </sheetView>
  </sheetViews>
  <sheetFormatPr defaultColWidth="8.90625" defaultRowHeight="14.5" x14ac:dyDescent="0.35"/>
  <cols>
    <col min="5" max="5" width="8.90625" style="2"/>
  </cols>
  <sheetData>
    <row r="1" spans="1:7" x14ac:dyDescent="0.35">
      <c r="A1" s="20" t="s">
        <v>0</v>
      </c>
      <c r="B1" s="20" t="s">
        <v>19</v>
      </c>
      <c r="C1" s="20" t="s">
        <v>18</v>
      </c>
      <c r="D1" s="20" t="s">
        <v>21</v>
      </c>
      <c r="F1" t="s">
        <v>44</v>
      </c>
      <c r="G1">
        <f>SUM(D:D)</f>
        <v>103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3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79</v>
      </c>
    </row>
    <row r="87" spans="1:5" x14ac:dyDescent="0.3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3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3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3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  <row r="91" spans="1:5" x14ac:dyDescent="0.35">
      <c r="A91">
        <v>90</v>
      </c>
      <c r="B91">
        <f>INDEX(Persons!A:A,MATCH(Prizes!E91,Persons!B:B,0))</f>
        <v>48</v>
      </c>
      <c r="C91">
        <v>17</v>
      </c>
      <c r="D91">
        <v>1</v>
      </c>
      <c r="E91" s="2" t="s">
        <v>122</v>
      </c>
    </row>
    <row r="92" spans="1:5" x14ac:dyDescent="0.35">
      <c r="A92">
        <v>91</v>
      </c>
      <c r="B92">
        <f>INDEX(Persons!A:A,MATCH(Prizes!E92,Persons!B:B,0))</f>
        <v>46</v>
      </c>
      <c r="C92">
        <v>17</v>
      </c>
      <c r="D92">
        <v>1</v>
      </c>
      <c r="E92" s="2" t="s">
        <v>98</v>
      </c>
    </row>
    <row r="93" spans="1:5" x14ac:dyDescent="0.35">
      <c r="A93">
        <v>92</v>
      </c>
      <c r="B93">
        <f>INDEX(Persons!A:A,MATCH(Prizes!E93,Persons!B:B,0))</f>
        <v>1</v>
      </c>
      <c r="C93">
        <v>17</v>
      </c>
      <c r="D93">
        <v>2</v>
      </c>
      <c r="E93" s="2" t="s">
        <v>45</v>
      </c>
    </row>
    <row r="94" spans="1:5" x14ac:dyDescent="0.35">
      <c r="A94">
        <v>93</v>
      </c>
      <c r="B94">
        <f>INDEX(Persons!A:A,MATCH(Prizes!E94,Persons!B:B,0))</f>
        <v>42</v>
      </c>
      <c r="C94">
        <v>17</v>
      </c>
      <c r="D94">
        <v>1</v>
      </c>
      <c r="E94" s="2" t="s">
        <v>81</v>
      </c>
    </row>
    <row r="95" spans="1:5" x14ac:dyDescent="0.35">
      <c r="A95">
        <v>94</v>
      </c>
      <c r="B95">
        <f>INDEX(Persons!A:A,MATCH(Prizes!E95,Persons!B:B,0))</f>
        <v>20</v>
      </c>
      <c r="C95">
        <v>17</v>
      </c>
      <c r="D95">
        <v>1</v>
      </c>
      <c r="E95" s="2" t="s">
        <v>27</v>
      </c>
    </row>
    <row r="96" spans="1:5" x14ac:dyDescent="0.35">
      <c r="A96">
        <v>95</v>
      </c>
      <c r="B96">
        <f>INDEX(Persons!A:A,MATCH(Prizes!E96,Persons!B:B,0))</f>
        <v>32</v>
      </c>
      <c r="C96">
        <v>17</v>
      </c>
      <c r="D96">
        <v>1</v>
      </c>
      <c r="E96" s="2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F30" sqref="F30"/>
    </sheetView>
  </sheetViews>
  <sheetFormatPr defaultColWidth="8.90625" defaultRowHeight="14.5" x14ac:dyDescent="0.35"/>
  <cols>
    <col min="2" max="2" width="9.90625" bestFit="1" customWidth="1"/>
    <col min="3" max="3" width="9.08984375" bestFit="1" customWidth="1"/>
    <col min="7" max="7" width="10.08984375" style="13" bestFit="1" customWidth="1"/>
  </cols>
  <sheetData>
    <row r="1" spans="1:8" x14ac:dyDescent="0.35">
      <c r="A1" s="20" t="s">
        <v>0</v>
      </c>
      <c r="B1" s="20" t="s">
        <v>17</v>
      </c>
      <c r="C1" s="20" t="s">
        <v>50</v>
      </c>
      <c r="D1" s="20" t="s">
        <v>21</v>
      </c>
      <c r="F1" t="s">
        <v>87</v>
      </c>
      <c r="G1" s="13">
        <f>SUM(C:C)</f>
        <v>23114.15</v>
      </c>
      <c r="H1" s="12">
        <f>SUM(D:D)</f>
        <v>103</v>
      </c>
    </row>
    <row r="2" spans="1:8" x14ac:dyDescent="0.35">
      <c r="A2">
        <v>1</v>
      </c>
      <c r="B2" s="1">
        <v>42291</v>
      </c>
      <c r="C2" s="14">
        <v>1651.2</v>
      </c>
      <c r="D2">
        <v>10</v>
      </c>
    </row>
    <row r="3" spans="1:8" x14ac:dyDescent="0.35">
      <c r="A3">
        <v>2</v>
      </c>
      <c r="B3" s="1">
        <v>42412</v>
      </c>
      <c r="C3" s="14">
        <v>986.65</v>
      </c>
      <c r="D3">
        <v>6</v>
      </c>
    </row>
    <row r="4" spans="1:8" x14ac:dyDescent="0.35">
      <c r="A4">
        <v>3</v>
      </c>
      <c r="B4" s="1">
        <v>42482</v>
      </c>
      <c r="C4" s="14">
        <v>1083.5</v>
      </c>
      <c r="D4">
        <v>6</v>
      </c>
    </row>
    <row r="5" spans="1:8" x14ac:dyDescent="0.35">
      <c r="A5">
        <v>4</v>
      </c>
      <c r="B5" s="1">
        <v>43173</v>
      </c>
      <c r="C5" s="14">
        <v>2500</v>
      </c>
      <c r="D5">
        <v>10</v>
      </c>
    </row>
    <row r="6" spans="1:8" x14ac:dyDescent="0.35">
      <c r="A6">
        <v>5</v>
      </c>
      <c r="B6" s="1">
        <v>43255</v>
      </c>
      <c r="C6" s="14">
        <v>2599</v>
      </c>
      <c r="D6">
        <v>10</v>
      </c>
    </row>
    <row r="7" spans="1:8" x14ac:dyDescent="0.35">
      <c r="A7">
        <v>6</v>
      </c>
      <c r="B7" s="1" t="s">
        <v>86</v>
      </c>
      <c r="C7" s="14">
        <v>0</v>
      </c>
      <c r="D7">
        <v>4</v>
      </c>
    </row>
    <row r="8" spans="1:8" x14ac:dyDescent="0.35">
      <c r="A8">
        <v>7</v>
      </c>
      <c r="B8" s="1">
        <v>43333</v>
      </c>
      <c r="C8" s="14">
        <v>2744</v>
      </c>
      <c r="D8">
        <v>10</v>
      </c>
    </row>
    <row r="9" spans="1:8" x14ac:dyDescent="0.35">
      <c r="A9">
        <v>8</v>
      </c>
      <c r="B9" s="1">
        <v>43420</v>
      </c>
      <c r="C9" s="14">
        <v>2493</v>
      </c>
      <c r="D9">
        <v>10</v>
      </c>
    </row>
    <row r="10" spans="1:8" x14ac:dyDescent="0.3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14">
        <v>2637</v>
      </c>
      <c r="D11">
        <v>10</v>
      </c>
    </row>
    <row r="12" spans="1:8" x14ac:dyDescent="0.35">
      <c r="A12">
        <v>11</v>
      </c>
      <c r="B12" s="1">
        <v>43538</v>
      </c>
      <c r="C12" s="14">
        <v>2894</v>
      </c>
      <c r="D12">
        <v>12</v>
      </c>
    </row>
    <row r="13" spans="1:8" x14ac:dyDescent="0.35">
      <c r="A13">
        <v>12</v>
      </c>
      <c r="B13" s="1">
        <v>43704</v>
      </c>
      <c r="C13" s="14">
        <v>2990</v>
      </c>
      <c r="D13">
        <v>12</v>
      </c>
    </row>
    <row r="14" spans="1:8" x14ac:dyDescent="0.35">
      <c r="A14">
        <v>13</v>
      </c>
      <c r="B14" s="1" t="s">
        <v>86</v>
      </c>
      <c r="C14" s="14" t="s">
        <v>86</v>
      </c>
      <c r="D14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G23" sqref="G23"/>
    </sheetView>
  </sheetViews>
  <sheetFormatPr defaultColWidth="8.90625" defaultRowHeight="14.5" x14ac:dyDescent="0.35"/>
  <cols>
    <col min="3" max="3" width="10.08984375" customWidth="1"/>
    <col min="7" max="7" width="8.90625" style="12"/>
    <col min="9" max="9" width="10.81640625" bestFit="1" customWidth="1"/>
  </cols>
  <sheetData>
    <row r="2" spans="2:10" x14ac:dyDescent="0.35">
      <c r="B2" t="s">
        <v>88</v>
      </c>
      <c r="C2" s="13">
        <v>3929</v>
      </c>
      <c r="I2" t="s">
        <v>93</v>
      </c>
      <c r="J2" s="13">
        <v>11</v>
      </c>
    </row>
    <row r="3" spans="2:10" x14ac:dyDescent="0.35">
      <c r="B3" t="s">
        <v>89</v>
      </c>
      <c r="C3" s="13">
        <f>Sales!J1</f>
        <v>23550</v>
      </c>
      <c r="I3" t="s">
        <v>94</v>
      </c>
      <c r="J3" s="13">
        <v>9</v>
      </c>
    </row>
    <row r="4" spans="2:10" x14ac:dyDescent="0.35">
      <c r="B4" t="s">
        <v>92</v>
      </c>
      <c r="C4" s="13">
        <f>J7</f>
        <v>26</v>
      </c>
      <c r="I4" t="s">
        <v>95</v>
      </c>
      <c r="J4" s="13">
        <v>6</v>
      </c>
    </row>
    <row r="5" spans="2:10" x14ac:dyDescent="0.35">
      <c r="B5" t="s">
        <v>59</v>
      </c>
      <c r="C5" s="13">
        <f>-Persons!X1</f>
        <v>-100</v>
      </c>
      <c r="F5" t="s">
        <v>87</v>
      </c>
      <c r="G5" s="12">
        <f>Purchases!H1</f>
        <v>103</v>
      </c>
      <c r="J5" s="13"/>
    </row>
    <row r="6" spans="2:10" x14ac:dyDescent="0.35">
      <c r="B6" s="15" t="s">
        <v>87</v>
      </c>
      <c r="C6" s="16">
        <f>-Purchases!G1</f>
        <v>-23114.15</v>
      </c>
      <c r="F6" s="15" t="s">
        <v>44</v>
      </c>
      <c r="G6" s="25">
        <f>-Prizes!G1</f>
        <v>-103</v>
      </c>
      <c r="I6" s="15"/>
      <c r="J6" s="16"/>
    </row>
    <row r="7" spans="2:10" x14ac:dyDescent="0.35">
      <c r="B7" s="23" t="s">
        <v>90</v>
      </c>
      <c r="C7" s="24">
        <f>SUM(C2:C6)</f>
        <v>4290.8499999999985</v>
      </c>
      <c r="F7" s="23" t="s">
        <v>90</v>
      </c>
      <c r="G7" s="26">
        <f>SUM(G2:G6)</f>
        <v>0</v>
      </c>
      <c r="I7" s="23" t="s">
        <v>96</v>
      </c>
      <c r="J7" s="24">
        <f>SUM(J2:J6)</f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53</v>
      </c>
      <c r="B1" t="s">
        <v>54</v>
      </c>
      <c r="M1" t="s">
        <v>68</v>
      </c>
    </row>
    <row r="2" spans="1:15" x14ac:dyDescent="0.35">
      <c r="A2" t="s">
        <v>52</v>
      </c>
      <c r="M2" t="s">
        <v>0</v>
      </c>
      <c r="N2" t="s">
        <v>1</v>
      </c>
      <c r="O2" t="s">
        <v>2</v>
      </c>
    </row>
    <row r="3" spans="1:15" x14ac:dyDescent="0.35">
      <c r="A3" t="s">
        <v>49</v>
      </c>
      <c r="N3" t="s">
        <v>60</v>
      </c>
    </row>
    <row r="4" spans="1:15" x14ac:dyDescent="0.35">
      <c r="A4" t="s">
        <v>55</v>
      </c>
      <c r="N4" t="s">
        <v>61</v>
      </c>
    </row>
    <row r="5" spans="1:15" x14ac:dyDescent="0.35">
      <c r="A5" t="s">
        <v>56</v>
      </c>
      <c r="N5" t="s">
        <v>62</v>
      </c>
    </row>
    <row r="6" spans="1:15" x14ac:dyDescent="0.35">
      <c r="N6" t="s">
        <v>63</v>
      </c>
    </row>
    <row r="8" spans="1:15" x14ac:dyDescent="0.35">
      <c r="M8" t="s">
        <v>71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64</v>
      </c>
    </row>
    <row r="11" spans="1:15" x14ac:dyDescent="0.35">
      <c r="N11" t="s">
        <v>65</v>
      </c>
    </row>
    <row r="12" spans="1:15" x14ac:dyDescent="0.35">
      <c r="N12" t="s">
        <v>66</v>
      </c>
    </row>
    <row r="14" spans="1:15" x14ac:dyDescent="0.35">
      <c r="M14" t="s">
        <v>67</v>
      </c>
    </row>
    <row r="15" spans="1:15" x14ac:dyDescent="0.35">
      <c r="M15" t="s">
        <v>0</v>
      </c>
      <c r="N15" t="s">
        <v>75</v>
      </c>
    </row>
    <row r="22" spans="13:17" x14ac:dyDescent="0.35">
      <c r="M22" t="s">
        <v>69</v>
      </c>
    </row>
    <row r="23" spans="13:17" x14ac:dyDescent="0.3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2019-10-16T14:43:39Z</dcterms:modified>
</cp:coreProperties>
</file>