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5" windowHeight="9225" activeTab="5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5" i="3" l="1"/>
  <c r="I415" i="3"/>
  <c r="H415" i="3" s="1"/>
  <c r="J415" i="3"/>
  <c r="F119" i="4"/>
  <c r="E119" i="4" s="1"/>
  <c r="G119" i="4"/>
  <c r="F120" i="4"/>
  <c r="E120" i="4" s="1"/>
  <c r="G120" i="4"/>
  <c r="F121" i="4"/>
  <c r="E121" i="4" s="1"/>
  <c r="G121" i="4"/>
  <c r="F122" i="4"/>
  <c r="E122" i="4" s="1"/>
  <c r="G122" i="4"/>
  <c r="I411" i="3" l="1"/>
  <c r="H411" i="3" s="1"/>
  <c r="J411" i="3"/>
  <c r="I412" i="3"/>
  <c r="H412" i="3" s="1"/>
  <c r="J412" i="3"/>
  <c r="I413" i="3"/>
  <c r="H413" i="3" s="1"/>
  <c r="J413" i="3"/>
  <c r="I414" i="3"/>
  <c r="H414" i="3" s="1"/>
  <c r="J414" i="3"/>
  <c r="D7" i="1" a="1"/>
  <c r="D7" i="1" s="1"/>
  <c r="D8" i="1" a="1"/>
  <c r="D8" i="1" s="1"/>
  <c r="I7" i="1"/>
  <c r="I8" i="1"/>
  <c r="I397" i="3"/>
  <c r="H397" i="3" s="1"/>
  <c r="J397" i="3"/>
  <c r="I398" i="3"/>
  <c r="H398" i="3" s="1"/>
  <c r="J398" i="3"/>
  <c r="I399" i="3"/>
  <c r="H399" i="3" s="1"/>
  <c r="J399" i="3"/>
  <c r="I400" i="3"/>
  <c r="H400" i="3" s="1"/>
  <c r="J400" i="3"/>
  <c r="I401" i="3"/>
  <c r="H401" i="3" s="1"/>
  <c r="J401" i="3"/>
  <c r="I402" i="3"/>
  <c r="H402" i="3" s="1"/>
  <c r="J402" i="3"/>
  <c r="I403" i="3"/>
  <c r="H403" i="3" s="1"/>
  <c r="J403" i="3"/>
  <c r="I404" i="3"/>
  <c r="H404" i="3" s="1"/>
  <c r="J404" i="3"/>
  <c r="I405" i="3"/>
  <c r="H405" i="3" s="1"/>
  <c r="J405" i="3"/>
  <c r="I406" i="3"/>
  <c r="J406" i="3"/>
  <c r="I407" i="3"/>
  <c r="H407" i="3" s="1"/>
  <c r="J407" i="3"/>
  <c r="I408" i="3"/>
  <c r="H408" i="3" s="1"/>
  <c r="J408" i="3"/>
  <c r="I409" i="3"/>
  <c r="H409" i="3" s="1"/>
  <c r="J409" i="3"/>
  <c r="I410" i="3"/>
  <c r="H410" i="3" s="1"/>
  <c r="J410" i="3"/>
  <c r="H406" i="3" l="1"/>
  <c r="F23" i="2"/>
  <c r="D59" i="1" l="1" a="1"/>
  <c r="D59" i="1" s="1"/>
  <c r="I59" i="1"/>
  <c r="D49" i="1" a="1"/>
  <c r="D49" i="1" s="1"/>
  <c r="I49" i="1"/>
  <c r="F22" i="2"/>
  <c r="I20" i="1" l="1"/>
  <c r="D20" i="1" a="1"/>
  <c r="D20" i="1" s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4" i="1"/>
  <c r="O41" i="1"/>
  <c r="O43" i="1"/>
  <c r="O31" i="1"/>
  <c r="O51" i="1"/>
  <c r="O26" i="1"/>
  <c r="O42" i="1"/>
  <c r="O17" i="1"/>
  <c r="O53" i="1"/>
  <c r="O58" i="1"/>
  <c r="O6" i="1"/>
  <c r="O52" i="1"/>
  <c r="O56" i="1"/>
  <c r="O57" i="1"/>
  <c r="O5" i="1"/>
  <c r="O55" i="1"/>
  <c r="O38" i="1"/>
  <c r="O34" i="1"/>
  <c r="O11" i="1"/>
  <c r="O2" i="1"/>
  <c r="V11" i="7"/>
  <c r="V12" i="7"/>
  <c r="V13" i="7"/>
  <c r="V14" i="7"/>
  <c r="V15" i="7"/>
  <c r="V16" i="7"/>
  <c r="W7" i="7" s="1"/>
  <c r="V17" i="7"/>
  <c r="V9" i="7"/>
  <c r="V10" i="7"/>
  <c r="V8" i="7"/>
  <c r="H19" i="2" l="1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2" i="1"/>
  <c r="U4" i="1"/>
  <c r="U41" i="1"/>
  <c r="U43" i="1"/>
  <c r="U31" i="1"/>
  <c r="U51" i="1"/>
  <c r="U26" i="1"/>
  <c r="U42" i="1"/>
  <c r="U53" i="1"/>
  <c r="U58" i="1"/>
  <c r="U52" i="1"/>
  <c r="U57" i="1"/>
  <c r="U55" i="1"/>
  <c r="U38" i="1"/>
  <c r="U34" i="1"/>
  <c r="U11" i="1"/>
  <c r="F4" i="1"/>
  <c r="F41" i="1"/>
  <c r="F43" i="1"/>
  <c r="F31" i="1"/>
  <c r="F51" i="1"/>
  <c r="F26" i="1"/>
  <c r="F42" i="1"/>
  <c r="F53" i="1"/>
  <c r="F58" i="1"/>
  <c r="F52" i="1"/>
  <c r="F57" i="1"/>
  <c r="F55" i="1"/>
  <c r="F38" i="1"/>
  <c r="F34" i="1"/>
  <c r="F11" i="1"/>
  <c r="S4" i="1"/>
  <c r="S41" i="1"/>
  <c r="S43" i="1"/>
  <c r="S31" i="1"/>
  <c r="S51" i="1"/>
  <c r="S26" i="1"/>
  <c r="S42" i="1"/>
  <c r="S53" i="1"/>
  <c r="S58" i="1"/>
  <c r="S52" i="1"/>
  <c r="S57" i="1"/>
  <c r="S55" i="1"/>
  <c r="S38" i="1"/>
  <c r="S34" i="1"/>
  <c r="S11" i="1"/>
  <c r="L4" i="1"/>
  <c r="L41" i="1"/>
  <c r="L43" i="1"/>
  <c r="L31" i="1"/>
  <c r="L51" i="1"/>
  <c r="L26" i="1"/>
  <c r="L42" i="1"/>
  <c r="L53" i="1"/>
  <c r="L58" i="1"/>
  <c r="L52" i="1"/>
  <c r="L57" i="1"/>
  <c r="L55" i="1"/>
  <c r="L38" i="1"/>
  <c r="L34" i="1"/>
  <c r="L11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6" i="12" s="1"/>
  <c r="H1" i="11"/>
  <c r="G5" i="12" s="1"/>
  <c r="G7" i="12" l="1"/>
  <c r="G1" i="11"/>
  <c r="C6" i="12" s="1"/>
  <c r="J26" i="1" l="1"/>
  <c r="J52" i="1"/>
  <c r="J42" i="1"/>
  <c r="J58" i="1"/>
  <c r="J41" i="1"/>
  <c r="J34" i="1"/>
  <c r="J31" i="1"/>
  <c r="J38" i="1"/>
  <c r="J57" i="1"/>
  <c r="J53" i="1"/>
  <c r="J55" i="1"/>
  <c r="J4" i="1"/>
  <c r="H26" i="1"/>
  <c r="H52" i="1"/>
  <c r="H42" i="1"/>
  <c r="H58" i="1"/>
  <c r="H41" i="1"/>
  <c r="H34" i="1"/>
  <c r="H31" i="1"/>
  <c r="H38" i="1"/>
  <c r="H57" i="1"/>
  <c r="H53" i="1"/>
  <c r="H55" i="1"/>
  <c r="H4" i="1"/>
  <c r="Q26" i="1"/>
  <c r="Q52" i="1"/>
  <c r="Q42" i="1"/>
  <c r="Q58" i="1"/>
  <c r="Q41" i="1"/>
  <c r="Q34" i="1"/>
  <c r="Q31" i="1"/>
  <c r="Q38" i="1"/>
  <c r="Q57" i="1"/>
  <c r="Q53" i="1"/>
  <c r="Q55" i="1"/>
  <c r="Q4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47" i="1" l="1"/>
  <c r="I54" i="1"/>
  <c r="D54" i="1" a="1"/>
  <c r="D54" i="1" s="1"/>
  <c r="D47" i="1" a="1"/>
  <c r="D47" i="1" s="1"/>
  <c r="D22" i="1" a="1"/>
  <c r="D22" i="1" s="1"/>
  <c r="I45" i="1"/>
  <c r="I22" i="1"/>
  <c r="D13" i="1" a="1"/>
  <c r="D13" i="1" s="1"/>
  <c r="D17" i="1" a="1"/>
  <c r="D17" i="1" s="1"/>
  <c r="D29" i="1" a="1"/>
  <c r="D29" i="1" s="1"/>
  <c r="D41" i="1" a="1"/>
  <c r="D41" i="1" s="1"/>
  <c r="D10" i="1" a="1"/>
  <c r="D10" i="1" s="1"/>
  <c r="D37" i="1" a="1"/>
  <c r="D37" i="1" s="1"/>
  <c r="D44" i="1" a="1"/>
  <c r="D44" i="1" s="1"/>
  <c r="D43" i="1" a="1"/>
  <c r="D43" i="1" s="1"/>
  <c r="D45" i="1" a="1"/>
  <c r="D45" i="1" s="1"/>
  <c r="D16" i="1" a="1"/>
  <c r="D16" i="1" s="1"/>
  <c r="D21" i="1" a="1"/>
  <c r="D21" i="1" s="1"/>
  <c r="D31" i="1" a="1"/>
  <c r="D31" i="1" s="1"/>
  <c r="D12" i="1" a="1"/>
  <c r="D12" i="1" s="1"/>
  <c r="D39" i="1" a="1"/>
  <c r="D39" i="1" s="1"/>
  <c r="D23" i="1" a="1"/>
  <c r="D23" i="1" s="1"/>
  <c r="D51" i="1" a="1"/>
  <c r="D51" i="1" s="1"/>
  <c r="D9" i="1" a="1"/>
  <c r="D9" i="1" s="1"/>
  <c r="D30" i="1" a="1"/>
  <c r="D30" i="1" s="1"/>
  <c r="D33" i="1" a="1"/>
  <c r="D33" i="1" s="1"/>
  <c r="D26" i="1" a="1"/>
  <c r="D26" i="1" s="1"/>
  <c r="D56" i="1" a="1"/>
  <c r="D56" i="1" s="1"/>
  <c r="D3" i="1" a="1"/>
  <c r="D3" i="1" s="1"/>
  <c r="D24" i="1" a="1"/>
  <c r="D24" i="1" s="1"/>
  <c r="D42" i="1" a="1"/>
  <c r="D42" i="1" s="1"/>
  <c r="D35" i="1" a="1"/>
  <c r="D35" i="1" s="1"/>
  <c r="D6" i="1" a="1"/>
  <c r="D6" i="1" s="1"/>
  <c r="D48" i="1" a="1"/>
  <c r="D48" i="1" s="1"/>
  <c r="D53" i="1" a="1"/>
  <c r="D53" i="1" s="1"/>
  <c r="D11" i="1" a="1"/>
  <c r="D11" i="1" s="1"/>
  <c r="D27" i="1" a="1"/>
  <c r="D27" i="1" s="1"/>
  <c r="D14" i="1" a="1"/>
  <c r="D14" i="1" s="1"/>
  <c r="D28" i="1" a="1"/>
  <c r="D28" i="1" s="1"/>
  <c r="D58" i="1" a="1"/>
  <c r="D58" i="1" s="1"/>
  <c r="D15" i="1" a="1"/>
  <c r="D15" i="1" s="1"/>
  <c r="D5" i="1" a="1"/>
  <c r="D5" i="1" s="1"/>
  <c r="D32" i="1" a="1"/>
  <c r="D32" i="1" s="1"/>
  <c r="D52" i="1" a="1"/>
  <c r="D52" i="1" s="1"/>
  <c r="D40" i="1" a="1"/>
  <c r="D40" i="1" s="1"/>
  <c r="D18" i="1" a="1"/>
  <c r="D18" i="1" s="1"/>
  <c r="D50" i="1" a="1"/>
  <c r="D50" i="1" s="1"/>
  <c r="D57" i="1" a="1"/>
  <c r="D57" i="1" s="1"/>
  <c r="D34" i="1" a="1"/>
  <c r="D34" i="1" s="1"/>
  <c r="D19" i="1" a="1"/>
  <c r="D19" i="1" s="1"/>
  <c r="D25" i="1" a="1"/>
  <c r="D25" i="1" s="1"/>
  <c r="D2" i="1" a="1"/>
  <c r="D2" i="1" s="1"/>
  <c r="D55" i="1" a="1"/>
  <c r="D55" i="1" s="1"/>
  <c r="D36" i="1" a="1"/>
  <c r="D36" i="1" s="1"/>
  <c r="D46" i="1" a="1"/>
  <c r="D46" i="1" s="1"/>
  <c r="D4" i="1" a="1"/>
  <c r="D4" i="1" s="1"/>
  <c r="D38" i="1" a="1"/>
  <c r="D38" i="1" s="1"/>
  <c r="G45" i="1"/>
  <c r="K45" i="1"/>
  <c r="M45" i="1"/>
  <c r="E45" i="1"/>
  <c r="H2" i="2"/>
  <c r="I29" i="1"/>
  <c r="I50" i="1"/>
  <c r="G29" i="1"/>
  <c r="I14" i="1"/>
  <c r="I15" i="1"/>
  <c r="G14" i="1"/>
  <c r="K14" i="1"/>
  <c r="M14" i="1"/>
  <c r="E14" i="1"/>
  <c r="I43" i="1"/>
  <c r="I9" i="1"/>
  <c r="I57" i="1"/>
  <c r="I48" i="1"/>
  <c r="I52" i="1"/>
  <c r="I39" i="1"/>
  <c r="I23" i="1"/>
  <c r="I28" i="1"/>
  <c r="I37" i="1"/>
  <c r="I42" i="1"/>
  <c r="I12" i="1"/>
  <c r="I53" i="1"/>
  <c r="I27" i="1"/>
  <c r="I31" i="1"/>
  <c r="I51" i="1"/>
  <c r="I13" i="1"/>
  <c r="I3" i="1"/>
  <c r="I5" i="1"/>
  <c r="I58" i="1"/>
  <c r="I36" i="1"/>
  <c r="I21" i="1"/>
  <c r="I19" i="1"/>
  <c r="I26" i="1"/>
  <c r="I41" i="1"/>
  <c r="I40" i="1"/>
  <c r="I46" i="1"/>
  <c r="I32" i="1"/>
  <c r="I34" i="1"/>
  <c r="I56" i="1"/>
  <c r="I11" i="1"/>
  <c r="I17" i="1"/>
  <c r="I33" i="1"/>
  <c r="I18" i="1"/>
  <c r="I10" i="1"/>
  <c r="I30" i="1"/>
  <c r="I25" i="1"/>
  <c r="I55" i="1"/>
  <c r="I24" i="1"/>
  <c r="I35" i="1"/>
  <c r="I38" i="1"/>
  <c r="I6" i="1"/>
  <c r="I16" i="1"/>
  <c r="I44" i="1"/>
  <c r="I4" i="1"/>
  <c r="I2" i="1"/>
  <c r="G6" i="1"/>
  <c r="G4" i="1"/>
  <c r="G27" i="1"/>
  <c r="G43" i="1"/>
  <c r="G9" i="1"/>
  <c r="G57" i="1"/>
  <c r="G48" i="1"/>
  <c r="G52" i="1"/>
  <c r="G28" i="1"/>
  <c r="G42" i="1"/>
  <c r="G53" i="1"/>
  <c r="G5" i="1"/>
  <c r="G19" i="1"/>
  <c r="G51" i="1"/>
  <c r="G3" i="1"/>
  <c r="G58" i="1"/>
  <c r="G41" i="1"/>
  <c r="G34" i="1"/>
  <c r="G56" i="1"/>
  <c r="G11" i="1"/>
  <c r="G17" i="1"/>
  <c r="G33" i="1"/>
  <c r="G31" i="1"/>
  <c r="G55" i="1"/>
  <c r="G26" i="1"/>
  <c r="G35" i="1"/>
  <c r="G38" i="1"/>
  <c r="G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8" i="1" l="1"/>
  <c r="J7" i="1"/>
  <c r="J49" i="1"/>
  <c r="J59" i="1"/>
  <c r="J20" i="1"/>
  <c r="J54" i="1"/>
  <c r="J47" i="1"/>
  <c r="N45" i="1"/>
  <c r="P45" i="1" s="1"/>
  <c r="J22" i="1"/>
  <c r="N14" i="1"/>
  <c r="J45" i="1"/>
  <c r="T45" i="1"/>
  <c r="R45" i="1"/>
  <c r="J50" i="1"/>
  <c r="J29" i="1"/>
  <c r="J15" i="1"/>
  <c r="J14" i="1"/>
  <c r="T14" i="1"/>
  <c r="R14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33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P14" i="1"/>
  <c r="G16" i="2"/>
  <c r="F271" i="3" s="1"/>
  <c r="G266" i="3"/>
  <c r="G267" i="3"/>
  <c r="G268" i="3"/>
  <c r="G269" i="3"/>
  <c r="G270" i="3"/>
  <c r="G271" i="3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33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73" i="3" l="1"/>
  <c r="H11" i="2"/>
  <c r="E11" i="2"/>
  <c r="F274" i="3"/>
  <c r="F194" i="3"/>
  <c r="F262" i="3"/>
  <c r="F272" i="3"/>
  <c r="F265" i="3"/>
  <c r="F263" i="3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F260" i="3"/>
  <c r="F259" i="3"/>
  <c r="F247" i="3"/>
  <c r="F242" i="3"/>
  <c r="F202" i="3"/>
  <c r="F196" i="3"/>
  <c r="K2" i="1" s="1"/>
  <c r="F189" i="3"/>
  <c r="F206" i="3"/>
  <c r="F238" i="3"/>
  <c r="F236" i="3"/>
  <c r="F237" i="3"/>
  <c r="F235" i="3"/>
  <c r="F201" i="3"/>
  <c r="F232" i="3"/>
  <c r="M3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33" i="1" s="1"/>
  <c r="F244" i="3"/>
  <c r="F248" i="3"/>
  <c r="F251" i="3"/>
  <c r="F255" i="3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2" i="1"/>
  <c r="E3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3" i="1" l="1"/>
  <c r="R3" i="1" s="1"/>
  <c r="H10" i="2"/>
  <c r="E10" i="2"/>
  <c r="N2" i="1"/>
  <c r="P2" i="1" s="1"/>
  <c r="N33" i="1"/>
  <c r="R33" i="1"/>
  <c r="R2" i="1"/>
  <c r="F165" i="3"/>
  <c r="F179" i="3"/>
  <c r="F167" i="3"/>
  <c r="F164" i="3"/>
  <c r="F175" i="3"/>
  <c r="F163" i="3"/>
  <c r="T33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3" i="1" l="1"/>
  <c r="N3" i="1"/>
  <c r="P3" i="1" s="1"/>
  <c r="H9" i="2"/>
  <c r="E9" i="2"/>
  <c r="P33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11" i="1" s="1"/>
  <c r="G140" i="3"/>
  <c r="M4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11" i="1" s="1"/>
  <c r="F138" i="3"/>
  <c r="F140" i="3"/>
  <c r="K4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4" i="1"/>
  <c r="N4" i="1"/>
  <c r="P4" i="1" s="1"/>
  <c r="R11" i="1"/>
  <c r="N11" i="1"/>
  <c r="P11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57" i="1" s="1"/>
  <c r="G53" i="3"/>
  <c r="G42" i="3"/>
  <c r="G54" i="3"/>
  <c r="G43" i="3"/>
  <c r="G55" i="3"/>
  <c r="G37" i="3"/>
  <c r="M56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6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38" i="1" s="1"/>
  <c r="G82" i="3"/>
  <c r="G85" i="3"/>
  <c r="G83" i="3"/>
  <c r="G72" i="3"/>
  <c r="G84" i="3"/>
  <c r="G73" i="3"/>
  <c r="E11" i="1"/>
  <c r="T11" i="1" s="1"/>
  <c r="F90" i="3" l="1"/>
  <c r="F96" i="3"/>
  <c r="F89" i="3"/>
  <c r="F92" i="3"/>
  <c r="M9" i="1"/>
  <c r="F94" i="3"/>
  <c r="F91" i="3"/>
  <c r="M17" i="1"/>
  <c r="M5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56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34" i="1"/>
  <c r="F21" i="3"/>
  <c r="F41" i="3"/>
  <c r="K57" i="1" s="1"/>
  <c r="F70" i="3"/>
  <c r="F75" i="3"/>
  <c r="F115" i="3"/>
  <c r="F113" i="3"/>
  <c r="F114" i="3"/>
  <c r="F56" i="3"/>
  <c r="M53" i="1"/>
  <c r="F121" i="3"/>
  <c r="F112" i="3"/>
  <c r="M52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43" i="1"/>
  <c r="M27" i="1"/>
  <c r="M58" i="1"/>
  <c r="M48" i="1"/>
  <c r="M35" i="1"/>
  <c r="M51" i="1"/>
  <c r="M42" i="1"/>
  <c r="M41" i="1"/>
  <c r="M55" i="1"/>
  <c r="M28" i="1"/>
  <c r="F23" i="3"/>
  <c r="F117" i="3"/>
  <c r="M26" i="1"/>
  <c r="M31" i="1"/>
  <c r="F34" i="3"/>
  <c r="F36" i="3"/>
  <c r="F45" i="3"/>
  <c r="F50" i="3"/>
  <c r="F76" i="3"/>
  <c r="F30" i="3"/>
  <c r="K6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8" i="1" s="1"/>
  <c r="F80" i="3"/>
  <c r="F79" i="3"/>
  <c r="F78" i="3"/>
  <c r="F33" i="3"/>
  <c r="F77" i="3"/>
  <c r="F35" i="3"/>
  <c r="F29" i="3"/>
  <c r="F22" i="3"/>
  <c r="F28" i="3"/>
  <c r="E4" i="1"/>
  <c r="X1" i="1" s="1"/>
  <c r="E55" i="1"/>
  <c r="E6" i="1"/>
  <c r="E5" i="1"/>
  <c r="E48" i="1"/>
  <c r="E58" i="1"/>
  <c r="E38" i="1"/>
  <c r="E53" i="1"/>
  <c r="E57" i="1"/>
  <c r="E28" i="1"/>
  <c r="E42" i="1"/>
  <c r="E35" i="1"/>
  <c r="E43" i="1"/>
  <c r="E9" i="1"/>
  <c r="E17" i="1"/>
  <c r="E34" i="1"/>
  <c r="E26" i="1"/>
  <c r="E51" i="1"/>
  <c r="E56" i="1"/>
  <c r="E52" i="1"/>
  <c r="E31" i="1"/>
  <c r="E41" i="1"/>
  <c r="E27" i="1"/>
  <c r="N6" i="1" l="1"/>
  <c r="P6" i="1" s="1"/>
  <c r="N56" i="1"/>
  <c r="P56" i="1" s="1"/>
  <c r="K9" i="1"/>
  <c r="R9" i="1" s="1"/>
  <c r="R57" i="1"/>
  <c r="N57" i="1"/>
  <c r="P57" i="1" s="1"/>
  <c r="R38" i="1"/>
  <c r="N38" i="1"/>
  <c r="P38" i="1" s="1"/>
  <c r="F17" i="1"/>
  <c r="F35" i="1"/>
  <c r="F2" i="1"/>
  <c r="F27" i="1"/>
  <c r="F5" i="1"/>
  <c r="F56" i="1"/>
  <c r="F6" i="1"/>
  <c r="R6" i="1"/>
  <c r="K5" i="1"/>
  <c r="K34" i="1"/>
  <c r="K41" i="1"/>
  <c r="K51" i="1"/>
  <c r="K28" i="1"/>
  <c r="R56" i="1"/>
  <c r="K58" i="1"/>
  <c r="K55" i="1"/>
  <c r="K17" i="1"/>
  <c r="K31" i="1"/>
  <c r="K26" i="1"/>
  <c r="K52" i="1"/>
  <c r="K48" i="1"/>
  <c r="K43" i="1"/>
  <c r="K27" i="1"/>
  <c r="K53" i="1"/>
  <c r="T4" i="1"/>
  <c r="C5" i="12"/>
  <c r="K42" i="1"/>
  <c r="K35" i="1"/>
  <c r="N51" i="1" l="1"/>
  <c r="P51" i="1" s="1"/>
  <c r="N17" i="1"/>
  <c r="P17" i="1" s="1"/>
  <c r="N27" i="1"/>
  <c r="N26" i="1"/>
  <c r="P26" i="1" s="1"/>
  <c r="N35" i="1"/>
  <c r="N48" i="1"/>
  <c r="N28" i="1"/>
  <c r="N52" i="1"/>
  <c r="P52" i="1" s="1"/>
  <c r="N41" i="1"/>
  <c r="P41" i="1" s="1"/>
  <c r="N31" i="1"/>
  <c r="P31" i="1" s="1"/>
  <c r="N9" i="1"/>
  <c r="N5" i="1"/>
  <c r="P5" i="1" s="1"/>
  <c r="R53" i="1"/>
  <c r="N53" i="1"/>
  <c r="P53" i="1" s="1"/>
  <c r="R55" i="1"/>
  <c r="N55" i="1"/>
  <c r="P55" i="1" s="1"/>
  <c r="R42" i="1"/>
  <c r="N42" i="1"/>
  <c r="P42" i="1" s="1"/>
  <c r="R34" i="1"/>
  <c r="N34" i="1"/>
  <c r="P34" i="1" s="1"/>
  <c r="R43" i="1"/>
  <c r="N43" i="1"/>
  <c r="P43" i="1" s="1"/>
  <c r="R58" i="1"/>
  <c r="N58" i="1"/>
  <c r="P58" i="1" s="1"/>
  <c r="R27" i="1"/>
  <c r="L27" i="1"/>
  <c r="L2" i="1"/>
  <c r="R5" i="1"/>
  <c r="L5" i="1"/>
  <c r="L56" i="1"/>
  <c r="R17" i="1"/>
  <c r="L17" i="1"/>
  <c r="R35" i="1"/>
  <c r="L35" i="1"/>
  <c r="L6" i="1"/>
  <c r="R41" i="1"/>
  <c r="R51" i="1"/>
  <c r="R28" i="1"/>
  <c r="R31" i="1"/>
  <c r="R26" i="1"/>
  <c r="R52" i="1"/>
  <c r="R48" i="1"/>
  <c r="T38" i="1"/>
  <c r="T34" i="1"/>
  <c r="P48" i="1" l="1"/>
  <c r="P35" i="1"/>
  <c r="O35" i="1"/>
  <c r="P28" i="1"/>
  <c r="P9" i="1"/>
  <c r="P27" i="1"/>
  <c r="O27" i="1"/>
  <c r="S17" i="1"/>
  <c r="S27" i="1"/>
  <c r="S2" i="1"/>
  <c r="S5" i="1"/>
  <c r="S56" i="1"/>
  <c r="S35" i="1"/>
  <c r="S6" i="1"/>
  <c r="T5" i="1"/>
  <c r="T56" i="1" l="1"/>
  <c r="T17" i="1"/>
  <c r="T57" i="1"/>
  <c r="T55" i="1"/>
  <c r="T41" i="1"/>
  <c r="T52" i="1"/>
  <c r="T42" i="1"/>
  <c r="T43" i="1"/>
  <c r="T28" i="1"/>
  <c r="T27" i="1"/>
  <c r="T51" i="1"/>
  <c r="T9" i="1"/>
  <c r="T53" i="1"/>
  <c r="T31" i="1"/>
  <c r="T35" i="1"/>
  <c r="T26" i="1"/>
  <c r="T58" i="1"/>
  <c r="T48" i="1"/>
  <c r="T6" i="1" l="1"/>
  <c r="U27" i="1" l="1"/>
  <c r="U56" i="1"/>
  <c r="U6" i="1"/>
  <c r="U17" i="1"/>
  <c r="U5" i="1"/>
  <c r="U35" i="1"/>
  <c r="J44" i="1"/>
  <c r="H2" i="1"/>
  <c r="J19" i="1"/>
  <c r="Q56" i="1"/>
  <c r="Q17" i="1"/>
  <c r="Q2" i="1"/>
  <c r="H43" i="1"/>
  <c r="H35" i="1"/>
  <c r="J6" i="1"/>
  <c r="J11" i="1"/>
  <c r="J30" i="1"/>
  <c r="H17" i="1"/>
  <c r="J10" i="1"/>
  <c r="J56" i="1"/>
  <c r="J17" i="1"/>
  <c r="J36" i="1"/>
  <c r="Q6" i="1"/>
  <c r="J43" i="1"/>
  <c r="Q43" i="1"/>
  <c r="J23" i="1"/>
  <c r="Q27" i="1"/>
  <c r="J9" i="1"/>
  <c r="J24" i="1"/>
  <c r="H56" i="1"/>
  <c r="J28" i="1"/>
  <c r="H51" i="1"/>
  <c r="J21" i="1"/>
  <c r="J51" i="1"/>
  <c r="H11" i="1"/>
  <c r="Q51" i="1"/>
  <c r="Q11" i="1"/>
  <c r="J5" i="1"/>
  <c r="Q5" i="1"/>
  <c r="J2" i="1"/>
  <c r="J32" i="1"/>
  <c r="J25" i="1"/>
  <c r="J13" i="1"/>
  <c r="J12" i="1"/>
  <c r="J3" i="1"/>
  <c r="J16" i="1"/>
  <c r="H27" i="1"/>
  <c r="J18" i="1"/>
  <c r="H5" i="1"/>
  <c r="H6" i="1"/>
  <c r="J33" i="1"/>
  <c r="J27" i="1"/>
  <c r="J39" i="1"/>
  <c r="J48" i="1"/>
  <c r="J40" i="1"/>
  <c r="J46" i="1"/>
  <c r="J35" i="1"/>
  <c r="Q35" i="1"/>
  <c r="J37" i="1"/>
  <c r="B14" i="7" l="1"/>
  <c r="B15" i="7"/>
  <c r="B16" i="7"/>
  <c r="B12" i="7"/>
  <c r="C12" i="7" s="1" a="1"/>
  <c r="C12" i="7" s="1"/>
  <c r="B13" i="7"/>
  <c r="C13" i="7" s="1" a="1"/>
  <c r="C13" i="7" s="1"/>
  <c r="C14" i="7" l="1" a="1"/>
  <c r="C14" i="7" s="1"/>
  <c r="D14" i="7" s="1"/>
  <c r="C15" i="7" a="1"/>
  <c r="C15" i="7" s="1"/>
  <c r="D15" i="7" s="1"/>
  <c r="C16" i="7" a="1"/>
  <c r="C16" i="7" s="1"/>
  <c r="D16" i="7" s="1"/>
  <c r="D13" i="7"/>
  <c r="E13" i="7"/>
  <c r="E12" i="7"/>
  <c r="D12" i="7"/>
  <c r="E14" i="7" l="1"/>
  <c r="E15" i="7"/>
  <c r="E16" i="7"/>
  <c r="E363" i="3"/>
  <c r="E364" i="3"/>
  <c r="E362" i="3"/>
  <c r="E365" i="3"/>
  <c r="E357" i="3"/>
  <c r="E358" i="3"/>
  <c r="E369" i="3"/>
  <c r="E370" i="3"/>
  <c r="E368" i="3"/>
  <c r="E366" i="3"/>
  <c r="E373" i="3"/>
  <c r="E19" i="1" s="1"/>
  <c r="D21" i="2"/>
  <c r="G362" i="3" s="1"/>
  <c r="E372" i="3"/>
  <c r="E374" i="3"/>
  <c r="E367" i="3"/>
  <c r="E360" i="3"/>
  <c r="E29" i="1" s="1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M29" i="1" s="1"/>
  <c r="G373" i="3"/>
  <c r="M19" i="1" s="1"/>
  <c r="H21" i="2"/>
  <c r="G369" i="3"/>
  <c r="G366" i="3"/>
  <c r="G374" i="3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K19" i="1" s="1"/>
  <c r="F363" i="3"/>
  <c r="F369" i="3"/>
  <c r="F358" i="3"/>
  <c r="F370" i="3"/>
  <c r="F367" i="3"/>
  <c r="F374" i="3"/>
  <c r="F360" i="3"/>
  <c r="K29" i="1" s="1"/>
  <c r="F365" i="3"/>
  <c r="N19" i="1" l="1"/>
  <c r="R19" i="1"/>
  <c r="T19" i="1"/>
  <c r="N29" i="1"/>
  <c r="R29" i="1"/>
  <c r="T29" i="1"/>
  <c r="P29" i="1" l="1"/>
  <c r="P19" i="1"/>
  <c r="G46" i="1"/>
  <c r="G50" i="1"/>
  <c r="D22" i="2"/>
  <c r="G391" i="3" s="1"/>
  <c r="G54" i="1"/>
  <c r="E391" i="3"/>
  <c r="E390" i="3"/>
  <c r="E39" i="1"/>
  <c r="G59" i="1"/>
  <c r="E387" i="3"/>
  <c r="E396" i="3"/>
  <c r="E13" i="1" s="1"/>
  <c r="G16" i="1"/>
  <c r="E378" i="3"/>
  <c r="E393" i="3"/>
  <c r="E30" i="1" s="1"/>
  <c r="G44" i="1"/>
  <c r="E389" i="3"/>
  <c r="G30" i="1"/>
  <c r="E379" i="3"/>
  <c r="E16" i="1" s="1"/>
  <c r="E384" i="3"/>
  <c r="E50" i="1" s="1"/>
  <c r="E394" i="3"/>
  <c r="E395" i="3"/>
  <c r="E392" i="3"/>
  <c r="E375" i="3"/>
  <c r="E46" i="1" s="1"/>
  <c r="E377" i="3"/>
  <c r="E44" i="1" s="1"/>
  <c r="G40" i="1"/>
  <c r="G39" i="1"/>
  <c r="E383" i="3"/>
  <c r="E380" i="3"/>
  <c r="E376" i="3"/>
  <c r="E382" i="3"/>
  <c r="G13" i="1"/>
  <c r="E386" i="3"/>
  <c r="E54" i="1" s="1"/>
  <c r="E388" i="3"/>
  <c r="E385" i="3"/>
  <c r="E40" i="1" s="1"/>
  <c r="E381" i="3"/>
  <c r="E59" i="1" s="1"/>
  <c r="G394" i="3" l="1"/>
  <c r="G383" i="3"/>
  <c r="G384" i="3"/>
  <c r="G378" i="3"/>
  <c r="G387" i="3"/>
  <c r="G375" i="3"/>
  <c r="M46" i="1" s="1"/>
  <c r="G379" i="3"/>
  <c r="M16" i="1" s="1"/>
  <c r="G390" i="3"/>
  <c r="M39" i="1" s="1"/>
  <c r="H59" i="1"/>
  <c r="G389" i="3"/>
  <c r="G388" i="3"/>
  <c r="G396" i="3"/>
  <c r="M13" i="1" s="1"/>
  <c r="H22" i="2"/>
  <c r="G376" i="3"/>
  <c r="G381" i="3"/>
  <c r="M59" i="1" s="1"/>
  <c r="G386" i="3"/>
  <c r="M54" i="1" s="1"/>
  <c r="G395" i="3"/>
  <c r="G392" i="3"/>
  <c r="G393" i="3"/>
  <c r="M30" i="1" s="1"/>
  <c r="G377" i="3"/>
  <c r="M44" i="1" s="1"/>
  <c r="F3" i="1"/>
  <c r="F45" i="1"/>
  <c r="F30" i="1"/>
  <c r="F59" i="1"/>
  <c r="H30" i="1"/>
  <c r="G382" i="3"/>
  <c r="G22" i="2"/>
  <c r="E22" i="2"/>
  <c r="H3" i="1"/>
  <c r="G380" i="3"/>
  <c r="H45" i="1"/>
  <c r="G385" i="3"/>
  <c r="M40" i="1" s="1"/>
  <c r="F391" i="3" l="1"/>
  <c r="F375" i="3"/>
  <c r="K46" i="1" s="1"/>
  <c r="F389" i="3"/>
  <c r="F384" i="3"/>
  <c r="F381" i="3"/>
  <c r="K59" i="1" s="1"/>
  <c r="F378" i="3"/>
  <c r="F396" i="3"/>
  <c r="K13" i="1" s="1"/>
  <c r="F394" i="3"/>
  <c r="F385" i="3"/>
  <c r="K40" i="1" s="1"/>
  <c r="F383" i="3"/>
  <c r="F393" i="3"/>
  <c r="K30" i="1" s="1"/>
  <c r="F390" i="3"/>
  <c r="K39" i="1" s="1"/>
  <c r="F379" i="3"/>
  <c r="K16" i="1" s="1"/>
  <c r="F395" i="3"/>
  <c r="F392" i="3"/>
  <c r="F377" i="3"/>
  <c r="K44" i="1" s="1"/>
  <c r="F380" i="3"/>
  <c r="F382" i="3"/>
  <c r="F376" i="3"/>
  <c r="F386" i="3"/>
  <c r="K54" i="1" s="1"/>
  <c r="F387" i="3"/>
  <c r="F388" i="3"/>
  <c r="R39" i="1" l="1"/>
  <c r="N39" i="1"/>
  <c r="T39" i="1"/>
  <c r="L30" i="1"/>
  <c r="T30" i="1"/>
  <c r="R30" i="1"/>
  <c r="N30" i="1"/>
  <c r="L45" i="1"/>
  <c r="R40" i="1"/>
  <c r="L3" i="1"/>
  <c r="N40" i="1"/>
  <c r="T40" i="1"/>
  <c r="N54" i="1"/>
  <c r="R54" i="1"/>
  <c r="T54" i="1"/>
  <c r="N13" i="1"/>
  <c r="R13" i="1"/>
  <c r="T13" i="1"/>
  <c r="N59" i="1"/>
  <c r="R59" i="1"/>
  <c r="L59" i="1"/>
  <c r="T59" i="1"/>
  <c r="N44" i="1"/>
  <c r="R44" i="1"/>
  <c r="T44" i="1"/>
  <c r="R46" i="1"/>
  <c r="N46" i="1"/>
  <c r="T46" i="1"/>
  <c r="N16" i="1"/>
  <c r="R16" i="1"/>
  <c r="T16" i="1"/>
  <c r="P59" i="1" l="1"/>
  <c r="O59" i="1"/>
  <c r="P30" i="1"/>
  <c r="O30" i="1"/>
  <c r="P44" i="1"/>
  <c r="S59" i="1"/>
  <c r="P40" i="1"/>
  <c r="O45" i="1"/>
  <c r="O3" i="1"/>
  <c r="S30" i="1"/>
  <c r="U30" i="1"/>
  <c r="P13" i="1"/>
  <c r="P16" i="1"/>
  <c r="P54" i="1"/>
  <c r="U45" i="1"/>
  <c r="U3" i="1"/>
  <c r="S3" i="1"/>
  <c r="S45" i="1"/>
  <c r="P39" i="1"/>
  <c r="P46" i="1"/>
  <c r="U59" i="1"/>
  <c r="Q3" i="1" l="1"/>
  <c r="Q45" i="1"/>
  <c r="Q30" i="1"/>
  <c r="Q59" i="1"/>
  <c r="G25" i="1"/>
  <c r="E412" i="3"/>
  <c r="D23" i="2"/>
  <c r="G15" i="1"/>
  <c r="E398" i="3"/>
  <c r="E25" i="1" s="1"/>
  <c r="E404" i="3"/>
  <c r="E22" i="1"/>
  <c r="G21" i="1"/>
  <c r="G23" i="1"/>
  <c r="G8" i="1"/>
  <c r="E49" i="1"/>
  <c r="E409" i="3"/>
  <c r="E405" i="3"/>
  <c r="E21" i="1" s="1"/>
  <c r="E401" i="3"/>
  <c r="E23" i="1" s="1"/>
  <c r="E397" i="3"/>
  <c r="G49" i="1"/>
  <c r="G24" i="1"/>
  <c r="G18" i="1"/>
  <c r="G47" i="1"/>
  <c r="E406" i="3"/>
  <c r="E7" i="1" s="1"/>
  <c r="G7" i="1"/>
  <c r="G36" i="1"/>
  <c r="G20" i="1"/>
  <c r="G37" i="1"/>
  <c r="G413" i="3"/>
  <c r="M37" i="1" s="1"/>
  <c r="G10" i="1"/>
  <c r="G32" i="1"/>
  <c r="G409" i="3"/>
  <c r="M49" i="1" s="1"/>
  <c r="G410" i="3"/>
  <c r="E410" i="3"/>
  <c r="E24" i="1" s="1"/>
  <c r="E399" i="3"/>
  <c r="E20" i="1" s="1"/>
  <c r="G12" i="1"/>
  <c r="E402" i="3"/>
  <c r="E12" i="1"/>
  <c r="E407" i="3"/>
  <c r="E8" i="1"/>
  <c r="E408" i="3"/>
  <c r="E10" i="1"/>
  <c r="E414" i="3"/>
  <c r="E36" i="1" s="1"/>
  <c r="E400" i="3"/>
  <c r="E15" i="1"/>
  <c r="E411" i="3"/>
  <c r="E32" i="1"/>
  <c r="G22" i="1"/>
  <c r="E403" i="3"/>
  <c r="E18" i="1" s="1"/>
  <c r="G408" i="3"/>
  <c r="M10" i="1" s="1"/>
  <c r="E413" i="3"/>
  <c r="E37" i="1"/>
  <c r="H23" i="2" l="1"/>
  <c r="G415" i="3"/>
  <c r="M50" i="1" s="1"/>
  <c r="H32" i="1"/>
  <c r="G414" i="3"/>
  <c r="M36" i="1" s="1"/>
  <c r="H15" i="1"/>
  <c r="G407" i="3"/>
  <c r="M8" i="1" s="1"/>
  <c r="G398" i="3"/>
  <c r="M25" i="1" s="1"/>
  <c r="G406" i="3"/>
  <c r="M7" i="1" s="1"/>
  <c r="E23" i="2"/>
  <c r="G403" i="3"/>
  <c r="M18" i="1" s="1"/>
  <c r="G23" i="2"/>
  <c r="H47" i="1"/>
  <c r="H23" i="1"/>
  <c r="H18" i="1"/>
  <c r="H21" i="1"/>
  <c r="H25" i="1"/>
  <c r="H20" i="1"/>
  <c r="H24" i="1"/>
  <c r="H37" i="1"/>
  <c r="H36" i="1"/>
  <c r="H7" i="1"/>
  <c r="G400" i="3"/>
  <c r="M15" i="1" s="1"/>
  <c r="K1" i="3"/>
  <c r="C3" i="12" s="1"/>
  <c r="C7" i="12" s="1"/>
  <c r="H49" i="1"/>
  <c r="G399" i="3"/>
  <c r="M20" i="1" s="1"/>
  <c r="H19" i="1"/>
  <c r="H28" i="1"/>
  <c r="H13" i="1"/>
  <c r="H29" i="1"/>
  <c r="H44" i="1"/>
  <c r="H12" i="1"/>
  <c r="H8" i="1"/>
  <c r="H16" i="1"/>
  <c r="H48" i="1"/>
  <c r="G405" i="3"/>
  <c r="M21" i="1" s="1"/>
  <c r="G412" i="3"/>
  <c r="M24" i="1" s="1"/>
  <c r="H9" i="1"/>
  <c r="H33" i="1"/>
  <c r="H22" i="1"/>
  <c r="H50" i="1"/>
  <c r="H10" i="1"/>
  <c r="G401" i="3"/>
  <c r="M23" i="1" s="1"/>
  <c r="H39" i="1"/>
  <c r="H46" i="1"/>
  <c r="H40" i="1"/>
  <c r="G404" i="3"/>
  <c r="M22" i="1" s="1"/>
  <c r="E47" i="1"/>
  <c r="F10" i="1" s="1"/>
  <c r="G402" i="3"/>
  <c r="M12" i="1" s="1"/>
  <c r="G397" i="3"/>
  <c r="M47" i="1" s="1"/>
  <c r="H14" i="1"/>
  <c r="H54" i="1"/>
  <c r="G411" i="3"/>
  <c r="M32" i="1" s="1"/>
  <c r="F410" i="3" l="1"/>
  <c r="F415" i="3"/>
  <c r="K50" i="1" s="1"/>
  <c r="F399" i="3"/>
  <c r="K20" i="1" s="1"/>
  <c r="F406" i="3"/>
  <c r="K7" i="1" s="1"/>
  <c r="F401" i="3"/>
  <c r="K23" i="1" s="1"/>
  <c r="F414" i="3"/>
  <c r="K36" i="1" s="1"/>
  <c r="F404" i="3"/>
  <c r="K22" i="1" s="1"/>
  <c r="F397" i="3"/>
  <c r="K47" i="1" s="1"/>
  <c r="T47" i="1" s="1"/>
  <c r="F398" i="3"/>
  <c r="K25" i="1" s="1"/>
  <c r="F407" i="3"/>
  <c r="K8" i="1" s="1"/>
  <c r="F402" i="3"/>
  <c r="K12" i="1" s="1"/>
  <c r="F400" i="3"/>
  <c r="K15" i="1" s="1"/>
  <c r="F403" i="3"/>
  <c r="K18" i="1" s="1"/>
  <c r="F413" i="3"/>
  <c r="K37" i="1" s="1"/>
  <c r="F405" i="3"/>
  <c r="K21" i="1" s="1"/>
  <c r="F409" i="3"/>
  <c r="K49" i="1" s="1"/>
  <c r="F408" i="3"/>
  <c r="K10" i="1" s="1"/>
  <c r="F412" i="3"/>
  <c r="K24" i="1" s="1"/>
  <c r="F411" i="3"/>
  <c r="K32" i="1" s="1"/>
  <c r="F19" i="1"/>
  <c r="F40" i="1"/>
  <c r="F54" i="1"/>
  <c r="F16" i="1"/>
  <c r="F8" i="1"/>
  <c r="F39" i="1"/>
  <c r="F50" i="1"/>
  <c r="F25" i="1"/>
  <c r="F18" i="1"/>
  <c r="F28" i="1"/>
  <c r="F48" i="1"/>
  <c r="F24" i="1"/>
  <c r="F15" i="1"/>
  <c r="F13" i="1"/>
  <c r="F49" i="1"/>
  <c r="F7" i="1"/>
  <c r="F47" i="1"/>
  <c r="F44" i="1"/>
  <c r="F22" i="1"/>
  <c r="F29" i="1"/>
  <c r="F46" i="1"/>
  <c r="F32" i="1"/>
  <c r="B20" i="7"/>
  <c r="C20" i="7" s="1" a="1"/>
  <c r="C20" i="7" s="1"/>
  <c r="B22" i="7"/>
  <c r="C22" i="7" s="1" a="1"/>
  <c r="C22" i="7" s="1"/>
  <c r="B21" i="7"/>
  <c r="C21" i="7" s="1" a="1"/>
  <c r="C21" i="7" s="1"/>
  <c r="B23" i="7"/>
  <c r="C23" i="7" s="1" a="1"/>
  <c r="C23" i="7" s="1"/>
  <c r="B24" i="7"/>
  <c r="C24" i="7" s="1" a="1"/>
  <c r="C24" i="7" s="1"/>
  <c r="F12" i="1"/>
  <c r="F14" i="1"/>
  <c r="F9" i="1"/>
  <c r="F33" i="1"/>
  <c r="F23" i="1"/>
  <c r="F21" i="1"/>
  <c r="F36" i="1"/>
  <c r="F37" i="1"/>
  <c r="F20" i="1"/>
  <c r="R50" i="1" l="1"/>
  <c r="T50" i="1"/>
  <c r="N50" i="1"/>
  <c r="P50" i="1" s="1"/>
  <c r="L36" i="1"/>
  <c r="N24" i="1"/>
  <c r="T24" i="1"/>
  <c r="L24" i="1"/>
  <c r="R24" i="1"/>
  <c r="L49" i="1"/>
  <c r="L48" i="1"/>
  <c r="L23" i="1"/>
  <c r="L15" i="1"/>
  <c r="L10" i="1"/>
  <c r="L32" i="1"/>
  <c r="L22" i="1"/>
  <c r="L18" i="1"/>
  <c r="L7" i="1"/>
  <c r="L25" i="1"/>
  <c r="L12" i="1"/>
  <c r="L44" i="1"/>
  <c r="L39" i="1"/>
  <c r="L40" i="1"/>
  <c r="L21" i="1"/>
  <c r="L47" i="1"/>
  <c r="L19" i="1"/>
  <c r="L29" i="1"/>
  <c r="L20" i="1"/>
  <c r="L54" i="1"/>
  <c r="L33" i="1"/>
  <c r="N37" i="1"/>
  <c r="T37" i="1"/>
  <c r="R37" i="1"/>
  <c r="L37" i="1"/>
  <c r="L16" i="1"/>
  <c r="L9" i="1"/>
  <c r="L28" i="1"/>
  <c r="L13" i="1"/>
  <c r="L14" i="1"/>
  <c r="L46" i="1"/>
  <c r="L50" i="1"/>
  <c r="T18" i="1"/>
  <c r="R18" i="1"/>
  <c r="N18" i="1"/>
  <c r="L8" i="1"/>
  <c r="T15" i="1"/>
  <c r="N15" i="1"/>
  <c r="R15" i="1"/>
  <c r="R12" i="1"/>
  <c r="T12" i="1"/>
  <c r="N12" i="1"/>
  <c r="R8" i="1"/>
  <c r="N8" i="1"/>
  <c r="P8" i="1" s="1"/>
  <c r="T8" i="1"/>
  <c r="N25" i="1"/>
  <c r="P25" i="1" s="1"/>
  <c r="R25" i="1"/>
  <c r="T25" i="1"/>
  <c r="R47" i="1"/>
  <c r="N47" i="1"/>
  <c r="N32" i="1"/>
  <c r="P32" i="1" s="1"/>
  <c r="T32" i="1"/>
  <c r="R32" i="1"/>
  <c r="N22" i="1"/>
  <c r="R22" i="1"/>
  <c r="T22" i="1"/>
  <c r="T36" i="1"/>
  <c r="N36" i="1"/>
  <c r="P36" i="1" s="1"/>
  <c r="R36" i="1"/>
  <c r="R10" i="1"/>
  <c r="N10" i="1"/>
  <c r="T10" i="1"/>
  <c r="R23" i="1"/>
  <c r="T23" i="1"/>
  <c r="N23" i="1"/>
  <c r="P23" i="1" s="1"/>
  <c r="N49" i="1"/>
  <c r="P49" i="1" s="1"/>
  <c r="R49" i="1"/>
  <c r="T49" i="1"/>
  <c r="N7" i="1"/>
  <c r="P7" i="1" s="1"/>
  <c r="R7" i="1"/>
  <c r="T7" i="1"/>
  <c r="R21" i="1"/>
  <c r="N21" i="1"/>
  <c r="P21" i="1" s="1"/>
  <c r="T21" i="1"/>
  <c r="N20" i="1"/>
  <c r="P20" i="1" s="1"/>
  <c r="R20" i="1"/>
  <c r="T20" i="1"/>
  <c r="D22" i="7"/>
  <c r="E22" i="7"/>
  <c r="D20" i="7"/>
  <c r="E20" i="7"/>
  <c r="P24" i="1"/>
  <c r="D24" i="7"/>
  <c r="E24" i="7"/>
  <c r="D23" i="7"/>
  <c r="E23" i="7"/>
  <c r="E21" i="7"/>
  <c r="D21" i="7"/>
  <c r="S32" i="1" l="1"/>
  <c r="U24" i="1"/>
  <c r="U46" i="1"/>
  <c r="O37" i="1"/>
  <c r="S40" i="1"/>
  <c r="S15" i="1"/>
  <c r="U8" i="1"/>
  <c r="U54" i="1"/>
  <c r="U23" i="1"/>
  <c r="U32" i="1"/>
  <c r="U7" i="1"/>
  <c r="U37" i="1"/>
  <c r="S37" i="1"/>
  <c r="S24" i="1"/>
  <c r="S10" i="1"/>
  <c r="U14" i="1"/>
  <c r="S44" i="1"/>
  <c r="U50" i="1"/>
  <c r="S8" i="1"/>
  <c r="O50" i="1"/>
  <c r="S48" i="1"/>
  <c r="O19" i="1"/>
  <c r="U29" i="1"/>
  <c r="P12" i="1"/>
  <c r="O12" i="1"/>
  <c r="U20" i="1"/>
  <c r="S23" i="1"/>
  <c r="O33" i="1"/>
  <c r="S12" i="1"/>
  <c r="O46" i="1"/>
  <c r="S47" i="1"/>
  <c r="O54" i="1"/>
  <c r="U13" i="1"/>
  <c r="O15" i="1"/>
  <c r="P15" i="1"/>
  <c r="O44" i="1"/>
  <c r="U28" i="1"/>
  <c r="S54" i="1"/>
  <c r="O8" i="1"/>
  <c r="S7" i="1"/>
  <c r="S29" i="1"/>
  <c r="O36" i="1"/>
  <c r="S22" i="1"/>
  <c r="O25" i="1"/>
  <c r="S36" i="1"/>
  <c r="O49" i="1"/>
  <c r="U12" i="1"/>
  <c r="U19" i="1"/>
  <c r="S49" i="1"/>
  <c r="O22" i="1"/>
  <c r="P22" i="1"/>
  <c r="U36" i="1"/>
  <c r="O14" i="1"/>
  <c r="U16" i="1"/>
  <c r="O28" i="1"/>
  <c r="U15" i="1"/>
  <c r="O13" i="1"/>
  <c r="U18" i="1"/>
  <c r="S16" i="1"/>
  <c r="S33" i="1"/>
  <c r="O32" i="1"/>
  <c r="S20" i="1"/>
  <c r="O23" i="1"/>
  <c r="U21" i="1"/>
  <c r="O21" i="1"/>
  <c r="U10" i="1"/>
  <c r="O47" i="1"/>
  <c r="P47" i="1"/>
  <c r="O9" i="1"/>
  <c r="U9" i="1"/>
  <c r="P10" i="1"/>
  <c r="O10" i="1"/>
  <c r="S25" i="1"/>
  <c r="O20" i="1"/>
  <c r="S21" i="1"/>
  <c r="S19" i="1"/>
  <c r="S13" i="1"/>
  <c r="S39" i="1"/>
  <c r="S9" i="1"/>
  <c r="S28" i="1"/>
  <c r="S50" i="1"/>
  <c r="S46" i="1"/>
  <c r="S14" i="1"/>
  <c r="O29" i="1"/>
  <c r="O24" i="1"/>
  <c r="U44" i="1"/>
  <c r="U47" i="1"/>
  <c r="O16" i="1"/>
  <c r="O7" i="1"/>
  <c r="U33" i="1"/>
  <c r="U25" i="1"/>
  <c r="P18" i="1"/>
  <c r="O18" i="1"/>
  <c r="U40" i="1"/>
  <c r="O39" i="1"/>
  <c r="U39" i="1"/>
  <c r="U22" i="1"/>
  <c r="O48" i="1"/>
  <c r="U49" i="1"/>
  <c r="U48" i="1"/>
  <c r="S18" i="1"/>
  <c r="J7" i="7" s="1"/>
  <c r="P37" i="1"/>
  <c r="O40" i="1"/>
  <c r="F15" i="7" l="1"/>
  <c r="Q23" i="1"/>
  <c r="J23" i="7"/>
  <c r="Q18" i="1"/>
  <c r="J20" i="7"/>
  <c r="K20" i="7" s="1" a="1"/>
  <c r="K20" i="7" s="1"/>
  <c r="L20" i="7" s="1"/>
  <c r="F21" i="7"/>
  <c r="J22" i="7"/>
  <c r="Q48" i="1"/>
  <c r="Q9" i="1"/>
  <c r="Q54" i="1"/>
  <c r="Q40" i="1"/>
  <c r="Q14" i="1"/>
  <c r="Q44" i="1"/>
  <c r="F24" i="7"/>
  <c r="Q49" i="1"/>
  <c r="Q29" i="1"/>
  <c r="Q8" i="1"/>
  <c r="Q37" i="1"/>
  <c r="F16" i="7"/>
  <c r="Q21" i="1"/>
  <c r="Q39" i="1"/>
  <c r="Q47" i="1"/>
  <c r="G15" i="7" a="1"/>
  <c r="G15" i="7" s="1"/>
  <c r="H15" i="7" s="1"/>
  <c r="F12" i="7"/>
  <c r="G12" i="7" s="1" a="1"/>
  <c r="G12" i="7" s="1"/>
  <c r="I12" i="7" s="1"/>
  <c r="F13" i="7"/>
  <c r="G13" i="7" s="1" a="1"/>
  <c r="G13" i="7" s="1"/>
  <c r="I13" i="7" s="1"/>
  <c r="J8" i="7"/>
  <c r="Q19" i="1"/>
  <c r="J13" i="7"/>
  <c r="K13" i="7" s="1" a="1"/>
  <c r="K13" i="7" s="1"/>
  <c r="M13" i="7" s="1"/>
  <c r="Q10" i="1"/>
  <c r="F23" i="7"/>
  <c r="J12" i="7"/>
  <c r="K12" i="7" s="1" a="1"/>
  <c r="K12" i="7" s="1"/>
  <c r="L12" i="7" s="1"/>
  <c r="Q22" i="1"/>
  <c r="F20" i="7"/>
  <c r="G20" i="7" s="1" a="1"/>
  <c r="G20" i="7" s="1"/>
  <c r="I20" i="7" s="1"/>
  <c r="J15" i="7"/>
  <c r="J21" i="7"/>
  <c r="K21" i="7" s="1" a="1"/>
  <c r="K21" i="7" s="1"/>
  <c r="M21" i="7" s="1"/>
  <c r="J14" i="7"/>
  <c r="K14" i="7" s="1" a="1"/>
  <c r="K14" i="7" s="1"/>
  <c r="L14" i="7" s="1"/>
  <c r="Q33" i="1"/>
  <c r="Q28" i="1"/>
  <c r="F22" i="7"/>
  <c r="Q13" i="1"/>
  <c r="Q16" i="1"/>
  <c r="Q12" i="1"/>
  <c r="Q15" i="1"/>
  <c r="J24" i="7"/>
  <c r="F14" i="7"/>
  <c r="G14" i="7" s="1" a="1"/>
  <c r="G14" i="7" s="1"/>
  <c r="J4" i="7"/>
  <c r="K4" i="7" s="1" a="1"/>
  <c r="K4" i="7" s="1"/>
  <c r="M4" i="7" s="1"/>
  <c r="J16" i="7"/>
  <c r="K16" i="7" s="1" a="1"/>
  <c r="K16" i="7" s="1"/>
  <c r="J6" i="7"/>
  <c r="K6" i="7" s="1" a="1"/>
  <c r="K6" i="7" s="1"/>
  <c r="L6" i="7" s="1"/>
  <c r="Q50" i="1"/>
  <c r="Q24" i="1"/>
  <c r="J5" i="7"/>
  <c r="Q46" i="1"/>
  <c r="Q25" i="1"/>
  <c r="Q36" i="1"/>
  <c r="Q7" i="1"/>
  <c r="Q32" i="1"/>
  <c r="Q20" i="1"/>
  <c r="G22" i="7" a="1"/>
  <c r="G22" i="7" s="1"/>
  <c r="G21" i="7" a="1"/>
  <c r="G21" i="7" s="1"/>
  <c r="G16" i="7" a="1"/>
  <c r="G16" i="7" s="1"/>
  <c r="G24" i="7" a="1"/>
  <c r="G24" i="7" s="1"/>
  <c r="G23" i="7" a="1"/>
  <c r="G23" i="7" s="1"/>
  <c r="K15" i="7" l="1" a="1"/>
  <c r="K15" i="7" s="1"/>
  <c r="L15" i="7" s="1"/>
  <c r="K24" i="7" a="1"/>
  <c r="K24" i="7" s="1"/>
  <c r="M24" i="7" s="1"/>
  <c r="B5" i="7"/>
  <c r="B4" i="7"/>
  <c r="C4" i="7" s="1" a="1"/>
  <c r="C4" i="7" s="1"/>
  <c r="E4" i="7" s="1"/>
  <c r="O4" i="7" s="1"/>
  <c r="F5" i="7"/>
  <c r="G5" i="7" s="1" a="1"/>
  <c r="G5" i="7" s="1"/>
  <c r="H5" i="7" s="1"/>
  <c r="B8" i="7"/>
  <c r="F4" i="7"/>
  <c r="G4" i="7" s="1" a="1"/>
  <c r="G4" i="7" s="1"/>
  <c r="H4" i="7" s="1"/>
  <c r="M20" i="7"/>
  <c r="B7" i="7"/>
  <c r="B6" i="7"/>
  <c r="F7" i="7"/>
  <c r="F6" i="7"/>
  <c r="G6" i="7" s="1" a="1"/>
  <c r="G6" i="7" s="1"/>
  <c r="I6" i="7" s="1"/>
  <c r="G7" i="7" a="1"/>
  <c r="G7" i="7" s="1"/>
  <c r="I7" i="7" s="1"/>
  <c r="L4" i="7"/>
  <c r="L13" i="7"/>
  <c r="C8" i="7" a="1"/>
  <c r="C8" i="7" s="1"/>
  <c r="D8" i="7" s="1"/>
  <c r="C5" i="7" a="1"/>
  <c r="C5" i="7" s="1"/>
  <c r="E5" i="7" s="1"/>
  <c r="L21" i="7"/>
  <c r="K23" i="7" a="1"/>
  <c r="K23" i="7" s="1"/>
  <c r="I15" i="7"/>
  <c r="H13" i="7"/>
  <c r="F8" i="7"/>
  <c r="G8" i="7" s="1" a="1"/>
  <c r="G8" i="7" s="1"/>
  <c r="H8" i="7" s="1"/>
  <c r="H20" i="7"/>
  <c r="M12" i="7"/>
  <c r="H12" i="7"/>
  <c r="K5" i="7" a="1"/>
  <c r="K5" i="7" s="1"/>
  <c r="M6" i="7"/>
  <c r="M14" i="7"/>
  <c r="C7" i="7" a="1"/>
  <c r="C7" i="7" s="1"/>
  <c r="D7" i="7" s="1"/>
  <c r="C6" i="7" a="1"/>
  <c r="C6" i="7" s="1"/>
  <c r="D6" i="7" s="1"/>
  <c r="K8" i="7" a="1"/>
  <c r="K8" i="7" s="1"/>
  <c r="K22" i="7" a="1"/>
  <c r="K22" i="7" s="1"/>
  <c r="K7" i="7" a="1"/>
  <c r="K7" i="7" s="1"/>
  <c r="H16" i="7"/>
  <c r="I16" i="7"/>
  <c r="I23" i="7"/>
  <c r="H23" i="7"/>
  <c r="H14" i="7"/>
  <c r="I14" i="7"/>
  <c r="H21" i="7"/>
  <c r="I21" i="7"/>
  <c r="M16" i="7"/>
  <c r="L16" i="7"/>
  <c r="I22" i="7"/>
  <c r="H22" i="7"/>
  <c r="I24" i="7"/>
  <c r="H24" i="7"/>
  <c r="M15" i="7" l="1"/>
  <c r="L24" i="7"/>
  <c r="D4" i="7"/>
  <c r="H6" i="7"/>
  <c r="I5" i="7"/>
  <c r="I4" i="7"/>
  <c r="D5" i="7"/>
  <c r="E8" i="7"/>
  <c r="H7" i="7"/>
  <c r="E7" i="7"/>
  <c r="L8" i="7"/>
  <c r="M8" i="7"/>
  <c r="E6" i="7"/>
  <c r="I8" i="7"/>
  <c r="M7" i="7"/>
  <c r="L7" i="7"/>
  <c r="L22" i="7"/>
  <c r="M22" i="7"/>
  <c r="L23" i="7"/>
  <c r="M23" i="7"/>
  <c r="L5" i="7"/>
  <c r="M5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sommmerfest 2018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privat del av faktura:
040 149.70
050 149.70
060 179.70
070 718.80
sum 1197.9
3942.20 - 1197.9 = 2744.3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+ 36 kr for godgjørelse til Kyrre?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Dokumentasjon mangler.
Kjøp av 2 stk akevitt av Truls?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+ 20 kr for godgjørelse av Kyrre?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2019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(vin og 6-pack)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+ 300 kr ???
Undersøker med Kyrre</t>
        </r>
      </text>
    </comment>
  </commentList>
</comments>
</file>

<file path=xl/sharedStrings.xml><?xml version="1.0" encoding="utf-8"?>
<sst xmlns="http://schemas.openxmlformats.org/spreadsheetml/2006/main" count="242" uniqueCount="161">
  <si>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</si>
  <si>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</si>
  <si>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</si>
  <si>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</si>
  <si>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</si>
  <si>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</si>
  <si>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</si>
  <si>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</si>
  <si>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</si>
  <si>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</si>
  <si>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</si>
  <si>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</si>
  <si>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</si>
  <si>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</si>
  <si>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</si>
  <si>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</si>
  <si>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</si>
  <si>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</si>
  <si>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</si>
  <si>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</si>
  <si>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</si>
  <si>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</si>
  <si>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</si>
  <si>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</si>
  <si>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</si>
  <si>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</si>
  <si>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</si>
  <si>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</si>
  <si>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</si>
  <si>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</si>
  <si>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</si>
  <si>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</si>
  <si>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</si>
  <si>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</si>
  <si>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</si>
  <si>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</si>
  <si>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</si>
  <si>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</si>
  <si>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</si>
  <si>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</si>
  <si>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</si>
  <si>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</si>
  <si>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</si>
  <si>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</si>
  <si>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</si>
  <si>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</si>
  <si>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</si>
  <si>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</si>
  <si>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</si>
  <si>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</si>
  <si>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</si>
  <si>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</si>
  <si>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</si>
  <si>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</si>
  <si>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</si>
  <si>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</si>
  <si>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</si>
  <si>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</si>
  <si>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</si>
  <si>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</si>
  <si>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</si>
  <si>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</si>
  <si>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</si>
  <si>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</si>
  <si>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</si>
  <si>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</si>
  <si>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</si>
  <si>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</si>
  <si>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</si>
  <si>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</si>
  <si>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</si>
  <si>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</si>
  <si>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</si>
  <si>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</si>
  <si>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</si>
  <si>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</si>
  <si>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</si>
  <si>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</si>
  <si>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</si>
  <si>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</si>
  <si>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</si>
  <si>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</si>
  <si>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</si>
  <si>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</si>
  <si>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</si>
  <si>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</si>
  <si>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</si>
  <si>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</si>
  <si>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</si>
  <si>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</si>
  <si>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</si>
  <si>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</si>
  <si>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</si>
  <si>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</si>
  <si>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</si>
  <si>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</si>
  <si>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</si>
  <si>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</si>
  <si>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</si>
  <si>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</si>
  <si>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</si>
  <si>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{"name": "Truls", "tickets": 5},</t>
  </si>
  <si>
    <t>{"name": "Ruben O", "tickets": 10},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</si>
  <si>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</si>
  <si>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</si>
  <si>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</si>
  <si>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</si>
  <si>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</si>
  <si>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</si>
  <si>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</si>
  <si>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</si>
  <si>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</si>
  <si>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</si>
  <si>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</si>
  <si>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</si>
  <si>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</si>
  <si>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</si>
  <si>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</si>
  <si>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</si>
  <si>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</si>
  <si>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</si>
  <si>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</si>
  <si>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</si>
  <si>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</si>
  <si>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</si>
  <si>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</si>
  <si>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</si>
  <si>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</si>
  <si>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{"name": "Odd", "tickets": 10, "prizes": 1},</t>
  </si>
  <si>
    <t>Svein</t>
  </si>
  <si>
    <t>Anders Sz</t>
  </si>
  <si>
    <t>Renter 2019</t>
  </si>
  <si>
    <t>faktura</t>
  </si>
  <si>
    <t>OB 4547807</t>
  </si>
  <si>
    <t>income</t>
  </si>
  <si>
    <t>{"name": "Svein", "tickets": 5},</t>
  </si>
  <si>
    <t>Magnus B</t>
  </si>
  <si>
    <t>Sondre</t>
  </si>
  <si>
    <t>{"name": "Anders A", "tickets": 10},</t>
  </si>
  <si>
    <t>{"name": "Mathias", "tickets": 5},</t>
  </si>
  <si>
    <t>Morten S</t>
  </si>
  <si>
    <t>Andrea</t>
  </si>
  <si>
    <t>{"name": "Morten S", "tickets": 5},</t>
  </si>
  <si>
    <t>stats?</t>
  </si>
  <si>
    <t>{"name": "Sondre", "tickets": 10},</t>
  </si>
  <si>
    <t>{"name": "Ciaran", "tickets": 5},</t>
  </si>
  <si>
    <t>{"name": "Sven", "tickets": 10},</t>
  </si>
  <si>
    <t>{"name": "Anders S", "tickets": 3},</t>
  </si>
  <si>
    <t>{"name": "Asgeir", "tickets": 5},</t>
  </si>
  <si>
    <t>{"name": "Sivert", "tickets": 3},</t>
  </si>
  <si>
    <t>{"name": "Helga", "tickets": 2},</t>
  </si>
  <si>
    <t>{"name": "Jan", "tickets": 5},</t>
  </si>
  <si>
    <t>Sivert</t>
  </si>
  <si>
    <t>Helga</t>
  </si>
  <si>
    <t>{"name": "Ruben B", "tickets": 7},</t>
  </si>
  <si>
    <t>{"name": "Odd", "tickets": 10},</t>
  </si>
  <si>
    <t>{"name": "Magnus B", "tickets": 10}</t>
  </si>
  <si>
    <t>{"name": "Ivan", "tickets": 5}</t>
  </si>
  <si>
    <t>{"name": "Sven", "tickets": 10, "prizes": 2},</t>
  </si>
  <si>
    <t>{"name": "Sivert", "tickets": 3, "prizes": 2},</t>
  </si>
  <si>
    <t>{"name": "Truls", "tickets": 5, "prizes": 1},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</si>
</sst>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  <numFmt numFmtId="168" formatCode="0.00000\ %"/>
  </numFmts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96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6" fillId="9" borderId="1" xfId="1" applyFont="1" applyFill="1" applyBorder="1"/>
    <xf numFmtId="0" fontId="6" fillId="9" borderId="1" xfId="1" applyFont="1" applyFill="1" applyBorder="1" applyAlignment="1">
      <alignment horizontal="center"/>
    </xf>
    <xf numFmtId="0" fontId="6" fillId="9" borderId="0" xfId="1" applyFont="1" applyFill="1"/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Font="1" applyAlignment="1"/>
    <xf numFmtId="0" fontId="6" fillId="10" borderId="1" xfId="2" applyFont="1" applyFill="1" applyBorder="1"/>
    <xf numFmtId="0" fontId="6" fillId="10" borderId="1" xfId="2" applyFont="1" applyFill="1" applyBorder="1" applyAlignment="1">
      <alignment horizontal="center"/>
    </xf>
    <xf numFmtId="0" fontId="6" fillId="10" borderId="0" xfId="2" applyFont="1" applyFill="1"/>
    <xf numFmtId="0" fontId="6" fillId="11" borderId="1" xfId="2" applyFont="1" applyFill="1" applyBorder="1"/>
    <xf numFmtId="0" fontId="6" fillId="11" borderId="1" xfId="2" applyFont="1" applyFill="1" applyBorder="1" applyAlignment="1">
      <alignment horizontal="center"/>
    </xf>
    <xf numFmtId="0" fontId="6" fillId="11" borderId="0" xfId="2" applyFont="1" applyFill="1"/>
    <xf numFmtId="0" fontId="6" fillId="14" borderId="1" xfId="1" applyFont="1" applyFill="1" applyBorder="1"/>
    <xf numFmtId="0" fontId="6" fillId="14" borderId="1" xfId="1" applyFont="1" applyFill="1" applyBorder="1" applyAlignment="1">
      <alignment horizontal="center"/>
    </xf>
    <xf numFmtId="0" fontId="6" fillId="14" borderId="0" xfId="1" applyFont="1" applyFill="1"/>
    <xf numFmtId="0" fontId="6" fillId="13" borderId="1" xfId="1" applyFont="1" applyFill="1" applyBorder="1"/>
    <xf numFmtId="0" fontId="6" fillId="13" borderId="1" xfId="1" applyFont="1" applyFill="1" applyBorder="1" applyAlignment="1">
      <alignment horizontal="center"/>
    </xf>
    <xf numFmtId="0" fontId="6" fillId="13" borderId="0" xfId="1" applyFont="1" applyFill="1"/>
    <xf numFmtId="0" fontId="6" fillId="12" borderId="1" xfId="1" applyFont="1" applyFill="1" applyBorder="1"/>
    <xf numFmtId="0" fontId="6" fillId="12" borderId="1" xfId="1" applyFont="1" applyFill="1" applyBorder="1" applyAlignment="1">
      <alignment horizontal="center"/>
    </xf>
    <xf numFmtId="0" fontId="6" fillId="12" borderId="0" xfId="1" applyFont="1" applyFill="1"/>
    <xf numFmtId="166" fontId="0" fillId="8" borderId="0" xfId="4" applyNumberFormat="1" applyFont="1" applyFill="1"/>
    <xf numFmtId="166" fontId="0" fillId="6" borderId="0" xfId="4" applyNumberFormat="1" applyFont="1" applyFill="1"/>
    <xf numFmtId="166" fontId="0" fillId="7" borderId="0" xfId="4" applyNumberFormat="1" applyFont="1" applyFill="1"/>
    <xf numFmtId="167" fontId="6" fillId="11" borderId="0" xfId="2" applyNumberFormat="1" applyFont="1" applyFill="1"/>
    <xf numFmtId="167" fontId="6" fillId="10" borderId="0" xfId="2" applyNumberFormat="1" applyFont="1" applyFill="1"/>
    <xf numFmtId="3" fontId="6" fillId="12" borderId="0" xfId="1" applyNumberFormat="1" applyFont="1" applyFill="1"/>
    <xf numFmtId="1" fontId="6" fillId="13" borderId="0" xfId="1" applyNumberFormat="1" applyFont="1" applyFill="1"/>
    <xf numFmtId="1" fontId="6" fillId="14" borderId="0" xfId="1" applyNumberFormat="1" applyFont="1" applyFill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7" fillId="0" borderId="0" xfId="0" applyNumberFormat="1" applyFont="1"/>
    <xf numFmtId="1" fontId="17" fillId="0" borderId="0" xfId="0" applyNumberFormat="1" applyFont="1"/>
    <xf numFmtId="164" fontId="17" fillId="0" borderId="0" xfId="0" applyNumberFormat="1" applyFont="1"/>
    <xf numFmtId="1" fontId="17" fillId="0" borderId="0" xfId="4" applyNumberFormat="1" applyFont="1"/>
    <xf numFmtId="168" fontId="0" fillId="8" borderId="0" xfId="4" applyNumberFormat="1" applyFont="1" applyFill="1"/>
    <xf numFmtId="3" fontId="0" fillId="0" borderId="0" xfId="0" applyNumberFormat="1"/>
    <xf numFmtId="0" fontId="11" fillId="7" borderId="0" xfId="0" applyFont="1" applyFill="1" applyAlignment="1">
      <alignment horizontal="center"/>
    </xf>
    <xf numFmtId="0" fontId="7" fillId="10" borderId="0" xfId="2" applyFont="1" applyFill="1" applyBorder="1" applyAlignment="1">
      <alignment horizontal="center"/>
    </xf>
    <xf numFmtId="0" fontId="8" fillId="13" borderId="0" xfId="1" applyFont="1" applyFill="1" applyBorder="1" applyAlignment="1">
      <alignment horizontal="center"/>
    </xf>
    <xf numFmtId="0" fontId="8" fillId="12" borderId="0" xfId="1" applyFont="1" applyFill="1" applyBorder="1" applyAlignment="1">
      <alignment horizontal="center"/>
    </xf>
    <xf numFmtId="0" fontId="7" fillId="9" borderId="0" xfId="1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11" borderId="0" xfId="2" applyFont="1" applyFill="1" applyBorder="1" applyAlignment="1">
      <alignment horizontal="center"/>
    </xf>
    <xf numFmtId="0" fontId="8" fillId="14" borderId="0" xfId="1" applyFont="1" applyFill="1" applyBorder="1" applyAlignment="1">
      <alignment horizontal="center"/>
    </xf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E5D8BD"/>
      <color rgb="FFF2F2F2"/>
      <color rgb="FFFDDAEC"/>
      <color rgb="FFFFFFCC"/>
      <color rgb="FFFED9A6"/>
      <color rgb="FFCCEBC5"/>
      <color rgb="FFFBB4AE"/>
      <color rgb="FFB3CDE3"/>
      <color rgb="FFDECBE4"/>
      <color rgb="FF4DA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59" totalsRowShown="0" headerRowDxfId="40" dataDxfId="39">
  <autoFilter ref="A1:U59"/>
  <sortState ref="A2:U59">
    <sortCondition ref="T1:T59"/>
  </sortState>
  <tableColumns count="21">
    <tableColumn id="1" name="id" dataDxfId="38"/>
    <tableColumn id="2" name="name" dataDxfId="37"/>
    <tableColumn id="3" name="stats?" dataDxfId="36"/>
    <tableColumn id="20" name="last lottery" dataDxfId="35">
      <calculatedColumnFormula array="1">MAX(IF(Sales!B:B=A2,Sales!C:C))</calculatedColumnFormula>
    </tableColumn>
    <tableColumn id="8" name="cost" dataDxfId="34">
      <calculatedColumnFormula>SUMIF(Sales!B:B,A2,Sales!E:E)</calculatedColumnFormula>
    </tableColumn>
    <tableColumn id="18" name="#cost" dataDxfId="33">
      <calculatedColumnFormula>IF($C2=0," ",COUNTIFS($C:$C,1,E:E,"&gt;"&amp;E2)+1)</calculatedColumnFormula>
    </tableColumn>
    <tableColumn id="9" name="tickets" dataDxfId="32">
      <calculatedColumnFormula>SUMIF(Sales!B:B,A2,Sales!D:D)</calculatedColumnFormula>
    </tableColumn>
    <tableColumn id="12" name="#tickets" dataDxfId="31">
      <calculatedColumnFormula>IF($C2=0," ",COUNTIFS($C:$C,1,G:G,"&gt;"&amp;G2)+1)</calculatedColumnFormula>
    </tableColumn>
    <tableColumn id="10" name="prizes" dataDxfId="30">
      <calculatedColumnFormula>SUMIF(Prizes!B:B,A2,Prizes!D:D)</calculatedColumnFormula>
    </tableColumn>
    <tableColumn id="13" name="#prizes" dataDxfId="29">
      <calculatedColumnFormula>IF($C2=0," ",COUNTIFS($C:$C,1,I:I,"&gt;"&amp;I2)+1)</calculatedColumnFormula>
    </tableColumn>
    <tableColumn id="7" name="μ" dataDxfId="28">
      <calculatedColumnFormula>SUMIF(Sales!B:B,A2,Sales!F:F)</calculatedColumnFormula>
    </tableColumn>
    <tableColumn id="16" name="#μ" dataDxfId="27">
      <calculatedColumnFormula>IF($C2=0," ",COUNTIFS($C:$C,1,K:K,"&gt;"&amp;K2)+1)</calculatedColumnFormula>
    </tableColumn>
    <tableColumn id="11" name="σ" dataDxfId="26">
      <calculatedColumnFormula>SQRT(SUMIF(Sales!B:B,A2,Sales!G:G))</calculatedColumnFormula>
    </tableColumn>
    <tableColumn id="19" name="prizes - µ" dataDxfId="25">
      <calculatedColumnFormula>I2-K2</calculatedColumnFormula>
    </tableColumn>
    <tableColumn id="21" name="#prizes - µ" dataDxfId="24">
      <calculatedColumnFormula>IF($C2=0," ",COUNTIFS($C:$C,1,N:N,"&gt;"&amp;N2)+1)</calculatedColumnFormula>
    </tableColumn>
    <tableColumn id="5" name="Nσ" dataDxfId="23">
      <calculatedColumnFormula>N2/M2</calculatedColumnFormula>
    </tableColumn>
    <tableColumn id="6" name="#Nσ" dataDxfId="22">
      <calculatedColumnFormula>IF($C2=0," ",COUNTIFS($C:$C,1,P:P,"&gt;"&amp;P2)+1)</calculatedColumnFormula>
    </tableColumn>
    <tableColumn id="15" name="P" dataDxfId="21" dataCellStyle="Percent">
      <calculatedColumnFormula>IF(I2&gt;K2,1-_xlfn.NORM.DIST(I2,K2,M2,1),_xlfn.NORM.DIST(I2,K2,M2,1))</calculatedColumnFormula>
    </tableColumn>
    <tableColumn id="17" name="#P" dataDxfId="20" dataCellStyle="Percent">
      <calculatedColumnFormula>IF($C2=0," ",COUNTIFS($C:$C,1,R:R,"&gt;"&amp;R2)+1)</calculatedColumnFormula>
    </tableColumn>
    <tableColumn id="4" name="cost/μ" dataDxfId="19">
      <calculatedColumnFormula>E2/K2</calculatedColumnFormula>
    </tableColumn>
    <tableColumn id="14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H23">
  <autoFilter ref="A1:H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totalsRowLabel="Total"/>
    <tableColumn id="2" name="date" dataDxfId="17"/>
    <tableColumn id="4" name="cost" dataDxfId="16"/>
    <tableColumn id="3" name="sales" dataDxfId="15">
      <calculatedColumnFormula>SUMIFS(Sales!D:D,Sales!C:C,A2)</calculatedColumnFormula>
    </tableColumn>
    <tableColumn id="8" name="income" dataDxfId="14" dataCellStyle="Comma">
      <calculatedColumnFormula>C2*D2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F2/D2</calculatedColumnFormula>
    </tableColumn>
    <tableColumn id="7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415" totalsRowShown="0">
  <autoFilter ref="A1:G415"/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D2*INDEX(Lotteries!G:G,MATCH(C2,Lotteries!A:A,0))</calculatedColumnFormula>
    </tableColumn>
    <tableColumn id="7" name="σ2" dataDxfId="4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22" totalsRowShown="0" headerRowDxfId="3">
  <autoFilter ref="A1:D122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/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E19" totalsRowShown="0" headerRowDxfId="2">
  <autoFilter ref="A1:E1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/>
    <tableColumn id="2" name="date" dataDxfId="1"/>
    <tableColumn id="4" name="cost" dataDxfId="0" dataCellStyle="Comma"/>
    <tableColumn id="3" name="prizes"/>
    <tableColumn id="5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7"/>
  <sheetViews>
    <sheetView showGridLines="0" zoomScale="190" zoomScaleNormal="190" workbookViewId="0">
      <selection activeCell="S13" sqref="S13"/>
    </sheetView>
  </sheetViews>
  <sheetFormatPr defaultColWidth="10.140625" defaultRowHeight="15" x14ac:dyDescent="0.25"/>
  <cols>
    <col min="3" max="3" width="10.140625" hidden="1" customWidth="1"/>
    <col min="7" max="7" width="0" hidden="1" customWidth="1"/>
    <col min="11" max="11" width="0" hidden="1" customWidth="1"/>
  </cols>
  <sheetData>
    <row r="2" spans="2:26" x14ac:dyDescent="0.25">
      <c r="B2" s="92" t="s">
        <v>41</v>
      </c>
      <c r="C2" s="92"/>
      <c r="D2" s="92"/>
      <c r="E2" s="92"/>
      <c r="F2" s="93" t="s">
        <v>40</v>
      </c>
      <c r="G2" s="93"/>
      <c r="H2" s="93"/>
      <c r="I2" s="93"/>
      <c r="J2" s="87" t="s">
        <v>117</v>
      </c>
      <c r="K2" s="87"/>
      <c r="L2" s="87"/>
      <c r="M2" s="87"/>
    </row>
    <row r="3" spans="2:26" s="53" customFormat="1" x14ac:dyDescent="0.25">
      <c r="B3" s="50" t="s">
        <v>42</v>
      </c>
      <c r="C3" s="50" t="s">
        <v>19</v>
      </c>
      <c r="D3" s="50" t="s">
        <v>1</v>
      </c>
      <c r="E3" s="50" t="s">
        <v>108</v>
      </c>
      <c r="F3" s="51" t="s">
        <v>42</v>
      </c>
      <c r="G3" s="51" t="s">
        <v>19</v>
      </c>
      <c r="H3" s="51" t="s">
        <v>1</v>
      </c>
      <c r="I3" s="51" t="s">
        <v>108</v>
      </c>
      <c r="J3" s="52" t="s">
        <v>42</v>
      </c>
      <c r="K3" s="52" t="s">
        <v>19</v>
      </c>
      <c r="L3" s="52" t="s">
        <v>1</v>
      </c>
      <c r="M3" s="52" t="s">
        <v>108</v>
      </c>
    </row>
    <row r="4" spans="2:26" x14ac:dyDescent="0.25">
      <c r="B4" s="40">
        <f>SMALL(Persons!$Q:$Q,1+ROW(B4)-ROW(B$4))</f>
        <v>1</v>
      </c>
      <c r="C4" s="40">
        <f t="array" ref="C4">INDEX(Persons!$A:$A,SMALL(IF(Persons!$Q:$Q=B4,ROW(Persons!$A:$A)-ROW(Persons!$A$1)+1),COUNTIF(B$4:B4,B4)))</f>
        <v>56</v>
      </c>
      <c r="D4" s="40" t="str">
        <f>INDEX(Persons!$B:$B,MATCH(C4,Persons!$A:$A,0))</f>
        <v>Sivert</v>
      </c>
      <c r="E4" s="85">
        <f>INDEX(Persons!$R:$R,MATCH(C4,Persons!$A:$A,0))</f>
        <v>3.8567678073420097E-7</v>
      </c>
      <c r="F4" s="38">
        <f>LARGE(Persons!$Q:$Q,1+ROW(F4)-ROW(F$4))</f>
        <v>32</v>
      </c>
      <c r="G4" s="38">
        <f t="array" ref="G4">INDEX(Persons!$A:$A,SMALL(IF(Persons!$Q:$Q=F4,ROW(Persons!$A:$A)-ROW(Persons!$A$1)+1),COUNTIF(F$4:F4,F4)))</f>
        <v>11</v>
      </c>
      <c r="H4" s="38" t="str">
        <f>INDEX(Persons!$B:$B,MATCH(G4,Persons!$A:$A,0))</f>
        <v>Stein</v>
      </c>
      <c r="I4" s="70">
        <f>INDEX(Persons!$R:$R,MATCH(G4,Persons!$A:$A,0))</f>
        <v>4.7379396299877204E-2</v>
      </c>
      <c r="J4" s="39">
        <f>SMALL(Persons!$S:$S,1+ROW(J4)-ROW(J$4))</f>
        <v>1</v>
      </c>
      <c r="K4" s="39">
        <f t="array" ref="K4">INDEX(Persons!$A:$A,SMALL(IF(Persons!$S:$S=J4,ROW(Persons!$A:$A)-ROW(Persons!$A$1)+1),COUNTIF(J$4:J4,J4)))</f>
        <v>44</v>
      </c>
      <c r="L4" s="39" t="str">
        <f>INDEX(Persons!$B:$B,MATCH(K4,Persons!$A:$A,0))</f>
        <v>Jan</v>
      </c>
      <c r="M4" s="71">
        <f>INDEX(Persons!$R:$R,MATCH(K4,Persons!$A:$A,0))</f>
        <v>0.48895292558779635</v>
      </c>
      <c r="O4" s="86">
        <f>1/E4</f>
        <v>2592844.7081940761</v>
      </c>
    </row>
    <row r="5" spans="2:26" x14ac:dyDescent="0.25">
      <c r="B5" s="40">
        <f>SMALL(Persons!$Q:$Q,1+ROW(B5)-ROW(B$4))</f>
        <v>2</v>
      </c>
      <c r="C5" s="40">
        <f t="array" ref="C5">INDEX(Persons!$A:$A,SMALL(IF(Persons!$Q:$Q=B5,ROW(Persons!$A:$A)-ROW(Persons!$A$1)+1),COUNTIF(B$4:B5,B5)))</f>
        <v>48</v>
      </c>
      <c r="D5" s="40" t="str">
        <f>INDEX(Persons!$B:$B,MATCH(C5,Persons!$A:$A,0))</f>
        <v>Ivan</v>
      </c>
      <c r="E5" s="69">
        <f>INDEX(Persons!$R:$R,MATCH(C5,Persons!$A:$A,0))</f>
        <v>1.2645623753735458E-2</v>
      </c>
      <c r="F5" s="38">
        <f>LARGE(Persons!$Q:$Q,1+ROW(F5)-ROW(F$4))</f>
        <v>31</v>
      </c>
      <c r="G5" s="38">
        <f t="array" ref="G5">INDEX(Persons!$A:$A,SMALL(IF(Persons!$Q:$Q=F5,ROW(Persons!$A:$A)-ROW(Persons!$A$1)+1),COUNTIF(F$4:F5,F5)))</f>
        <v>24</v>
      </c>
      <c r="H5" s="38" t="str">
        <f>INDEX(Persons!$B:$B,MATCH(G5,Persons!$A:$A,0))</f>
        <v>Terje</v>
      </c>
      <c r="I5" s="70">
        <f>INDEX(Persons!$R:$R,MATCH(G5,Persons!$A:$A,0))</f>
        <v>8.3979503335431097E-2</v>
      </c>
      <c r="J5" s="39">
        <f>SMALL(Persons!$S:$S,1+ROW(J5)-ROW(J$4))</f>
        <v>2</v>
      </c>
      <c r="K5" s="39">
        <f t="array" ref="K5">INDEX(Persons!$A:$A,SMALL(IF(Persons!$S:$S=J5,ROW(Persons!$A:$A)-ROW(Persons!$A$1)+1),COUNTIF(J$4:J5,J5)))</f>
        <v>36</v>
      </c>
      <c r="L5" s="39" t="str">
        <f>INDEX(Persons!$B:$B,MATCH(K5,Persons!$A:$A,0))</f>
        <v>Ingvild</v>
      </c>
      <c r="M5" s="71">
        <f>INDEX(Persons!$R:$R,MATCH(K5,Persons!$A:$A,0))</f>
        <v>0.46126552630700979</v>
      </c>
    </row>
    <row r="6" spans="2:26" x14ac:dyDescent="0.25">
      <c r="B6" s="40">
        <f>SMALL(Persons!$Q:$Q,1+ROW(B6)-ROW(B$4))</f>
        <v>3</v>
      </c>
      <c r="C6" s="40">
        <f t="array" ref="C6">INDEX(Persons!$A:$A,SMALL(IF(Persons!$Q:$Q=B6,ROW(Persons!$A:$A)-ROW(Persons!$A$1)+1),COUNTIF(B$4:B6,B6)))</f>
        <v>14</v>
      </c>
      <c r="D6" s="40" t="str">
        <f>INDEX(Persons!$B:$B,MATCH(C6,Persons!$A:$A,0))</f>
        <v>Truls</v>
      </c>
      <c r="E6" s="69">
        <f>INDEX(Persons!$R:$R,MATCH(C6,Persons!$A:$A,0))</f>
        <v>8.3223264378529782E-2</v>
      </c>
      <c r="F6" s="38">
        <f>LARGE(Persons!$Q:$Q,1+ROW(F6)-ROW(F$4))</f>
        <v>30</v>
      </c>
      <c r="G6" s="38">
        <f t="array" ref="G6">INDEX(Persons!$A:$A,SMALL(IF(Persons!$Q:$Q=F6,ROW(Persons!$A:$A)-ROW(Persons!$A$1)+1),COUNTIF(F$4:F6,F6)))</f>
        <v>47</v>
      </c>
      <c r="H6" s="38" t="str">
        <f>INDEX(Persons!$B:$B,MATCH(G6,Persons!$A:$A,0))</f>
        <v>Kenneth</v>
      </c>
      <c r="I6" s="70">
        <f>INDEX(Persons!$R:$R,MATCH(G6,Persons!$A:$A,0))</f>
        <v>9.4842360181836213E-2</v>
      </c>
      <c r="J6" s="39">
        <f>SMALL(Persons!$S:$S,1+ROW(J6)-ROW(J$4))</f>
        <v>3</v>
      </c>
      <c r="K6" s="39">
        <f t="array" ref="K6">INDEX(Persons!$A:$A,SMALL(IF(Persons!$S:$S=J6,ROW(Persons!$A:$A)-ROW(Persons!$A$1)+1),COUNTIF(J$4:J6,J6)))</f>
        <v>3</v>
      </c>
      <c r="L6" s="39" t="str">
        <f>INDEX(Persons!$B:$B,MATCH(K6,Persons!$A:$A,0))</f>
        <v>Erik O</v>
      </c>
      <c r="M6" s="71">
        <f>INDEX(Persons!$R:$R,MATCH(K6,Persons!$A:$A,0))</f>
        <v>0.41517122299034059</v>
      </c>
    </row>
    <row r="7" spans="2:26" x14ac:dyDescent="0.25">
      <c r="B7" s="40">
        <f>SMALL(Persons!$Q:$Q,1+ROW(B7)-ROW(B$4))</f>
        <v>4</v>
      </c>
      <c r="C7" s="40">
        <f t="array" ref="C7">INDEX(Persons!$A:$A,SMALL(IF(Persons!$Q:$Q=B7,ROW(Persons!$A:$A)-ROW(Persons!$A$1)+1),COUNTIF(B$4:B7,B7)))</f>
        <v>10</v>
      </c>
      <c r="D7" s="40" t="str">
        <f>INDEX(Persons!$B:$B,MATCH(C7,Persons!$A:$A,0))</f>
        <v>Odd</v>
      </c>
      <c r="E7" s="69">
        <f>INDEX(Persons!$R:$R,MATCH(C7,Persons!$A:$A,0))</f>
        <v>0.23299957277905714</v>
      </c>
      <c r="F7" s="38">
        <f>LARGE(Persons!$Q:$Q,1+ROW(F7)-ROW(F$4))</f>
        <v>29</v>
      </c>
      <c r="G7" s="38">
        <f t="array" ref="G7">INDEX(Persons!$A:$A,SMALL(IF(Persons!$Q:$Q=F7,ROW(Persons!$A:$A)-ROW(Persons!$A$1)+1),COUNTIF(F$4:F7,F7)))</f>
        <v>37</v>
      </c>
      <c r="H7" s="38" t="str">
        <f>INDEX(Persons!$B:$B,MATCH(G7,Persons!$A:$A,0))</f>
        <v>Ruben O</v>
      </c>
      <c r="I7" s="70">
        <f>INDEX(Persons!$R:$R,MATCH(G7,Persons!$A:$A,0))</f>
        <v>9.9293551168915556E-2</v>
      </c>
      <c r="J7" s="39">
        <f>SMALL(Persons!$S:$S,1+ROW(J7)-ROW(J$4))</f>
        <v>4</v>
      </c>
      <c r="K7" s="39">
        <f t="array" ref="K7">INDEX(Persons!$A:$A,SMALL(IF(Persons!$S:$S=J7,ROW(Persons!$A:$A)-ROW(Persons!$A$1)+1),COUNTIF(J$4:J7,J7)))</f>
        <v>42</v>
      </c>
      <c r="L7" s="39" t="str">
        <f>INDEX(Persons!$B:$B,MATCH(K7,Persons!$A:$A,0))</f>
        <v>Magnus W</v>
      </c>
      <c r="M7" s="71">
        <f>INDEX(Persons!$R:$R,MATCH(K7,Persons!$A:$A,0))</f>
        <v>0.39801009896921591</v>
      </c>
      <c r="W7">
        <f>SUMPRODUCT(V8:V17,W8:W17)</f>
        <v>112</v>
      </c>
    </row>
    <row r="8" spans="2:26" x14ac:dyDescent="0.25">
      <c r="B8" s="40">
        <f>SMALL(Persons!$Q:$Q,1+ROW(B8)-ROW(B$4))</f>
        <v>5</v>
      </c>
      <c r="C8" s="40">
        <f t="array" ref="C8">INDEX(Persons!$A:$A,SMALL(IF(Persons!$Q:$Q=B8,ROW(Persons!$A:$A)-ROW(Persons!$A$1)+1),COUNTIF(B$4:B8,B8)))</f>
        <v>41</v>
      </c>
      <c r="D8" s="40" t="str">
        <f>INDEX(Persons!$B:$B,MATCH(C8,Persons!$A:$A,0))</f>
        <v>Ruben B</v>
      </c>
      <c r="E8" s="69">
        <f>INDEX(Persons!$R:$R,MATCH(C8,Persons!$A:$A,0))</f>
        <v>0.2595592047883154</v>
      </c>
      <c r="F8" s="38">
        <f>LARGE(Persons!$Q:$Q,1+ROW(F8)-ROW(F$4))</f>
        <v>28</v>
      </c>
      <c r="G8" s="38">
        <f t="array" ref="G8">INDEX(Persons!$A:$A,SMALL(IF(Persons!$Q:$Q=F8,ROW(Persons!$A:$A)-ROW(Persons!$A$1)+1),COUNTIF(F$4:F8,F8)))</f>
        <v>45</v>
      </c>
      <c r="H8" s="38" t="str">
        <f>INDEX(Persons!$B:$B,MATCH(G8,Persons!$A:$A,0))</f>
        <v>Fridtjof</v>
      </c>
      <c r="I8" s="70">
        <f>INDEX(Persons!$R:$R,MATCH(G8,Persons!$A:$A,0))</f>
        <v>0.12701859000624371</v>
      </c>
      <c r="J8" s="39">
        <f>SMALL(Persons!$S:$S,1+ROW(J8)-ROW(J$4))</f>
        <v>5</v>
      </c>
      <c r="K8" s="39">
        <f t="array" ref="K8">INDEX(Persons!$A:$A,SMALL(IF(Persons!$S:$S=J8,ROW(Persons!$A:$A)-ROW(Persons!$A$1)+1),COUNTIF(J$4:J8,J8)))</f>
        <v>46</v>
      </c>
      <c r="L8" s="39" t="str">
        <f>INDEX(Persons!$B:$B,MATCH(K8,Persons!$A:$A,0))</f>
        <v>Ciaran</v>
      </c>
      <c r="M8" s="71">
        <f>INDEX(Persons!$R:$R,MATCH(K8,Persons!$A:$A,0))</f>
        <v>0.38815891253105161</v>
      </c>
      <c r="U8">
        <v>0</v>
      </c>
      <c r="V8">
        <f>2^U8</f>
        <v>1</v>
      </c>
      <c r="W8">
        <v>0</v>
      </c>
    </row>
    <row r="9" spans="2:26" x14ac:dyDescent="0.25">
      <c r="U9">
        <v>1</v>
      </c>
      <c r="V9">
        <f t="shared" ref="V9:V17" si="0">2^U9</f>
        <v>2</v>
      </c>
      <c r="W9">
        <v>0</v>
      </c>
      <c r="Y9" s="4" t="s">
        <v>41</v>
      </c>
      <c r="Z9" s="40"/>
    </row>
    <row r="10" spans="2:26" x14ac:dyDescent="0.25">
      <c r="B10" s="91" t="s">
        <v>44</v>
      </c>
      <c r="C10" s="91"/>
      <c r="D10" s="91"/>
      <c r="E10" s="91"/>
      <c r="F10" s="94" t="s">
        <v>119</v>
      </c>
      <c r="G10" s="94"/>
      <c r="H10" s="94"/>
      <c r="I10" s="94"/>
      <c r="J10" s="88" t="s">
        <v>120</v>
      </c>
      <c r="K10" s="88"/>
      <c r="L10" s="88"/>
      <c r="M10" s="88"/>
      <c r="U10">
        <v>2</v>
      </c>
      <c r="V10">
        <f t="shared" si="0"/>
        <v>4</v>
      </c>
      <c r="W10">
        <v>0</v>
      </c>
      <c r="Y10" s="4" t="s">
        <v>40</v>
      </c>
      <c r="Z10" s="38"/>
    </row>
    <row r="11" spans="2:26" x14ac:dyDescent="0.25">
      <c r="B11" s="47" t="s">
        <v>42</v>
      </c>
      <c r="C11" s="47" t="s">
        <v>19</v>
      </c>
      <c r="D11" s="47" t="s">
        <v>1</v>
      </c>
      <c r="E11" s="48" t="s">
        <v>21</v>
      </c>
      <c r="F11" s="57" t="s">
        <v>42</v>
      </c>
      <c r="G11" s="57" t="s">
        <v>19</v>
      </c>
      <c r="H11" s="57" t="s">
        <v>1</v>
      </c>
      <c r="I11" s="58" t="s">
        <v>113</v>
      </c>
      <c r="J11" s="54" t="s">
        <v>42</v>
      </c>
      <c r="K11" s="54" t="s">
        <v>19</v>
      </c>
      <c r="L11" s="54" t="s">
        <v>1</v>
      </c>
      <c r="M11" s="55" t="s">
        <v>113</v>
      </c>
      <c r="U11">
        <v>3</v>
      </c>
      <c r="V11">
        <f t="shared" si="0"/>
        <v>8</v>
      </c>
      <c r="W11">
        <v>0</v>
      </c>
      <c r="Y11" s="4" t="s">
        <v>117</v>
      </c>
      <c r="Z11" s="39"/>
    </row>
    <row r="12" spans="2:26" x14ac:dyDescent="0.25">
      <c r="B12" s="49">
        <f>SMALL(Persons!$J:$J,1+ROW(B12)-ROW(B$12))</f>
        <v>1</v>
      </c>
      <c r="C12" s="49">
        <f t="array" ref="C12">INDEX(Persons!$A:$A,SMALL(IF(Persons!$J:$J=B12,ROW(Persons!$A:$A)-ROW(Persons!$A$1)+1),COUNTIF(B$12:B12,B12)))</f>
        <v>10</v>
      </c>
      <c r="D12" s="49" t="str">
        <f>INDEX(Persons!$B:$B,MATCH(C12,Persons!$A:$A,0))</f>
        <v>Odd</v>
      </c>
      <c r="E12" s="49">
        <f>INDEX(Persons!$I:$I,MATCH(C12,Persons!$A:$A,0))</f>
        <v>10</v>
      </c>
      <c r="F12" s="59">
        <f>SMALL(Persons!$O:$O,1+ROW(F12)-ROW(F$12))</f>
        <v>1</v>
      </c>
      <c r="G12" s="59">
        <f t="array" ref="G12">INDEX(Persons!$A:$A,SMALL(IF(Persons!$O:$O=F12,ROW(Persons!$A:$A)-ROW(Persons!$A$1)+1),COUNTIF(F$12:F12,F12)))</f>
        <v>14</v>
      </c>
      <c r="H12" s="59" t="str">
        <f>INDEX(Persons!$B:$B,MATCH(G12,Persons!$A:$A,0))</f>
        <v>Truls</v>
      </c>
      <c r="I12" s="72">
        <f>INDEX(Persons!$N:$N,MATCH(G12,Persons!$A:$A,0))</f>
        <v>2.9440772129911146</v>
      </c>
      <c r="J12" s="56">
        <f>LARGE(Persons!$O:$O,1+ROW(J12)-ROW(J$12))</f>
        <v>32</v>
      </c>
      <c r="K12" s="56">
        <f t="array" ref="K12">INDEX(Persons!$A:$A,SMALL(IF(Persons!$O:$O=J12,ROW(Persons!$A:$A)-ROW(Persons!$A$1)+1),COUNTIF(J$12:J12,J12)))</f>
        <v>37</v>
      </c>
      <c r="L12" s="56" t="str">
        <f>INDEX(Persons!$B:$B,MATCH(K12,Persons!$A:$A,0))</f>
        <v>Ruben O</v>
      </c>
      <c r="M12" s="73">
        <f>INDEX(Persons!$N:$N,MATCH(K12,Persons!$A:$A,0))</f>
        <v>-3.2456182608128401</v>
      </c>
      <c r="U12">
        <v>4</v>
      </c>
      <c r="V12">
        <f t="shared" si="0"/>
        <v>16</v>
      </c>
      <c r="W12">
        <v>1</v>
      </c>
      <c r="Y12" s="4" t="s">
        <v>44</v>
      </c>
      <c r="Z12" s="41"/>
    </row>
    <row r="13" spans="2:26" x14ac:dyDescent="0.25">
      <c r="B13" s="49">
        <f>SMALL(Persons!$J:$J,1+ROW(B13)-ROW(B$12))</f>
        <v>2</v>
      </c>
      <c r="C13" s="49">
        <f t="array" ref="C13">INDEX(Persons!$A:$A,SMALL(IF(Persons!$J:$J=B13,ROW(Persons!$A:$A)-ROW(Persons!$A$1)+1),COUNTIF(B$12:B13,B13)))</f>
        <v>14</v>
      </c>
      <c r="D13" s="49" t="str">
        <f>INDEX(Persons!$B:$B,MATCH(C13,Persons!$A:$A,0))</f>
        <v>Truls</v>
      </c>
      <c r="E13" s="49">
        <f>INDEX(Persons!$I:$I,MATCH(C13,Persons!$A:$A,0))</f>
        <v>8</v>
      </c>
      <c r="F13" s="59">
        <f>SMALL(Persons!$O:$O,1+ROW(F13)-ROW(F$12))</f>
        <v>2</v>
      </c>
      <c r="G13" s="59">
        <f t="array" ref="G13">INDEX(Persons!$A:$A,SMALL(IF(Persons!$O:$O=F13,ROW(Persons!$A:$A)-ROW(Persons!$A$1)+1),COUNTIF(F$12:F13,F13)))</f>
        <v>48</v>
      </c>
      <c r="H13" s="59" t="str">
        <f>INDEX(Persons!$B:$B,MATCH(G13,Persons!$A:$A,0))</f>
        <v>Ivan</v>
      </c>
      <c r="I13" s="72">
        <f>INDEX(Persons!$N:$N,MATCH(G13,Persons!$A:$A,0))</f>
        <v>2.0711269939820296</v>
      </c>
      <c r="J13" s="56">
        <f>LARGE(Persons!$O:$O,1+ROW(J13)-ROW(J$12))</f>
        <v>31</v>
      </c>
      <c r="K13" s="56">
        <f t="array" ref="K13">INDEX(Persons!$A:$A,SMALL(IF(Persons!$O:$O=J13,ROW(Persons!$A:$A)-ROW(Persons!$A$1)+1),COUNTIF(J$12:J13,J13)))</f>
        <v>11</v>
      </c>
      <c r="L13" s="56" t="str">
        <f>INDEX(Persons!$B:$B,MATCH(K13,Persons!$A:$A,0))</f>
        <v>Stein</v>
      </c>
      <c r="M13" s="73">
        <f>INDEX(Persons!$N:$N,MATCH(K13,Persons!$A:$A,0))</f>
        <v>-2.4986609374725086</v>
      </c>
      <c r="U13">
        <v>5</v>
      </c>
      <c r="V13">
        <f t="shared" si="0"/>
        <v>32</v>
      </c>
      <c r="W13">
        <v>1</v>
      </c>
      <c r="Y13" s="4" t="s">
        <v>113</v>
      </c>
      <c r="Z13" s="43"/>
    </row>
    <row r="14" spans="2:26" x14ac:dyDescent="0.25">
      <c r="B14" s="49">
        <f>SMALL(Persons!$J:$J,1+ROW(B14)-ROW(B$12))</f>
        <v>3</v>
      </c>
      <c r="C14" s="49">
        <f t="array" ref="C14">INDEX(Persons!$A:$A,SMALL(IF(Persons!$J:$J=B14,ROW(Persons!$A:$A)-ROW(Persons!$A$1)+1),COUNTIF(B$12:B14,B14)))</f>
        <v>15</v>
      </c>
      <c r="D14" s="49" t="str">
        <f>INDEX(Persons!$B:$B,MATCH(C14,Persons!$A:$A,0))</f>
        <v>Yngvar</v>
      </c>
      <c r="E14" s="49">
        <f>INDEX(Persons!$I:$I,MATCH(C14,Persons!$A:$A,0))</f>
        <v>6</v>
      </c>
      <c r="F14" s="59">
        <f>SMALL(Persons!$O:$O,1+ROW(F14)-ROW(F$12))</f>
        <v>3</v>
      </c>
      <c r="G14" s="59">
        <f t="array" ref="G14">INDEX(Persons!$A:$A,SMALL(IF(Persons!$O:$O=F14,ROW(Persons!$A:$A)-ROW(Persons!$A$1)+1),COUNTIF(F$12:F14,F14)))</f>
        <v>10</v>
      </c>
      <c r="H14" s="59" t="str">
        <f>INDEX(Persons!$B:$B,MATCH(G14,Persons!$A:$A,0))</f>
        <v>Odd</v>
      </c>
      <c r="I14" s="72">
        <f>INDEX(Persons!$N:$N,MATCH(G14,Persons!$A:$A,0))</f>
        <v>1.9458800092132407</v>
      </c>
      <c r="J14" s="56">
        <f>LARGE(Persons!$O:$O,1+ROW(J14)-ROW(J$12))</f>
        <v>30</v>
      </c>
      <c r="K14" s="56">
        <f t="array" ref="K14">INDEX(Persons!$A:$A,SMALL(IF(Persons!$O:$O=J14,ROW(Persons!$A:$A)-ROW(Persons!$A$1)+1),COUNTIF(J$12:J14,J14)))</f>
        <v>24</v>
      </c>
      <c r="L14" s="56" t="str">
        <f>INDEX(Persons!$B:$B,MATCH(K14,Persons!$A:$A,0))</f>
        <v>Terje</v>
      </c>
      <c r="M14" s="73">
        <f>INDEX(Persons!$N:$N,MATCH(K14,Persons!$A:$A,0))</f>
        <v>-2.4203082743728253</v>
      </c>
      <c r="U14">
        <v>6</v>
      </c>
      <c r="V14">
        <f t="shared" si="0"/>
        <v>64</v>
      </c>
      <c r="W14">
        <v>1</v>
      </c>
      <c r="Y14" s="4" t="s">
        <v>113</v>
      </c>
      <c r="Z14" s="42"/>
    </row>
    <row r="15" spans="2:26" x14ac:dyDescent="0.25">
      <c r="B15" s="49">
        <f>SMALL(Persons!$J:$J,1+ROW(B15)-ROW(B$12))</f>
        <v>3</v>
      </c>
      <c r="C15" s="49">
        <f t="array" ref="C15">INDEX(Persons!$A:$A,SMALL(IF(Persons!$J:$J=B15,ROW(Persons!$A:$A)-ROW(Persons!$A$1)+1),COUNTIF(B$12:B15,B15)))</f>
        <v>33</v>
      </c>
      <c r="D15" s="49" t="str">
        <f>INDEX(Persons!$B:$B,MATCH(C15,Persons!$A:$A,0))</f>
        <v>Anders A</v>
      </c>
      <c r="E15" s="49">
        <f>INDEX(Persons!$I:$I,MATCH(C15,Persons!$A:$A,0))</f>
        <v>6</v>
      </c>
      <c r="F15" s="59">
        <f>SMALL(Persons!$O:$O,1+ROW(F15)-ROW(F$12))</f>
        <v>4</v>
      </c>
      <c r="G15" s="59">
        <f t="array" ref="G15">INDEX(Persons!$A:$A,SMALL(IF(Persons!$O:$O=F15,ROW(Persons!$A:$A)-ROW(Persons!$A$1)+1),COUNTIF(F$12:F15,F15)))</f>
        <v>56</v>
      </c>
      <c r="H15" s="59" t="str">
        <f>INDEX(Persons!$B:$B,MATCH(G15,Persons!$A:$A,0))</f>
        <v>Sivert</v>
      </c>
      <c r="I15" s="72">
        <f>INDEX(Persons!$N:$N,MATCH(G15,Persons!$A:$A,0))</f>
        <v>1.85</v>
      </c>
      <c r="J15" s="56">
        <f>LARGE(Persons!$O:$O,1+ROW(J15)-ROW(J$12))</f>
        <v>29</v>
      </c>
      <c r="K15" s="56">
        <f t="array" ref="K15">INDEX(Persons!$A:$A,SMALL(IF(Persons!$O:$O=J15,ROW(Persons!$A:$A)-ROW(Persons!$A$1)+1),COUNTIF(J$12:J15,J15)))</f>
        <v>34</v>
      </c>
      <c r="L15" s="56" t="str">
        <f>INDEX(Persons!$B:$B,MATCH(K15,Persons!$A:$A,0))</f>
        <v>Asgeir</v>
      </c>
      <c r="M15" s="73">
        <f>INDEX(Persons!$N:$N,MATCH(K15,Persons!$A:$A,0))</f>
        <v>-1.6459495602492105</v>
      </c>
      <c r="U15">
        <v>7</v>
      </c>
      <c r="V15">
        <f t="shared" si="0"/>
        <v>128</v>
      </c>
      <c r="W15">
        <v>0</v>
      </c>
      <c r="Y15" s="4" t="s">
        <v>115</v>
      </c>
      <c r="Z15" s="44"/>
    </row>
    <row r="16" spans="2:26" x14ac:dyDescent="0.25">
      <c r="B16" s="49">
        <f>SMALL(Persons!$J:$J,1+ROW(B16)-ROW(B$12))</f>
        <v>5</v>
      </c>
      <c r="C16" s="49">
        <f t="array" ref="C16">INDEX(Persons!$A:$A,SMALL(IF(Persons!$J:$J=B16,ROW(Persons!$A:$A)-ROW(Persons!$A$1)+1),COUNTIF(B$12:B16,B16)))</f>
        <v>13</v>
      </c>
      <c r="D16" s="49" t="str">
        <f>INDEX(Persons!$B:$B,MATCH(C16,Persons!$A:$A,0))</f>
        <v>Sven</v>
      </c>
      <c r="E16" s="49">
        <f>INDEX(Persons!$I:$I,MATCH(C16,Persons!$A:$A,0))</f>
        <v>5</v>
      </c>
      <c r="F16" s="59">
        <f>SMALL(Persons!$O:$O,1+ROW(F16)-ROW(F$12))</f>
        <v>5</v>
      </c>
      <c r="G16" s="59">
        <f t="array" ref="G16">INDEX(Persons!$A:$A,SMALL(IF(Persons!$O:$O=F16,ROW(Persons!$A:$A)-ROW(Persons!$A$1)+1),COUNTIF(F$12:F16,F16)))</f>
        <v>13</v>
      </c>
      <c r="H16" s="59" t="str">
        <f>INDEX(Persons!$B:$B,MATCH(G16,Persons!$A:$A,0))</f>
        <v>Sven</v>
      </c>
      <c r="I16" s="72">
        <f>INDEX(Persons!$N:$N,MATCH(G16,Persons!$A:$A,0))</f>
        <v>1.1771151864209619</v>
      </c>
      <c r="J16" s="56">
        <f>LARGE(Persons!$O:$O,1+ROW(J16)-ROW(J$12))</f>
        <v>28</v>
      </c>
      <c r="K16" s="56">
        <f t="array" ref="K16">INDEX(Persons!$A:$A,SMALL(IF(Persons!$O:$O=J16,ROW(Persons!$A:$A)-ROW(Persons!$A$1)+1),COUNTIF(J$12:J16,J16)))</f>
        <v>47</v>
      </c>
      <c r="L16" s="56" t="str">
        <f>INDEX(Persons!$B:$B,MATCH(K16,Persons!$A:$A,0))</f>
        <v>Kenneth</v>
      </c>
      <c r="M16" s="73">
        <f>INDEX(Persons!$N:$N,MATCH(K16,Persons!$A:$A,0))</f>
        <v>-1.5492461951326595</v>
      </c>
      <c r="U16">
        <v>8</v>
      </c>
      <c r="V16">
        <f t="shared" si="0"/>
        <v>256</v>
      </c>
      <c r="W16">
        <v>0</v>
      </c>
      <c r="Y16" s="4" t="s">
        <v>57</v>
      </c>
      <c r="Z16" s="46"/>
    </row>
    <row r="17" spans="2:26" x14ac:dyDescent="0.25">
      <c r="U17">
        <v>9</v>
      </c>
      <c r="V17">
        <f t="shared" si="0"/>
        <v>512</v>
      </c>
      <c r="W17">
        <v>0</v>
      </c>
      <c r="Y17" s="4" t="s">
        <v>57</v>
      </c>
      <c r="Z17" s="45"/>
    </row>
    <row r="18" spans="2:26" x14ac:dyDescent="0.25">
      <c r="B18" s="90" t="s">
        <v>43</v>
      </c>
      <c r="C18" s="90"/>
      <c r="D18" s="90"/>
      <c r="E18" s="90"/>
      <c r="F18" s="95" t="s">
        <v>121</v>
      </c>
      <c r="G18" s="95"/>
      <c r="H18" s="95"/>
      <c r="I18" s="95"/>
      <c r="J18" s="89" t="s">
        <v>122</v>
      </c>
      <c r="K18" s="89"/>
      <c r="L18" s="89"/>
      <c r="M18" s="89"/>
    </row>
    <row r="19" spans="2:26" x14ac:dyDescent="0.25">
      <c r="B19" s="66" t="s">
        <v>42</v>
      </c>
      <c r="C19" s="66" t="s">
        <v>19</v>
      </c>
      <c r="D19" s="66" t="s">
        <v>1</v>
      </c>
      <c r="E19" s="67" t="s">
        <v>20</v>
      </c>
      <c r="F19" s="60" t="s">
        <v>42</v>
      </c>
      <c r="G19" s="60" t="s">
        <v>19</v>
      </c>
      <c r="H19" s="60" t="s">
        <v>1</v>
      </c>
      <c r="I19" s="61" t="s">
        <v>57</v>
      </c>
      <c r="J19" s="63" t="s">
        <v>42</v>
      </c>
      <c r="K19" s="63" t="s">
        <v>19</v>
      </c>
      <c r="L19" s="63" t="s">
        <v>1</v>
      </c>
      <c r="M19" s="64" t="s">
        <v>57</v>
      </c>
    </row>
    <row r="20" spans="2:26" x14ac:dyDescent="0.25">
      <c r="B20" s="68">
        <f>SMALL(Persons!$H:$H,1+ROW(B20)-ROW(B$20))</f>
        <v>1</v>
      </c>
      <c r="C20" s="68">
        <f t="array" ref="C20">INDEX(Persons!$A:$A,SMALL(IF(Persons!$H:$H=B20,ROW(Persons!$A:$A)-ROW(Persons!$A$1)+1),COUNTIF(B$20:B20,B20)))</f>
        <v>10</v>
      </c>
      <c r="D20" s="68" t="str">
        <f>INDEX(Persons!$B:$B,MATCH(C20,Persons!$A:$A,0))</f>
        <v>Odd</v>
      </c>
      <c r="E20" s="74">
        <f>INDEX(Persons!$G:$G,MATCH(C20,Persons!$A:$A,0))</f>
        <v>180</v>
      </c>
      <c r="F20" s="62">
        <f>SMALL(Persons!$U:$U,1+ROW(F20)-ROW(F$20))</f>
        <v>1</v>
      </c>
      <c r="G20" s="62">
        <f t="array" ref="G20">INDEX(Persons!$A:$A,SMALL(IF(Persons!$U:$U=F20,ROW(Persons!$A:$A)-ROW(Persons!$A$1)+1),COUNTIF(F$20:F20,F20)))</f>
        <v>56</v>
      </c>
      <c r="H20" s="62" t="str">
        <f>INDEX(Persons!$B:$B,MATCH(G20,Persons!$A:$A,0))</f>
        <v>Sivert</v>
      </c>
      <c r="I20" s="76">
        <f>INDEX(Persons!$T:$T,MATCH(G20,Persons!$A:$A,0))</f>
        <v>199.99999999999997</v>
      </c>
      <c r="J20" s="65">
        <f>LARGE(Persons!$U:$U,1+ROW(J20)-ROW(J$20))</f>
        <v>32</v>
      </c>
      <c r="K20" s="65">
        <f t="array" ref="K20">INDEX(Persons!$A:$A,SMALL(IF(Persons!$U:$U=J20,ROW(Persons!$A:$A)-ROW(Persons!$A$1)+1),COUNTIF(J$20:J20,J20)))</f>
        <v>52</v>
      </c>
      <c r="L20" s="65" t="str">
        <f>INDEX(Persons!$B:$B,MATCH(K20,Persons!$A:$A,0))</f>
        <v>Anders Sz</v>
      </c>
      <c r="M20" s="75">
        <f>INDEX(Persons!$T:$T,MATCH(K20,Persons!$A:$A,0))</f>
        <v>295.87933813970341</v>
      </c>
    </row>
    <row r="21" spans="2:26" x14ac:dyDescent="0.25">
      <c r="B21" s="68">
        <f>SMALL(Persons!$H:$H,1+ROW(B21)-ROW(B$20))</f>
        <v>2</v>
      </c>
      <c r="C21" s="68">
        <f t="array" ref="C21">INDEX(Persons!$A:$A,SMALL(IF(Persons!$H:$H=B21,ROW(Persons!$A:$A)-ROW(Persons!$A$1)+1),COUNTIF(B$20:B21,B21)))</f>
        <v>33</v>
      </c>
      <c r="D21" s="68" t="str">
        <f>INDEX(Persons!$B:$B,MATCH(C21,Persons!$A:$A,0))</f>
        <v>Anders A</v>
      </c>
      <c r="E21" s="74">
        <f>INDEX(Persons!$G:$G,MATCH(C21,Persons!$A:$A,0))</f>
        <v>162</v>
      </c>
      <c r="F21" s="62">
        <f>SMALL(Persons!$U:$U,1+ROW(F21)-ROW(F$20))</f>
        <v>1</v>
      </c>
      <c r="G21" s="62">
        <f t="array" ref="G21">INDEX(Persons!$A:$A,SMALL(IF(Persons!$U:$U=F21,ROW(Persons!$A:$A)-ROW(Persons!$A$1)+1),COUNTIF(F$20:F21,F21)))</f>
        <v>57</v>
      </c>
      <c r="H21" s="62" t="str">
        <f>INDEX(Persons!$B:$B,MATCH(G21,Persons!$A:$A,0))</f>
        <v>Helga</v>
      </c>
      <c r="I21" s="76">
        <f>INDEX(Persons!$T:$T,MATCH(G21,Persons!$A:$A,0))</f>
        <v>200</v>
      </c>
      <c r="J21" s="65">
        <f>LARGE(Persons!$U:$U,1+ROW(J21)-ROW(J$20))</f>
        <v>31</v>
      </c>
      <c r="K21" s="65">
        <f t="array" ref="K21">INDEX(Persons!$A:$A,SMALL(IF(Persons!$U:$U=J21,ROW(Persons!$A:$A)-ROW(Persons!$A$1)+1),COUNTIF(J$20:J21,J21)))</f>
        <v>48</v>
      </c>
      <c r="L21" s="65" t="str">
        <f>INDEX(Persons!$B:$B,MATCH(K21,Persons!$A:$A,0))</f>
        <v>Ivan</v>
      </c>
      <c r="M21" s="75">
        <f>INDEX(Persons!$T:$T,MATCH(K21,Persons!$A:$A,0))</f>
        <v>258.37762368492906</v>
      </c>
    </row>
    <row r="22" spans="2:26" x14ac:dyDescent="0.25">
      <c r="B22" s="68">
        <f>SMALL(Persons!$H:$H,1+ROW(B22)-ROW(B$20))</f>
        <v>3</v>
      </c>
      <c r="C22" s="68">
        <f t="array" ref="C22">INDEX(Persons!$A:$A,SMALL(IF(Persons!$H:$H=B22,ROW(Persons!$A:$A)-ROW(Persons!$A$1)+1),COUNTIF(B$20:B22,B22)))</f>
        <v>37</v>
      </c>
      <c r="D22" s="68" t="str">
        <f>INDEX(Persons!$B:$B,MATCH(C22,Persons!$A:$A,0))</f>
        <v>Ruben O</v>
      </c>
      <c r="E22" s="74">
        <f>INDEX(Persons!$G:$G,MATCH(C22,Persons!$A:$A,0))</f>
        <v>161</v>
      </c>
      <c r="F22" s="62">
        <f>SMALL(Persons!$U:$U,1+ROW(F22)-ROW(F$20))</f>
        <v>3</v>
      </c>
      <c r="G22" s="62">
        <f t="array" ref="G22">INDEX(Persons!$A:$A,SMALL(IF(Persons!$U:$U=F22,ROW(Persons!$A:$A)-ROW(Persons!$A$1)+1),COUNTIF(F$20:F22,F22)))</f>
        <v>3</v>
      </c>
      <c r="H22" s="62" t="str">
        <f>INDEX(Persons!$B:$B,MATCH(G22,Persons!$A:$A,0))</f>
        <v>Erik O</v>
      </c>
      <c r="I22" s="76">
        <f>INDEX(Persons!$T:$T,MATCH(G22,Persons!$A:$A,0))</f>
        <v>201.3020454176737</v>
      </c>
      <c r="J22" s="65">
        <f>LARGE(Persons!$U:$U,1+ROW(J22)-ROW(J$20))</f>
        <v>30</v>
      </c>
      <c r="K22" s="65">
        <f t="array" ref="K22">INDEX(Persons!$A:$A,SMALL(IF(Persons!$U:$U=J22,ROW(Persons!$A:$A)-ROW(Persons!$A$1)+1),COUNTIF(J$20:J22,J22)))</f>
        <v>54</v>
      </c>
      <c r="L22" s="65" t="str">
        <f>INDEX(Persons!$B:$B,MATCH(K22,Persons!$A:$A,0))</f>
        <v>Morten S</v>
      </c>
      <c r="M22" s="75">
        <f>INDEX(Persons!$T:$T,MATCH(K22,Persons!$A:$A,0))</f>
        <v>256.63082437275983</v>
      </c>
    </row>
    <row r="23" spans="2:26" x14ac:dyDescent="0.25">
      <c r="B23" s="68">
        <f>SMALL(Persons!$H:$H,1+ROW(B23)-ROW(B$20))</f>
        <v>4</v>
      </c>
      <c r="C23" s="68">
        <f t="array" ref="C23">INDEX(Persons!$A:$A,SMALL(IF(Persons!$H:$H=B23,ROW(Persons!$A:$A)-ROW(Persons!$A$1)+1),COUNTIF(B$20:B23,B23)))</f>
        <v>29</v>
      </c>
      <c r="D23" s="68" t="str">
        <f>INDEX(Persons!$B:$B,MATCH(C23,Persons!$A:$A,0))</f>
        <v>Magnus B</v>
      </c>
      <c r="E23" s="74">
        <f>INDEX(Persons!$G:$G,MATCH(C23,Persons!$A:$A,0))</f>
        <v>111</v>
      </c>
      <c r="F23" s="62">
        <f>SMALL(Persons!$U:$U,1+ROW(F23)-ROW(F$20))</f>
        <v>4</v>
      </c>
      <c r="G23" s="62">
        <f t="array" ref="G23">INDEX(Persons!$A:$A,SMALL(IF(Persons!$U:$U=F23,ROW(Persons!$A:$A)-ROW(Persons!$A$1)+1),COUNTIF(F$20:F23,F23)))</f>
        <v>44</v>
      </c>
      <c r="H23" s="62" t="str">
        <f>INDEX(Persons!$B:$B,MATCH(G23,Persons!$A:$A,0))</f>
        <v>Jan</v>
      </c>
      <c r="I23" s="76">
        <f>INDEX(Persons!$T:$T,MATCH(G23,Persons!$A:$A,0))</f>
        <v>203.76233363175982</v>
      </c>
      <c r="J23" s="65">
        <f>LARGE(Persons!$U:$U,1+ROW(J23)-ROW(J$20))</f>
        <v>29</v>
      </c>
      <c r="K23" s="65">
        <f t="array" ref="K23">INDEX(Persons!$A:$A,SMALL(IF(Persons!$U:$U=J23,ROW(Persons!$A:$A)-ROW(Persons!$A$1)+1),COUNTIF(J$20:J23,J23)))</f>
        <v>24</v>
      </c>
      <c r="L23" s="65" t="str">
        <f>INDEX(Persons!$B:$B,MATCH(K23,Persons!$A:$A,0))</f>
        <v>Terje</v>
      </c>
      <c r="M23" s="75">
        <f>INDEX(Persons!$T:$T,MATCH(K23,Persons!$A:$A,0))</f>
        <v>248.51561082044944</v>
      </c>
    </row>
    <row r="24" spans="2:26" x14ac:dyDescent="0.25">
      <c r="B24" s="68">
        <f>SMALL(Persons!$H:$H,1+ROW(B24)-ROW(B$20))</f>
        <v>5</v>
      </c>
      <c r="C24" s="68">
        <f t="array" ref="C24">INDEX(Persons!$A:$A,SMALL(IF(Persons!$H:$H=B24,ROW(Persons!$A:$A)-ROW(Persons!$A$1)+1),COUNTIF(B$20:B24,B24)))</f>
        <v>14</v>
      </c>
      <c r="D24" s="68" t="str">
        <f>INDEX(Persons!$B:$B,MATCH(C24,Persons!$A:$A,0))</f>
        <v>Truls</v>
      </c>
      <c r="E24" s="74">
        <f>INDEX(Persons!$G:$G,MATCH(C24,Persons!$A:$A,0))</f>
        <v>108</v>
      </c>
      <c r="F24" s="62">
        <f>SMALL(Persons!$U:$U,1+ROW(F24)-ROW(F$20))</f>
        <v>5</v>
      </c>
      <c r="G24" s="62">
        <f t="array" ref="G24">INDEX(Persons!$A:$A,SMALL(IF(Persons!$U:$U=F24,ROW(Persons!$A:$A)-ROW(Persons!$A$1)+1),COUNTIF(F$20:F24,F24)))</f>
        <v>35</v>
      </c>
      <c r="H24" s="62" t="str">
        <f>INDEX(Persons!$B:$B,MATCH(G24,Persons!$A:$A,0))</f>
        <v>Mathias</v>
      </c>
      <c r="I24" s="76">
        <f>INDEX(Persons!$T:$T,MATCH(G24,Persons!$A:$A,0))</f>
        <v>209.46725742675213</v>
      </c>
      <c r="J24" s="65">
        <f>LARGE(Persons!$U:$U,1+ROW(J24)-ROW(J$20))</f>
        <v>28</v>
      </c>
      <c r="K24" s="65">
        <f t="array" ref="K24">INDEX(Persons!$A:$A,SMALL(IF(Persons!$U:$U=J24,ROW(Persons!$A:$A)-ROW(Persons!$A$1)+1),COUNTIF(J$20:J24,J24)))</f>
        <v>51</v>
      </c>
      <c r="L24" s="65" t="str">
        <f>INDEX(Persons!$B:$B,MATCH(K24,Persons!$A:$A,0))</f>
        <v>Svein</v>
      </c>
      <c r="M24" s="75">
        <f>INDEX(Persons!$T:$T,MATCH(K24,Persons!$A:$A,0))</f>
        <v>247.9122145447146</v>
      </c>
    </row>
    <row r="26" spans="2:26" x14ac:dyDescent="0.25">
      <c r="B26" s="78" t="s">
        <v>126</v>
      </c>
      <c r="D26" t="s">
        <v>123</v>
      </c>
    </row>
    <row r="27" spans="2:26" x14ac:dyDescent="0.25">
      <c r="B27" s="78" t="s">
        <v>127</v>
      </c>
      <c r="D27" t="s">
        <v>124</v>
      </c>
    </row>
  </sheetData>
  <mergeCells count="9">
    <mergeCell ref="J2:M2"/>
    <mergeCell ref="J10:M10"/>
    <mergeCell ref="J18:M18"/>
    <mergeCell ref="B18:E18"/>
    <mergeCell ref="B10:E10"/>
    <mergeCell ref="B2:E2"/>
    <mergeCell ref="F2:I2"/>
    <mergeCell ref="F10:I10"/>
    <mergeCell ref="F18:I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9"/>
  <sheetViews>
    <sheetView showGridLines="0" workbookViewId="0">
      <selection activeCell="L19" sqref="L19"/>
    </sheetView>
  </sheetViews>
  <sheetFormatPr defaultColWidth="8.85546875" defaultRowHeight="15" x14ac:dyDescent="0.25"/>
  <cols>
    <col min="1" max="1" width="8.85546875" style="4"/>
    <col min="2" max="2" width="10.85546875" style="4" bestFit="1" customWidth="1"/>
    <col min="3" max="4" width="8.85546875" style="4"/>
    <col min="7" max="10" width="8.85546875" style="4"/>
    <col min="11" max="15" width="8.85546875" style="5"/>
    <col min="16" max="19" width="8.85546875" style="4"/>
    <col min="23" max="23" width="8.85546875" style="4"/>
    <col min="24" max="24" width="8.85546875" style="6"/>
    <col min="26" max="16384" width="8.85546875" style="4"/>
  </cols>
  <sheetData>
    <row r="1" spans="1:25" ht="18" x14ac:dyDescent="0.35">
      <c r="A1" s="19" t="s">
        <v>0</v>
      </c>
      <c r="B1" s="19" t="s">
        <v>1</v>
      </c>
      <c r="C1" s="19" t="s">
        <v>143</v>
      </c>
      <c r="D1" s="33" t="s">
        <v>116</v>
      </c>
      <c r="E1" s="33" t="s">
        <v>50</v>
      </c>
      <c r="F1" s="33" t="s">
        <v>110</v>
      </c>
      <c r="G1" s="34" t="s">
        <v>20</v>
      </c>
      <c r="H1" s="34" t="s">
        <v>107</v>
      </c>
      <c r="I1" s="34" t="s">
        <v>21</v>
      </c>
      <c r="J1" s="34" t="s">
        <v>106</v>
      </c>
      <c r="K1" s="35" t="s">
        <v>22</v>
      </c>
      <c r="L1" s="35" t="s">
        <v>105</v>
      </c>
      <c r="M1" s="36" t="s">
        <v>91</v>
      </c>
      <c r="N1" s="36" t="s">
        <v>113</v>
      </c>
      <c r="O1" s="36" t="s">
        <v>118</v>
      </c>
      <c r="P1" s="34" t="s">
        <v>112</v>
      </c>
      <c r="Q1" s="34" t="s">
        <v>114</v>
      </c>
      <c r="R1" s="34" t="s">
        <v>108</v>
      </c>
      <c r="S1" s="34" t="s">
        <v>109</v>
      </c>
      <c r="T1" s="37" t="s">
        <v>57</v>
      </c>
      <c r="U1" s="34" t="s">
        <v>111</v>
      </c>
      <c r="V1" s="4"/>
      <c r="W1" s="4" t="s">
        <v>59</v>
      </c>
      <c r="X1" s="12">
        <f>INDEX(E:E,MATCH(0,A:A,0))</f>
        <v>100</v>
      </c>
      <c r="Y1" s="4"/>
    </row>
    <row r="2" spans="1:25" x14ac:dyDescent="0.25">
      <c r="A2" s="4">
        <v>40</v>
      </c>
      <c r="B2" s="4" t="s">
        <v>78</v>
      </c>
      <c r="C2" s="4">
        <v>0</v>
      </c>
      <c r="D2" s="4">
        <f t="array" ref="D2">MAX(IF(Sales!B:B=A2,Sales!C:C))</f>
        <v>11</v>
      </c>
      <c r="E2" s="8">
        <f>SUMIF(Sales!B:B,A2,Sales!E:E)</f>
        <v>0</v>
      </c>
      <c r="F2" s="30" t="str">
        <f t="shared" ref="F2:F33" si="0">IF($C2=0," ",COUNTIFS($C:$C,1,E:E,"&gt;"&amp;E2)+1)</f>
        <v xml:space="preserve"> </v>
      </c>
      <c r="G2" s="8">
        <f>SUMIF(Sales!B:B,A2,Sales!D:D)</f>
        <v>1</v>
      </c>
      <c r="H2" s="8" t="str">
        <f t="shared" ref="H2:H33" si="1">IF($C2=0," ",COUNTIFS($C:$C,1,G:G,"&gt;"&amp;G2)+1)</f>
        <v xml:space="preserve"> </v>
      </c>
      <c r="I2" s="8">
        <f>SUMIF(Prizes!B:B,A2,Prizes!D:D)</f>
        <v>0</v>
      </c>
      <c r="J2" s="8" t="str">
        <f t="shared" ref="J2:J33" si="2">IF($C2=0," ",COUNTIFS($C:$C,1,I:I,"&gt;"&amp;I2)+1)</f>
        <v xml:space="preserve"> </v>
      </c>
      <c r="K2" s="9">
        <f>SUMIF(Sales!B:B,A2,Sales!F:F)</f>
        <v>0.23076923076923078</v>
      </c>
      <c r="L2" s="30" t="str">
        <f t="shared" ref="L2:L33" si="3">IF($C2=0," ",COUNTIFS($C:$C,1,K:K,"&gt;"&amp;K2)+1)</f>
        <v xml:space="preserve"> </v>
      </c>
      <c r="M2" s="9">
        <f>SQRT(SUMIF(Sales!B:B,A2,Sales!G:G))</f>
        <v>0.42132504423474315</v>
      </c>
      <c r="N2" s="9">
        <f t="shared" ref="N2:N33" si="4">I2-K2</f>
        <v>-0.23076923076923078</v>
      </c>
      <c r="O2" s="30" t="str">
        <f t="shared" ref="O2:O33" si="5">IF($C2=0," ",COUNTIFS($C:$C,1,N:N,"&gt;"&amp;N2)+1)</f>
        <v xml:space="preserve"> </v>
      </c>
      <c r="P2" s="5">
        <f t="shared" ref="P2:P33" si="6">N2/M2</f>
        <v>-0.54772255750516619</v>
      </c>
      <c r="Q2" s="10" t="str">
        <f t="shared" ref="Q2:Q33" si="7">IF($C2=0," ",COUNTIFS($C:$C,1,P:P,"&gt;"&amp;P2)+1)</f>
        <v xml:space="preserve"> </v>
      </c>
      <c r="R2" s="17">
        <f t="shared" ref="R2:R33" si="8">IF(I2&gt;K2,1-_xlfn.NORM.DIST(I2,K2,M2,1),_xlfn.NORM.DIST(I2,K2,M2,1))</f>
        <v>0.2919412103851825</v>
      </c>
      <c r="S2" s="32" t="str">
        <f t="shared" ref="S2:S33" si="9">IF($C2=0," ",COUNTIFS($C:$C,1,R:R,"&gt;"&amp;R2)+1)</f>
        <v xml:space="preserve"> </v>
      </c>
      <c r="T2" s="6">
        <f t="shared" ref="T2:T33" si="10">E2/K2</f>
        <v>0</v>
      </c>
      <c r="U2" s="4" t="str">
        <f t="shared" ref="U2:U33" si="11">IF($C2=0," ",COUNTIFS($C:$C,1,T:T,"&lt;"&amp;T2)+1)</f>
        <v xml:space="preserve"> </v>
      </c>
      <c r="X2" s="4"/>
      <c r="Y2" s="4"/>
    </row>
    <row r="3" spans="1:25" x14ac:dyDescent="0.25">
      <c r="A3" s="4">
        <v>39</v>
      </c>
      <c r="B3" s="4" t="s">
        <v>77</v>
      </c>
      <c r="C3" s="4">
        <v>0</v>
      </c>
      <c r="D3" s="4">
        <f t="array" ref="D3">MAX(IF(Sales!B:B=A3,Sales!C:C))</f>
        <v>18</v>
      </c>
      <c r="E3" s="8">
        <f>SUMIF(Sales!B:B,A3,Sales!E:E)</f>
        <v>40</v>
      </c>
      <c r="F3" s="30" t="str">
        <f t="shared" si="0"/>
        <v xml:space="preserve"> </v>
      </c>
      <c r="G3" s="8">
        <f>SUMIF(Sales!B:B,A3,Sales!D:D)</f>
        <v>5</v>
      </c>
      <c r="H3" s="8" t="str">
        <f t="shared" si="1"/>
        <v xml:space="preserve"> </v>
      </c>
      <c r="I3" s="8">
        <f>SUMIF(Prizes!B:B,A3,Prizes!D:D)</f>
        <v>0</v>
      </c>
      <c r="J3" s="8" t="str">
        <f t="shared" si="2"/>
        <v xml:space="preserve"> </v>
      </c>
      <c r="K3" s="9">
        <f>SUMIF(Sales!B:B,A3,Sales!F:F)</f>
        <v>0.44943930749557348</v>
      </c>
      <c r="L3" s="30" t="str">
        <f t="shared" si="3"/>
        <v xml:space="preserve"> </v>
      </c>
      <c r="M3" s="9">
        <f>SQRT(SUMIF(Sales!B:B,A3,Sales!G:G))</f>
        <v>0.61791657214945761</v>
      </c>
      <c r="N3" s="9">
        <f t="shared" si="4"/>
        <v>-0.44943930749557348</v>
      </c>
      <c r="O3" s="30" t="str">
        <f t="shared" si="5"/>
        <v xml:space="preserve"> </v>
      </c>
      <c r="P3" s="5">
        <f t="shared" si="6"/>
        <v>-0.72734625959645904</v>
      </c>
      <c r="Q3" s="10" t="str">
        <f t="shared" si="7"/>
        <v xml:space="preserve"> </v>
      </c>
      <c r="R3" s="17">
        <f t="shared" si="8"/>
        <v>0.23350693326254907</v>
      </c>
      <c r="S3" s="32" t="str">
        <f t="shared" si="9"/>
        <v xml:space="preserve"> </v>
      </c>
      <c r="T3" s="6">
        <f t="shared" si="10"/>
        <v>88.999781133727296</v>
      </c>
      <c r="U3" s="4" t="str">
        <f t="shared" si="11"/>
        <v xml:space="preserve"> </v>
      </c>
      <c r="V3" s="4"/>
      <c r="X3" s="4"/>
      <c r="Y3" s="4"/>
    </row>
    <row r="4" spans="1:25" x14ac:dyDescent="0.25">
      <c r="A4" s="4">
        <v>0</v>
      </c>
      <c r="B4" s="4" t="s">
        <v>59</v>
      </c>
      <c r="C4" s="4">
        <v>0</v>
      </c>
      <c r="D4" s="4">
        <f t="array" ref="D4">MAX(IF(Sales!B:B=A4,Sales!C:C))</f>
        <v>11</v>
      </c>
      <c r="E4" s="8">
        <f>SUMIF(Sales!B:B,A4,Sales!E:E)</f>
        <v>100</v>
      </c>
      <c r="F4" s="6" t="str">
        <f t="shared" si="0"/>
        <v xml:space="preserve"> </v>
      </c>
      <c r="G4" s="8">
        <f>SUMIF(Sales!B:B,A4,Sales!D:D)</f>
        <v>12</v>
      </c>
      <c r="H4" s="8" t="str">
        <f t="shared" si="1"/>
        <v xml:space="preserve"> </v>
      </c>
      <c r="I4" s="8">
        <f>SUMIF(Prizes!B:B,A4,Prizes!D:D)</f>
        <v>0</v>
      </c>
      <c r="J4" s="8" t="str">
        <f t="shared" si="2"/>
        <v xml:space="preserve"> </v>
      </c>
      <c r="K4" s="9">
        <f>SUMIF(Sales!B:B,A4,Sales!F:F)</f>
        <v>0.98785425101214575</v>
      </c>
      <c r="L4" s="30" t="str">
        <f t="shared" si="3"/>
        <v xml:space="preserve"> </v>
      </c>
      <c r="M4" s="9">
        <f>SQRT(SUMIF(Sales!B:B,A4,Sales!G:G))</f>
        <v>0.90534417201851047</v>
      </c>
      <c r="N4" s="9">
        <f t="shared" si="4"/>
        <v>-0.98785425101214575</v>
      </c>
      <c r="O4" s="6" t="str">
        <f t="shared" si="5"/>
        <v xml:space="preserve"> </v>
      </c>
      <c r="P4" s="5">
        <f t="shared" si="6"/>
        <v>-1.0911366986652986</v>
      </c>
      <c r="Q4" s="10" t="str">
        <f t="shared" si="7"/>
        <v xml:space="preserve"> </v>
      </c>
      <c r="R4" s="17">
        <f t="shared" si="8"/>
        <v>0.137606368366785</v>
      </c>
      <c r="S4" s="6" t="str">
        <f t="shared" si="9"/>
        <v xml:space="preserve"> </v>
      </c>
      <c r="T4" s="6">
        <f t="shared" si="10"/>
        <v>101.22950819672131</v>
      </c>
      <c r="U4" s="6" t="str">
        <f t="shared" si="11"/>
        <v xml:space="preserve"> </v>
      </c>
      <c r="V4" s="4"/>
      <c r="X4" s="4"/>
      <c r="Y4" s="4"/>
    </row>
    <row r="5" spans="1:25" x14ac:dyDescent="0.25">
      <c r="A5" s="4">
        <v>27</v>
      </c>
      <c r="B5" s="4" t="s">
        <v>35</v>
      </c>
      <c r="C5" s="4">
        <v>0</v>
      </c>
      <c r="D5" s="4">
        <f t="array" ref="D5">MAX(IF(Sales!B:B=A5,Sales!C:C))</f>
        <v>11</v>
      </c>
      <c r="E5" s="4">
        <f>SUMIF(Sales!B:B,A5,Sales!E:E)</f>
        <v>100</v>
      </c>
      <c r="F5" s="6" t="str">
        <f t="shared" si="0"/>
        <v xml:space="preserve"> </v>
      </c>
      <c r="G5" s="4">
        <f>SUMIF(Sales!B:B,A5,Sales!D:D)</f>
        <v>11</v>
      </c>
      <c r="H5" s="4" t="str">
        <f t="shared" si="1"/>
        <v xml:space="preserve"> </v>
      </c>
      <c r="I5" s="4">
        <f>SUMIF(Prizes!B:B,A5,Prizes!D:D)</f>
        <v>0</v>
      </c>
      <c r="J5" s="4" t="str">
        <f t="shared" si="2"/>
        <v xml:space="preserve"> </v>
      </c>
      <c r="K5" s="5">
        <f>SUMIF(Sales!B:B,A5,Sales!F:F)</f>
        <v>0.58616138763197578</v>
      </c>
      <c r="L5" s="6" t="str">
        <f t="shared" si="3"/>
        <v xml:space="preserve"> </v>
      </c>
      <c r="M5" s="5">
        <f>SQRT(SUMIF(Sales!B:B,A5,Sales!G:G))</f>
        <v>0.71401106976234563</v>
      </c>
      <c r="N5" s="5">
        <f t="shared" si="4"/>
        <v>-0.58616138763197578</v>
      </c>
      <c r="O5" s="6" t="str">
        <f t="shared" si="5"/>
        <v xml:space="preserve"> </v>
      </c>
      <c r="P5" s="5">
        <f t="shared" si="6"/>
        <v>-0.82094159664369926</v>
      </c>
      <c r="Q5" s="4" t="str">
        <f t="shared" si="7"/>
        <v xml:space="preserve"> </v>
      </c>
      <c r="R5" s="17">
        <f t="shared" si="8"/>
        <v>0.20583976793322406</v>
      </c>
      <c r="S5" s="32" t="str">
        <f t="shared" si="9"/>
        <v xml:space="preserve"> </v>
      </c>
      <c r="T5" s="6">
        <f t="shared" si="10"/>
        <v>170.6014795754262</v>
      </c>
      <c r="U5" s="4" t="str">
        <f t="shared" si="11"/>
        <v xml:space="preserve"> </v>
      </c>
      <c r="V5" s="4"/>
      <c r="X5" s="4"/>
      <c r="Y5" s="4"/>
    </row>
    <row r="6" spans="1:25" x14ac:dyDescent="0.25">
      <c r="A6" s="4">
        <v>22</v>
      </c>
      <c r="B6" s="4" t="s">
        <v>29</v>
      </c>
      <c r="C6" s="4">
        <v>0</v>
      </c>
      <c r="D6" s="4">
        <f t="array" ref="D6">MAX(IF(Sales!B:B=A6,Sales!C:C))</f>
        <v>11</v>
      </c>
      <c r="E6" s="4">
        <f>SUMIF(Sales!B:B,A6,Sales!E:E)</f>
        <v>100</v>
      </c>
      <c r="F6" s="6" t="str">
        <f t="shared" si="0"/>
        <v xml:space="preserve"> </v>
      </c>
      <c r="G6" s="4">
        <f>SUMIF(Sales!B:B,A6,Sales!D:D)</f>
        <v>6</v>
      </c>
      <c r="H6" s="4" t="str">
        <f t="shared" si="1"/>
        <v xml:space="preserve"> </v>
      </c>
      <c r="I6" s="4">
        <f>SUMIF(Prizes!B:B,A6,Prizes!D:D)</f>
        <v>1</v>
      </c>
      <c r="J6" s="4" t="str">
        <f t="shared" si="2"/>
        <v xml:space="preserve"> </v>
      </c>
      <c r="K6" s="5">
        <f>SUMIF(Sales!B:B,A6,Sales!F:F)</f>
        <v>0.54326923076923084</v>
      </c>
      <c r="L6" s="6" t="str">
        <f t="shared" si="3"/>
        <v xml:space="preserve"> </v>
      </c>
      <c r="M6" s="5">
        <f>SQRT(SUMIF(Sales!B:B,A6,Sales!G:G))</f>
        <v>0.67686632105875888</v>
      </c>
      <c r="N6" s="5">
        <f t="shared" si="4"/>
        <v>0.45673076923076916</v>
      </c>
      <c r="O6" s="6" t="str">
        <f t="shared" si="5"/>
        <v xml:space="preserve"> </v>
      </c>
      <c r="P6" s="5">
        <f t="shared" si="6"/>
        <v>0.67477248464120332</v>
      </c>
      <c r="Q6" s="4" t="str">
        <f t="shared" si="7"/>
        <v xml:space="preserve"> </v>
      </c>
      <c r="R6" s="17">
        <f t="shared" si="8"/>
        <v>0.24991016218462114</v>
      </c>
      <c r="S6" s="32" t="str">
        <f t="shared" si="9"/>
        <v xml:space="preserve"> </v>
      </c>
      <c r="T6" s="6">
        <f t="shared" si="10"/>
        <v>184.07079646017698</v>
      </c>
      <c r="U6" s="4" t="str">
        <f t="shared" si="11"/>
        <v xml:space="preserve"> </v>
      </c>
      <c r="V6" s="4"/>
      <c r="X6" s="4"/>
      <c r="Y6" s="4"/>
    </row>
    <row r="7" spans="1:25" x14ac:dyDescent="0.25">
      <c r="A7" s="4">
        <v>56</v>
      </c>
      <c r="B7" s="4" t="s">
        <v>152</v>
      </c>
      <c r="C7" s="4">
        <v>1</v>
      </c>
      <c r="D7" s="81">
        <f t="array" ref="D7">MAX(IF(Sales!B:B=A7,Sales!C:C))</f>
        <v>22</v>
      </c>
      <c r="E7" s="81">
        <f>SUMIF(Sales!B:B,A7,Sales!E:E)</f>
        <v>30</v>
      </c>
      <c r="F7" s="82">
        <f t="shared" si="0"/>
        <v>31</v>
      </c>
      <c r="G7" s="81">
        <f>SUMIF(Sales!B:B,A7,Sales!D:D)</f>
        <v>3</v>
      </c>
      <c r="H7" s="81">
        <f t="shared" si="1"/>
        <v>31</v>
      </c>
      <c r="I7" s="81">
        <f>SUMIF(Prizes!B:B,A7,Prizes!D:D)</f>
        <v>2</v>
      </c>
      <c r="J7" s="81">
        <f t="shared" si="2"/>
        <v>11</v>
      </c>
      <c r="K7" s="83">
        <f>SUMIF(Sales!B:B,A7,Sales!F:F)</f>
        <v>0.15000000000000002</v>
      </c>
      <c r="L7" s="82">
        <f t="shared" si="3"/>
        <v>31</v>
      </c>
      <c r="M7" s="83">
        <f>SQRT(SUMIF(Sales!B:B,A7,Sales!G:G))</f>
        <v>0.37430608065700288</v>
      </c>
      <c r="N7" s="83">
        <f t="shared" si="4"/>
        <v>1.85</v>
      </c>
      <c r="O7" s="82">
        <f t="shared" si="5"/>
        <v>4</v>
      </c>
      <c r="P7" s="83">
        <f t="shared" si="6"/>
        <v>4.9424791516952569</v>
      </c>
      <c r="Q7" s="10">
        <f t="shared" si="7"/>
        <v>1</v>
      </c>
      <c r="R7" s="17">
        <f t="shared" si="8"/>
        <v>3.8567678073420097E-7</v>
      </c>
      <c r="S7" s="84">
        <f t="shared" si="9"/>
        <v>32</v>
      </c>
      <c r="T7" s="6">
        <f t="shared" si="10"/>
        <v>199.99999999999997</v>
      </c>
      <c r="U7" s="10">
        <f t="shared" si="11"/>
        <v>1</v>
      </c>
      <c r="V7" s="4"/>
      <c r="X7" s="4"/>
      <c r="Y7" s="4"/>
    </row>
    <row r="8" spans="1:25" x14ac:dyDescent="0.25">
      <c r="A8" s="4">
        <v>57</v>
      </c>
      <c r="B8" s="4" t="s">
        <v>153</v>
      </c>
      <c r="C8" s="4">
        <v>1</v>
      </c>
      <c r="D8" s="81">
        <f t="array" ref="D8">MAX(IF(Sales!B:B=A8,Sales!C:C))</f>
        <v>22</v>
      </c>
      <c r="E8" s="81">
        <f>SUMIF(Sales!B:B,A8,Sales!E:E)</f>
        <v>20</v>
      </c>
      <c r="F8" s="82">
        <f t="shared" si="0"/>
        <v>32</v>
      </c>
      <c r="G8" s="81">
        <f>SUMIF(Sales!B:B,A8,Sales!D:D)</f>
        <v>2</v>
      </c>
      <c r="H8" s="81">
        <f t="shared" si="1"/>
        <v>32</v>
      </c>
      <c r="I8" s="81">
        <f>SUMIF(Prizes!B:B,A8,Prizes!D:D)</f>
        <v>0</v>
      </c>
      <c r="J8" s="81">
        <f t="shared" si="2"/>
        <v>24</v>
      </c>
      <c r="K8" s="83">
        <f>SUMIF(Sales!B:B,A8,Sales!F:F)</f>
        <v>0.1</v>
      </c>
      <c r="L8" s="82">
        <f t="shared" si="3"/>
        <v>32</v>
      </c>
      <c r="M8" s="83">
        <f>SQRT(SUMIF(Sales!B:B,A8,Sales!G:G))</f>
        <v>0.30692292301532142</v>
      </c>
      <c r="N8" s="83">
        <f t="shared" si="4"/>
        <v>-0.1</v>
      </c>
      <c r="O8" s="82">
        <f t="shared" si="5"/>
        <v>13</v>
      </c>
      <c r="P8" s="83">
        <f t="shared" si="6"/>
        <v>-0.32581469972188443</v>
      </c>
      <c r="Q8" s="10">
        <f t="shared" si="7"/>
        <v>14</v>
      </c>
      <c r="R8" s="17">
        <f t="shared" si="8"/>
        <v>0.3722822781606232</v>
      </c>
      <c r="S8" s="84">
        <f t="shared" si="9"/>
        <v>6</v>
      </c>
      <c r="T8" s="6">
        <f t="shared" si="10"/>
        <v>200</v>
      </c>
      <c r="U8" s="10">
        <f t="shared" si="11"/>
        <v>1</v>
      </c>
      <c r="V8" s="4"/>
      <c r="X8" s="4"/>
      <c r="Y8" s="4"/>
    </row>
    <row r="9" spans="1:25" x14ac:dyDescent="0.25">
      <c r="A9" s="4">
        <v>3</v>
      </c>
      <c r="B9" s="4" t="s">
        <v>4</v>
      </c>
      <c r="C9" s="4">
        <v>1</v>
      </c>
      <c r="D9" s="4">
        <f t="array" ref="D9">MAX(IF(Sales!B:B=A9,Sales!C:C))</f>
        <v>14</v>
      </c>
      <c r="E9" s="4">
        <f>SUMIF(Sales!B:B,A9,Sales!E:E)</f>
        <v>350</v>
      </c>
      <c r="F9" s="6">
        <f t="shared" si="0"/>
        <v>18</v>
      </c>
      <c r="G9" s="4">
        <f>SUMIF(Sales!B:B,A9,Sales!D:D)</f>
        <v>26</v>
      </c>
      <c r="H9" s="4">
        <f t="shared" si="1"/>
        <v>22</v>
      </c>
      <c r="I9" s="4">
        <f>SUMIF(Prizes!B:B,A9,Prizes!D:D)</f>
        <v>2</v>
      </c>
      <c r="J9" s="4">
        <f t="shared" si="2"/>
        <v>11</v>
      </c>
      <c r="K9" s="5">
        <f>SUMIF(Sales!B:B,A9,Sales!F:F)</f>
        <v>1.7386807932020698</v>
      </c>
      <c r="L9" s="6">
        <f t="shared" si="3"/>
        <v>18</v>
      </c>
      <c r="M9" s="5">
        <f>SQRT(SUMIF(Sales!B:B,A9,Sales!G:G))</f>
        <v>1.2196223879112047</v>
      </c>
      <c r="N9" s="5">
        <f t="shared" si="4"/>
        <v>0.26131920679793019</v>
      </c>
      <c r="O9" s="6">
        <f t="shared" si="5"/>
        <v>10</v>
      </c>
      <c r="P9" s="5">
        <f t="shared" si="6"/>
        <v>0.21426238923465521</v>
      </c>
      <c r="Q9" s="4">
        <f t="shared" si="7"/>
        <v>11</v>
      </c>
      <c r="R9" s="17">
        <f t="shared" si="8"/>
        <v>0.41517122299034059</v>
      </c>
      <c r="S9" s="32">
        <f t="shared" si="9"/>
        <v>3</v>
      </c>
      <c r="T9" s="6">
        <f t="shared" si="10"/>
        <v>201.3020454176737</v>
      </c>
      <c r="U9" s="4">
        <f t="shared" si="11"/>
        <v>3</v>
      </c>
      <c r="V9" s="4"/>
      <c r="X9" s="4"/>
      <c r="Y9" s="4"/>
    </row>
    <row r="10" spans="1:25" x14ac:dyDescent="0.25">
      <c r="A10" s="4">
        <v>44</v>
      </c>
      <c r="B10" s="4" t="s">
        <v>83</v>
      </c>
      <c r="C10" s="4">
        <v>1</v>
      </c>
      <c r="D10" s="4">
        <f t="array" ref="D10">MAX(IF(Sales!B:B=A10,Sales!C:C))</f>
        <v>22</v>
      </c>
      <c r="E10" s="8">
        <f>SUMIF(Sales!B:B,A10,Sales!E:E)</f>
        <v>400</v>
      </c>
      <c r="F10" s="30">
        <f t="shared" si="0"/>
        <v>17</v>
      </c>
      <c r="G10" s="8">
        <f>SUMIF(Sales!B:B,A10,Sales!D:D)</f>
        <v>40</v>
      </c>
      <c r="H10" s="8">
        <f t="shared" si="1"/>
        <v>17</v>
      </c>
      <c r="I10" s="8">
        <f>SUMIF(Prizes!B:B,A10,Prizes!D:D)</f>
        <v>2</v>
      </c>
      <c r="J10" s="8">
        <f t="shared" si="2"/>
        <v>11</v>
      </c>
      <c r="K10" s="9">
        <f>SUMIF(Sales!B:B,A10,Sales!F:F)</f>
        <v>1.9630713531328208</v>
      </c>
      <c r="L10" s="30">
        <f t="shared" si="3"/>
        <v>16</v>
      </c>
      <c r="M10" s="9">
        <f>SQRT(SUMIF(Sales!B:B,A10,Sales!G:G))</f>
        <v>1.3334313694001367</v>
      </c>
      <c r="N10" s="9">
        <f t="shared" si="4"/>
        <v>3.6928646867179227E-2</v>
      </c>
      <c r="O10" s="30">
        <f t="shared" si="5"/>
        <v>12</v>
      </c>
      <c r="P10" s="5">
        <f t="shared" si="6"/>
        <v>2.7694448859255583E-2</v>
      </c>
      <c r="Q10" s="10">
        <f t="shared" si="7"/>
        <v>12</v>
      </c>
      <c r="R10" s="17">
        <f t="shared" si="8"/>
        <v>0.48895292558779635</v>
      </c>
      <c r="S10" s="32">
        <f t="shared" si="9"/>
        <v>1</v>
      </c>
      <c r="T10" s="6">
        <f t="shared" si="10"/>
        <v>203.76233363175982</v>
      </c>
      <c r="U10" s="4">
        <f t="shared" si="11"/>
        <v>4</v>
      </c>
      <c r="V10" s="4"/>
      <c r="X10" s="4"/>
      <c r="Y10" s="4"/>
    </row>
    <row r="11" spans="1:25" x14ac:dyDescent="0.25">
      <c r="A11" s="4">
        <v>38</v>
      </c>
      <c r="B11" s="4" t="s">
        <v>58</v>
      </c>
      <c r="C11" s="4">
        <v>0</v>
      </c>
      <c r="D11" s="4">
        <f t="array" ref="D11">MAX(IF(Sales!B:B=A11,Sales!C:C))</f>
        <v>14</v>
      </c>
      <c r="E11" s="8">
        <f>SUMIF(Sales!B:B,A11,Sales!E:E)</f>
        <v>360</v>
      </c>
      <c r="F11" s="30" t="str">
        <f t="shared" si="0"/>
        <v xml:space="preserve"> </v>
      </c>
      <c r="G11" s="8">
        <f>SUMIF(Sales!B:B,A11,Sales!D:D)</f>
        <v>37</v>
      </c>
      <c r="H11" s="8" t="str">
        <f t="shared" si="1"/>
        <v xml:space="preserve"> </v>
      </c>
      <c r="I11" s="8">
        <f>SUMIF(Prizes!B:B,A11,Prizes!D:D)</f>
        <v>4</v>
      </c>
      <c r="J11" s="8" t="str">
        <f t="shared" si="2"/>
        <v xml:space="preserve"> </v>
      </c>
      <c r="K11" s="9">
        <f>SUMIF(Sales!B:B,A11,Sales!F:F)</f>
        <v>1.7654362892118982</v>
      </c>
      <c r="L11" s="30" t="str">
        <f t="shared" si="3"/>
        <v xml:space="preserve"> </v>
      </c>
      <c r="M11" s="9">
        <f>SQRT(SUMIF(Sales!B:B,A11,Sales!G:G))</f>
        <v>1.2439598119364987</v>
      </c>
      <c r="N11" s="9">
        <f t="shared" si="4"/>
        <v>2.2345637107881018</v>
      </c>
      <c r="O11" s="30" t="str">
        <f t="shared" si="5"/>
        <v xml:space="preserve"> </v>
      </c>
      <c r="P11" s="5">
        <f t="shared" si="6"/>
        <v>1.7963311108174056</v>
      </c>
      <c r="Q11" s="10" t="str">
        <f t="shared" si="7"/>
        <v xml:space="preserve"> </v>
      </c>
      <c r="R11" s="17">
        <f t="shared" si="8"/>
        <v>3.6220936405928716E-2</v>
      </c>
      <c r="S11" s="32" t="str">
        <f t="shared" si="9"/>
        <v xml:space="preserve"> </v>
      </c>
      <c r="T11" s="6">
        <f t="shared" si="10"/>
        <v>203.9155999000713</v>
      </c>
      <c r="U11" s="4" t="str">
        <f t="shared" si="11"/>
        <v xml:space="preserve"> </v>
      </c>
      <c r="V11" s="4"/>
      <c r="X11" s="4"/>
      <c r="Y11" s="4"/>
    </row>
    <row r="12" spans="1:25" x14ac:dyDescent="0.25">
      <c r="A12" s="4">
        <v>35</v>
      </c>
      <c r="B12" s="4" t="s">
        <v>47</v>
      </c>
      <c r="C12" s="4">
        <v>1</v>
      </c>
      <c r="D12" s="4">
        <f t="array" ref="D12">MAX(IF(Sales!B:B=A12,Sales!C:C))</f>
        <v>22</v>
      </c>
      <c r="E12" s="4">
        <f>SUMIF(Sales!B:B,A12,Sales!E:E)</f>
        <v>700</v>
      </c>
      <c r="F12" s="6">
        <f t="shared" si="0"/>
        <v>12</v>
      </c>
      <c r="G12" s="4">
        <f>SUMIF(Sales!B:B,A12,Sales!D:D)</f>
        <v>71</v>
      </c>
      <c r="H12" s="4">
        <f t="shared" si="1"/>
        <v>11</v>
      </c>
      <c r="I12" s="4">
        <f>SUMIF(Prizes!B:B,A12,Prizes!D:D)</f>
        <v>2</v>
      </c>
      <c r="J12" s="4">
        <f t="shared" si="2"/>
        <v>11</v>
      </c>
      <c r="K12" s="5">
        <f>SUMIF(Sales!B:B,A12,Sales!F:F)</f>
        <v>3.3418110715694103</v>
      </c>
      <c r="L12" s="6">
        <f t="shared" si="3"/>
        <v>11</v>
      </c>
      <c r="M12" s="5">
        <f>SQRT(SUMIF(Sales!B:B,A12,Sales!G:G))</f>
        <v>1.7440691620383093</v>
      </c>
      <c r="N12" s="5">
        <f t="shared" si="4"/>
        <v>-1.3418110715694103</v>
      </c>
      <c r="O12" s="6">
        <f t="shared" si="5"/>
        <v>27</v>
      </c>
      <c r="P12" s="5">
        <f t="shared" si="6"/>
        <v>-0.76935657184674011</v>
      </c>
      <c r="Q12" s="4">
        <f t="shared" si="7"/>
        <v>22</v>
      </c>
      <c r="R12" s="17">
        <f t="shared" si="8"/>
        <v>0.22084083102697119</v>
      </c>
      <c r="S12" s="32">
        <f t="shared" si="9"/>
        <v>19</v>
      </c>
      <c r="T12" s="6">
        <f t="shared" si="10"/>
        <v>209.46725742675213</v>
      </c>
      <c r="U12" s="4">
        <f t="shared" si="11"/>
        <v>5</v>
      </c>
      <c r="V12" s="4"/>
      <c r="X12" s="4"/>
      <c r="Y12" s="4"/>
    </row>
    <row r="13" spans="1:25" x14ac:dyDescent="0.25">
      <c r="A13" s="4">
        <v>36</v>
      </c>
      <c r="B13" s="4" t="s">
        <v>48</v>
      </c>
      <c r="C13" s="4">
        <v>1</v>
      </c>
      <c r="D13" s="4">
        <f t="array" ref="D13">MAX(IF(Sales!B:B=A13,Sales!C:C))</f>
        <v>21</v>
      </c>
      <c r="E13" s="4">
        <f>SUMIF(Sales!B:B,A13,Sales!E:E)</f>
        <v>450</v>
      </c>
      <c r="F13" s="6">
        <f t="shared" si="0"/>
        <v>16</v>
      </c>
      <c r="G13" s="4">
        <f>SUMIF(Sales!B:B,A13,Sales!D:D)</f>
        <v>46</v>
      </c>
      <c r="H13" s="4">
        <f t="shared" si="1"/>
        <v>16</v>
      </c>
      <c r="I13" s="4">
        <f>SUMIF(Prizes!B:B,A13,Prizes!D:D)</f>
        <v>2</v>
      </c>
      <c r="J13" s="4">
        <f t="shared" si="2"/>
        <v>11</v>
      </c>
      <c r="K13" s="5">
        <f>SUMIF(Sales!B:B,A13,Sales!F:F)</f>
        <v>2.1354304779193765</v>
      </c>
      <c r="L13" s="6">
        <f t="shared" si="3"/>
        <v>15</v>
      </c>
      <c r="M13" s="5">
        <f>SQRT(SUMIF(Sales!B:B,A13,Sales!G:G))</f>
        <v>1.3926588531059174</v>
      </c>
      <c r="N13" s="5">
        <f t="shared" si="4"/>
        <v>-0.13543047791937646</v>
      </c>
      <c r="O13" s="6">
        <f t="shared" si="5"/>
        <v>14</v>
      </c>
      <c r="P13" s="5">
        <f t="shared" si="6"/>
        <v>-9.7245982113522256E-2</v>
      </c>
      <c r="Q13" s="4">
        <f t="shared" si="7"/>
        <v>13</v>
      </c>
      <c r="R13" s="17">
        <f t="shared" si="8"/>
        <v>0.46126552630700979</v>
      </c>
      <c r="S13" s="32">
        <f t="shared" si="9"/>
        <v>2</v>
      </c>
      <c r="T13" s="6">
        <f t="shared" si="10"/>
        <v>210.73034437461553</v>
      </c>
      <c r="U13" s="4">
        <f t="shared" si="11"/>
        <v>6</v>
      </c>
      <c r="V13" s="4"/>
      <c r="X13" s="4"/>
      <c r="Y13" s="4"/>
    </row>
    <row r="14" spans="1:25" x14ac:dyDescent="0.25">
      <c r="A14" s="4">
        <v>45</v>
      </c>
      <c r="B14" s="4" t="s">
        <v>97</v>
      </c>
      <c r="C14" s="4">
        <v>1</v>
      </c>
      <c r="D14" s="4">
        <f t="array" ref="D14">MAX(IF(Sales!B:B=A14,Sales!C:C))</f>
        <v>19</v>
      </c>
      <c r="E14" s="10">
        <f>SUMIF(Sales!B:B,A14,Sales!E:E)</f>
        <v>250</v>
      </c>
      <c r="F14" s="6">
        <f t="shared" si="0"/>
        <v>23</v>
      </c>
      <c r="G14" s="10">
        <f>SUMIF(Sales!B:B,A14,Sales!D:D)</f>
        <v>25</v>
      </c>
      <c r="H14" s="10">
        <f t="shared" si="1"/>
        <v>23</v>
      </c>
      <c r="I14" s="10">
        <f>SUMIF(Prizes!B:B,A14,Prizes!D:D)</f>
        <v>0</v>
      </c>
      <c r="J14" s="10">
        <f t="shared" si="2"/>
        <v>24</v>
      </c>
      <c r="K14" s="5">
        <f>SUMIF(Sales!B:B,A14,Sales!F:F)</f>
        <v>1.184672257882758</v>
      </c>
      <c r="L14" s="6">
        <f t="shared" si="3"/>
        <v>23</v>
      </c>
      <c r="M14" s="5">
        <f>SQRT(SUMIF(Sales!B:B,A14,Sales!G:G))</f>
        <v>1.0386412070417264</v>
      </c>
      <c r="N14" s="5">
        <f t="shared" si="4"/>
        <v>-1.184672257882758</v>
      </c>
      <c r="O14" s="6">
        <f t="shared" si="5"/>
        <v>25</v>
      </c>
      <c r="P14" s="5">
        <f t="shared" si="6"/>
        <v>-1.1405981679245709</v>
      </c>
      <c r="Q14" s="10">
        <f t="shared" si="7"/>
        <v>28</v>
      </c>
      <c r="R14" s="17">
        <f t="shared" si="8"/>
        <v>0.12701859000624371</v>
      </c>
      <c r="S14" s="32">
        <f t="shared" si="9"/>
        <v>25</v>
      </c>
      <c r="T14" s="6">
        <f t="shared" si="10"/>
        <v>211.02882956573922</v>
      </c>
      <c r="U14" s="10">
        <f t="shared" si="11"/>
        <v>7</v>
      </c>
      <c r="V14" s="4"/>
      <c r="X14" s="4"/>
      <c r="Y14" s="4"/>
    </row>
    <row r="15" spans="1:25" x14ac:dyDescent="0.25">
      <c r="A15" s="4">
        <v>46</v>
      </c>
      <c r="B15" s="4" t="s">
        <v>98</v>
      </c>
      <c r="C15" s="4">
        <v>1</v>
      </c>
      <c r="D15" s="4">
        <f t="array" ref="D15">MAX(IF(Sales!B:B=A15,Sales!C:C))</f>
        <v>22</v>
      </c>
      <c r="E15" s="10">
        <f>SUMIF(Sales!B:B,A15,Sales!E:E)</f>
        <v>350</v>
      </c>
      <c r="F15" s="6">
        <f t="shared" si="0"/>
        <v>18</v>
      </c>
      <c r="G15" s="10">
        <f>SUMIF(Sales!B:B,A15,Sales!D:D)</f>
        <v>35</v>
      </c>
      <c r="H15" s="10">
        <f t="shared" si="1"/>
        <v>18</v>
      </c>
      <c r="I15" s="10">
        <f>SUMIF(Prizes!B:B,A15,Prizes!D:D)</f>
        <v>2</v>
      </c>
      <c r="J15" s="10">
        <f t="shared" si="2"/>
        <v>11</v>
      </c>
      <c r="K15" s="5">
        <f>SUMIF(Sales!B:B,A15,Sales!F:F)</f>
        <v>1.6522344140591172</v>
      </c>
      <c r="L15" s="6">
        <f t="shared" si="3"/>
        <v>19</v>
      </c>
      <c r="M15" s="5">
        <f>SQRT(SUMIF(Sales!B:B,A15,Sales!G:G))</f>
        <v>1.22400617658902</v>
      </c>
      <c r="N15" s="5">
        <f t="shared" si="4"/>
        <v>0.3477655859408828</v>
      </c>
      <c r="O15" s="6">
        <f t="shared" si="5"/>
        <v>9</v>
      </c>
      <c r="P15" s="5">
        <f t="shared" si="6"/>
        <v>0.28412077699641441</v>
      </c>
      <c r="Q15" s="10">
        <f t="shared" si="7"/>
        <v>9</v>
      </c>
      <c r="R15" s="17">
        <f t="shared" si="8"/>
        <v>0.38815891253105161</v>
      </c>
      <c r="S15" s="32">
        <f t="shared" si="9"/>
        <v>5</v>
      </c>
      <c r="T15" s="6">
        <f t="shared" si="10"/>
        <v>211.83434809358531</v>
      </c>
      <c r="U15" s="10">
        <f t="shared" si="11"/>
        <v>8</v>
      </c>
      <c r="V15" s="4"/>
      <c r="X15" s="4"/>
      <c r="Y15" s="4"/>
    </row>
    <row r="16" spans="1:25" x14ac:dyDescent="0.25">
      <c r="A16" s="4">
        <v>15</v>
      </c>
      <c r="B16" s="4" t="s">
        <v>16</v>
      </c>
      <c r="C16" s="4">
        <v>1</v>
      </c>
      <c r="D16" s="4">
        <f t="array" ref="D16">MAX(IF(Sales!B:B=A16,Sales!C:C))</f>
        <v>21</v>
      </c>
      <c r="E16" s="4">
        <f>SUMIF(Sales!B:B,A16,Sales!E:E)</f>
        <v>1040</v>
      </c>
      <c r="F16" s="6">
        <f t="shared" si="0"/>
        <v>6</v>
      </c>
      <c r="G16" s="4">
        <f>SUMIF(Sales!B:B,A16,Sales!D:D)</f>
        <v>94</v>
      </c>
      <c r="H16" s="4">
        <f t="shared" si="1"/>
        <v>6</v>
      </c>
      <c r="I16" s="4">
        <f>SUMIF(Prizes!B:B,A16,Prizes!D:D)</f>
        <v>6</v>
      </c>
      <c r="J16" s="4">
        <f t="shared" si="2"/>
        <v>3</v>
      </c>
      <c r="K16" s="5">
        <f>SUMIF(Sales!B:B,A16,Sales!F:F)</f>
        <v>4.8974107512412388</v>
      </c>
      <c r="L16" s="6">
        <f t="shared" si="3"/>
        <v>5</v>
      </c>
      <c r="M16" s="5">
        <f>SQRT(SUMIF(Sales!B:B,A16,Sales!G:G))</f>
        <v>2.0850751321114935</v>
      </c>
      <c r="N16" s="5">
        <f t="shared" si="4"/>
        <v>1.1025892487587612</v>
      </c>
      <c r="O16" s="6">
        <f t="shared" si="5"/>
        <v>6</v>
      </c>
      <c r="P16" s="5">
        <f t="shared" si="6"/>
        <v>0.52880072846209714</v>
      </c>
      <c r="Q16" s="4">
        <f t="shared" si="7"/>
        <v>7</v>
      </c>
      <c r="R16" s="17">
        <f t="shared" si="8"/>
        <v>0.29847184618231593</v>
      </c>
      <c r="S16" s="32">
        <f t="shared" si="9"/>
        <v>12</v>
      </c>
      <c r="T16" s="6">
        <f t="shared" si="10"/>
        <v>212.35711130344012</v>
      </c>
      <c r="U16" s="4">
        <f t="shared" si="11"/>
        <v>9</v>
      </c>
      <c r="V16" s="4"/>
      <c r="X16" s="4"/>
      <c r="Y16" s="4"/>
    </row>
    <row r="17" spans="1:25" x14ac:dyDescent="0.25">
      <c r="A17" s="4">
        <v>18</v>
      </c>
      <c r="B17" s="4" t="s">
        <v>25</v>
      </c>
      <c r="C17" s="4">
        <v>0</v>
      </c>
      <c r="D17" s="4">
        <f t="array" ref="D17">MAX(IF(Sales!B:B=A17,Sales!C:C))</f>
        <v>11</v>
      </c>
      <c r="E17" s="4">
        <f>SUMIF(Sales!B:B,A17,Sales!E:E)</f>
        <v>150</v>
      </c>
      <c r="F17" s="6" t="str">
        <f t="shared" si="0"/>
        <v xml:space="preserve"> </v>
      </c>
      <c r="G17" s="4">
        <f>SUMIF(Sales!B:B,A17,Sales!D:D)</f>
        <v>11</v>
      </c>
      <c r="H17" s="4" t="str">
        <f t="shared" si="1"/>
        <v xml:space="preserve"> </v>
      </c>
      <c r="I17" s="4">
        <f>SUMIF(Prizes!B:B,A17,Prizes!D:D)</f>
        <v>1</v>
      </c>
      <c r="J17" s="4" t="str">
        <f t="shared" si="2"/>
        <v xml:space="preserve"> </v>
      </c>
      <c r="K17" s="5">
        <f>SUMIF(Sales!B:B,A17,Sales!F:F)</f>
        <v>0.70284369885433717</v>
      </c>
      <c r="L17" s="6" t="str">
        <f t="shared" si="3"/>
        <v xml:space="preserve"> </v>
      </c>
      <c r="M17" s="5">
        <f>SQRT(SUMIF(Sales!B:B,A17,Sales!G:G))</f>
        <v>0.78059289122728581</v>
      </c>
      <c r="N17" s="5">
        <f t="shared" si="4"/>
        <v>0.29715630114566283</v>
      </c>
      <c r="O17" s="6" t="str">
        <f t="shared" si="5"/>
        <v xml:space="preserve"> </v>
      </c>
      <c r="P17" s="5">
        <f t="shared" si="6"/>
        <v>0.38068025533573507</v>
      </c>
      <c r="Q17" s="4" t="str">
        <f t="shared" si="7"/>
        <v xml:space="preserve"> </v>
      </c>
      <c r="R17" s="17">
        <f t="shared" si="8"/>
        <v>0.35172026081826924</v>
      </c>
      <c r="S17" s="32" t="str">
        <f t="shared" si="9"/>
        <v xml:space="preserve"> </v>
      </c>
      <c r="T17" s="6">
        <f t="shared" si="10"/>
        <v>213.41871634405473</v>
      </c>
      <c r="U17" s="4" t="str">
        <f t="shared" si="11"/>
        <v xml:space="preserve"> </v>
      </c>
      <c r="V17" s="4"/>
      <c r="X17" s="4"/>
      <c r="Y17" s="4"/>
    </row>
    <row r="18" spans="1:25" x14ac:dyDescent="0.25">
      <c r="A18" s="4">
        <v>13</v>
      </c>
      <c r="B18" s="4" t="s">
        <v>14</v>
      </c>
      <c r="C18" s="4">
        <v>1</v>
      </c>
      <c r="D18" s="4">
        <f t="array" ref="D18">MAX(IF(Sales!B:B=A18,Sales!C:C))</f>
        <v>22</v>
      </c>
      <c r="E18" s="4">
        <f>SUMIF(Sales!B:B,A18,Sales!E:E)</f>
        <v>820</v>
      </c>
      <c r="F18" s="6">
        <f t="shared" si="0"/>
        <v>8</v>
      </c>
      <c r="G18" s="4">
        <f>SUMIF(Sales!B:B,A18,Sales!D:D)</f>
        <v>78</v>
      </c>
      <c r="H18" s="4">
        <f t="shared" si="1"/>
        <v>10</v>
      </c>
      <c r="I18" s="4">
        <f>SUMIF(Prizes!B:B,A18,Prizes!D:D)</f>
        <v>5</v>
      </c>
      <c r="J18" s="4">
        <f t="shared" si="2"/>
        <v>5</v>
      </c>
      <c r="K18" s="5">
        <f>SUMIF(Sales!B:B,A18,Sales!F:F)</f>
        <v>3.8228848135790381</v>
      </c>
      <c r="L18" s="6">
        <f t="shared" si="3"/>
        <v>7</v>
      </c>
      <c r="M18" s="5">
        <f>SQRT(SUMIF(Sales!B:B,A18,Sales!G:G))</f>
        <v>1.8313760284710376</v>
      </c>
      <c r="N18" s="5">
        <f t="shared" si="4"/>
        <v>1.1771151864209619</v>
      </c>
      <c r="O18" s="6">
        <f t="shared" si="5"/>
        <v>5</v>
      </c>
      <c r="P18" s="5">
        <f t="shared" si="6"/>
        <v>0.64274904122431975</v>
      </c>
      <c r="Q18" s="4">
        <f t="shared" si="7"/>
        <v>6</v>
      </c>
      <c r="R18" s="17">
        <f t="shared" si="8"/>
        <v>0.26019347689390693</v>
      </c>
      <c r="S18" s="32">
        <f t="shared" si="9"/>
        <v>13</v>
      </c>
      <c r="T18" s="6">
        <f t="shared" si="10"/>
        <v>214.49770003200922</v>
      </c>
      <c r="U18" s="4">
        <f t="shared" si="11"/>
        <v>10</v>
      </c>
      <c r="V18" s="4"/>
      <c r="X18" s="4"/>
      <c r="Y18" s="4"/>
    </row>
    <row r="19" spans="1:25" x14ac:dyDescent="0.25">
      <c r="A19" s="4">
        <v>43</v>
      </c>
      <c r="B19" s="4" t="s">
        <v>82</v>
      </c>
      <c r="C19" s="4">
        <v>1</v>
      </c>
      <c r="D19" s="4">
        <f t="array" ref="D19">MAX(IF(Sales!B:B=A19,Sales!C:C))</f>
        <v>20</v>
      </c>
      <c r="E19" s="8">
        <f>SUMIF(Sales!B:B,A19,Sales!E:E)</f>
        <v>300</v>
      </c>
      <c r="F19" s="30">
        <f t="shared" si="0"/>
        <v>22</v>
      </c>
      <c r="G19" s="8">
        <f>SUMIF(Sales!B:B,A19,Sales!D:D)</f>
        <v>30</v>
      </c>
      <c r="H19" s="8">
        <f t="shared" si="1"/>
        <v>21</v>
      </c>
      <c r="I19" s="8">
        <f>SUMIF(Prizes!B:B,A19,Prizes!D:D)</f>
        <v>1</v>
      </c>
      <c r="J19" s="8">
        <f t="shared" si="2"/>
        <v>19</v>
      </c>
      <c r="K19" s="9">
        <f>SUMIF(Sales!B:B,A19,Sales!F:F)</f>
        <v>1.3879411334843073</v>
      </c>
      <c r="L19" s="30">
        <f t="shared" si="3"/>
        <v>21</v>
      </c>
      <c r="M19" s="9">
        <f>SQRT(SUMIF(Sales!B:B,A19,Sales!G:G))</f>
        <v>1.1316866919830026</v>
      </c>
      <c r="N19" s="9">
        <f t="shared" si="4"/>
        <v>-0.38794113348430725</v>
      </c>
      <c r="O19" s="30">
        <f t="shared" si="5"/>
        <v>16</v>
      </c>
      <c r="P19" s="5">
        <f t="shared" si="6"/>
        <v>-0.34279905934436306</v>
      </c>
      <c r="Q19" s="10">
        <f t="shared" si="7"/>
        <v>17</v>
      </c>
      <c r="R19" s="17">
        <f t="shared" si="8"/>
        <v>0.36587481683043532</v>
      </c>
      <c r="S19" s="32">
        <f t="shared" si="9"/>
        <v>10</v>
      </c>
      <c r="T19" s="6">
        <f t="shared" si="10"/>
        <v>216.14749556912093</v>
      </c>
      <c r="U19" s="4">
        <f t="shared" si="11"/>
        <v>11</v>
      </c>
      <c r="V19" s="4"/>
      <c r="X19" s="4"/>
      <c r="Y19" s="4"/>
    </row>
    <row r="20" spans="1:25" x14ac:dyDescent="0.25">
      <c r="A20" s="4">
        <v>53</v>
      </c>
      <c r="B20" s="4" t="s">
        <v>137</v>
      </c>
      <c r="C20" s="4">
        <v>1</v>
      </c>
      <c r="D20" s="28">
        <f t="array" ref="D20">MAX(IF(Sales!B:B=A20,Sales!C:C))</f>
        <v>22</v>
      </c>
      <c r="E20" s="28">
        <f>SUMIF(Sales!B:B,A20,Sales!E:E)</f>
        <v>150</v>
      </c>
      <c r="F20" s="31">
        <f t="shared" si="0"/>
        <v>28</v>
      </c>
      <c r="G20" s="28">
        <f>SUMIF(Sales!B:B,A20,Sales!D:D)</f>
        <v>15</v>
      </c>
      <c r="H20" s="28">
        <f t="shared" si="1"/>
        <v>28</v>
      </c>
      <c r="I20" s="28">
        <f>SUMIF(Prizes!B:B,A20,Prizes!D:D)</f>
        <v>0</v>
      </c>
      <c r="J20" s="28">
        <f t="shared" si="2"/>
        <v>24</v>
      </c>
      <c r="K20" s="29">
        <f>SUMIF(Sales!B:B,A20,Sales!F:F)</f>
        <v>0.68867924528301883</v>
      </c>
      <c r="L20" s="31">
        <f t="shared" si="3"/>
        <v>27</v>
      </c>
      <c r="M20" s="29">
        <f>SQRT(SUMIF(Sales!B:B,A20,Sales!G:G))</f>
        <v>0.7848811799913108</v>
      </c>
      <c r="N20" s="29">
        <f t="shared" si="4"/>
        <v>-0.68867924528301883</v>
      </c>
      <c r="O20" s="31">
        <f t="shared" si="5"/>
        <v>21</v>
      </c>
      <c r="P20" s="29">
        <f t="shared" si="6"/>
        <v>-0.87743121231501942</v>
      </c>
      <c r="Q20" s="10">
        <f t="shared" si="7"/>
        <v>25</v>
      </c>
      <c r="R20" s="17">
        <f t="shared" si="8"/>
        <v>0.19012623306866175</v>
      </c>
      <c r="S20" s="77">
        <f t="shared" si="9"/>
        <v>22</v>
      </c>
      <c r="T20" s="6">
        <f t="shared" si="10"/>
        <v>217.8082191780822</v>
      </c>
      <c r="U20" s="10">
        <f t="shared" si="11"/>
        <v>12</v>
      </c>
      <c r="V20" s="4"/>
      <c r="X20" s="4"/>
      <c r="Y20" s="4"/>
    </row>
    <row r="21" spans="1:25" x14ac:dyDescent="0.25">
      <c r="A21" s="4">
        <v>34</v>
      </c>
      <c r="B21" s="4" t="s">
        <v>46</v>
      </c>
      <c r="C21" s="4">
        <v>1</v>
      </c>
      <c r="D21" s="4">
        <f t="array" ref="D21">MAX(IF(Sales!B:B=A21,Sales!C:C))</f>
        <v>22</v>
      </c>
      <c r="E21" s="4">
        <f>SUMIF(Sales!B:B,A21,Sales!E:E)</f>
        <v>800</v>
      </c>
      <c r="F21" s="6">
        <f t="shared" si="0"/>
        <v>10</v>
      </c>
      <c r="G21" s="4">
        <f>SUMIF(Sales!B:B,A21,Sales!D:D)</f>
        <v>81</v>
      </c>
      <c r="H21" s="4">
        <f t="shared" si="1"/>
        <v>8</v>
      </c>
      <c r="I21" s="4">
        <f>SUMIF(Prizes!B:B,A21,Prizes!D:D)</f>
        <v>2</v>
      </c>
      <c r="J21" s="4">
        <f t="shared" si="2"/>
        <v>11</v>
      </c>
      <c r="K21" s="5">
        <f>SUMIF(Sales!B:B,A21,Sales!F:F)</f>
        <v>3.6459495602492105</v>
      </c>
      <c r="L21" s="6">
        <f t="shared" si="3"/>
        <v>8</v>
      </c>
      <c r="M21" s="5">
        <f>SQRT(SUMIF(Sales!B:B,A21,Sales!G:G))</f>
        <v>1.8225565915019903</v>
      </c>
      <c r="N21" s="5">
        <f t="shared" si="4"/>
        <v>-1.6459495602492105</v>
      </c>
      <c r="O21" s="6">
        <f t="shared" si="5"/>
        <v>29</v>
      </c>
      <c r="P21" s="5">
        <f t="shared" si="6"/>
        <v>-0.90309928806806705</v>
      </c>
      <c r="Q21" s="4">
        <f t="shared" si="7"/>
        <v>26</v>
      </c>
      <c r="R21" s="17">
        <f t="shared" si="8"/>
        <v>0.18323660091269262</v>
      </c>
      <c r="S21" s="32">
        <f t="shared" si="9"/>
        <v>23</v>
      </c>
      <c r="T21" s="6">
        <f t="shared" si="10"/>
        <v>219.42157640417764</v>
      </c>
      <c r="U21" s="4">
        <f t="shared" si="11"/>
        <v>13</v>
      </c>
      <c r="V21" s="4"/>
      <c r="X21" s="4"/>
      <c r="Y21" s="4"/>
    </row>
    <row r="22" spans="1:25" x14ac:dyDescent="0.25">
      <c r="A22" s="4">
        <v>50</v>
      </c>
      <c r="B22" s="4" t="s">
        <v>125</v>
      </c>
      <c r="C22" s="4">
        <v>1</v>
      </c>
      <c r="D22" s="28">
        <f t="array" ref="D22">MAX(IF(Sales!B:B=A22,Sales!C:C))</f>
        <v>22</v>
      </c>
      <c r="E22" s="28">
        <f>SUMIF(Sales!B:B,A22,Sales!E:E)</f>
        <v>130</v>
      </c>
      <c r="F22" s="31">
        <f t="shared" si="0"/>
        <v>29</v>
      </c>
      <c r="G22" s="28">
        <f>SUMIF(Sales!B:B,A22,Sales!D:D)</f>
        <v>13</v>
      </c>
      <c r="H22" s="28">
        <f t="shared" si="1"/>
        <v>29</v>
      </c>
      <c r="I22" s="28">
        <f>SUMIF(Prizes!B:B,A22,Prizes!D:D)</f>
        <v>0</v>
      </c>
      <c r="J22" s="28">
        <f t="shared" si="2"/>
        <v>24</v>
      </c>
      <c r="K22" s="29">
        <f>SUMIF(Sales!B:B,A22,Sales!F:F)</f>
        <v>0.59117647058823541</v>
      </c>
      <c r="L22" s="31">
        <f t="shared" si="3"/>
        <v>29</v>
      </c>
      <c r="M22" s="29">
        <f>SQRT(SUMIF(Sales!B:B,A22,Sales!G:G))</f>
        <v>0.73055024326446005</v>
      </c>
      <c r="N22" s="29">
        <f t="shared" si="4"/>
        <v>-0.59117647058823541</v>
      </c>
      <c r="O22" s="31">
        <f t="shared" si="5"/>
        <v>18</v>
      </c>
      <c r="P22" s="29">
        <f t="shared" si="6"/>
        <v>-0.80922082504081627</v>
      </c>
      <c r="Q22" s="10">
        <f t="shared" si="7"/>
        <v>23</v>
      </c>
      <c r="R22" s="17">
        <f t="shared" si="8"/>
        <v>0.2091940691709436</v>
      </c>
      <c r="S22" s="77">
        <f t="shared" si="9"/>
        <v>20</v>
      </c>
      <c r="T22" s="6">
        <f t="shared" si="10"/>
        <v>219.90049751243777</v>
      </c>
      <c r="U22" s="10">
        <f t="shared" si="11"/>
        <v>14</v>
      </c>
      <c r="V22" s="4"/>
      <c r="X22" s="4"/>
      <c r="Y22" s="4"/>
    </row>
    <row r="23" spans="1:25" x14ac:dyDescent="0.25">
      <c r="A23" s="4">
        <v>37</v>
      </c>
      <c r="B23" s="4" t="s">
        <v>80</v>
      </c>
      <c r="C23" s="4">
        <v>1</v>
      </c>
      <c r="D23" s="4">
        <f t="array" ref="D23">MAX(IF(Sales!B:B=A23,Sales!C:C))</f>
        <v>22</v>
      </c>
      <c r="E23" s="4">
        <f>SUMIF(Sales!B:B,A23,Sales!E:E)</f>
        <v>1600</v>
      </c>
      <c r="F23" s="6">
        <f t="shared" si="0"/>
        <v>3</v>
      </c>
      <c r="G23" s="4">
        <f>SUMIF(Sales!B:B,A23,Sales!D:D)</f>
        <v>161</v>
      </c>
      <c r="H23" s="4">
        <f t="shared" si="1"/>
        <v>3</v>
      </c>
      <c r="I23" s="4">
        <f>SUMIF(Prizes!B:B,A23,Prizes!D:D)</f>
        <v>4</v>
      </c>
      <c r="J23" s="4">
        <f t="shared" si="2"/>
        <v>6</v>
      </c>
      <c r="K23" s="5">
        <f>SUMIF(Sales!B:B,A23,Sales!F:F)</f>
        <v>7.2456182608128401</v>
      </c>
      <c r="L23" s="6">
        <f t="shared" si="3"/>
        <v>3</v>
      </c>
      <c r="M23" s="5">
        <f>SQRT(SUMIF(Sales!B:B,A23,Sales!G:G))</f>
        <v>2.5246189435214399</v>
      </c>
      <c r="N23" s="5">
        <f t="shared" si="4"/>
        <v>-3.2456182608128401</v>
      </c>
      <c r="O23" s="6">
        <f t="shared" si="5"/>
        <v>32</v>
      </c>
      <c r="P23" s="5">
        <f t="shared" si="6"/>
        <v>-1.2855873830550133</v>
      </c>
      <c r="Q23" s="4">
        <f t="shared" si="7"/>
        <v>29</v>
      </c>
      <c r="R23" s="17">
        <f t="shared" si="8"/>
        <v>9.9293551168915556E-2</v>
      </c>
      <c r="S23" s="32">
        <f t="shared" si="9"/>
        <v>26</v>
      </c>
      <c r="T23" s="6">
        <f t="shared" si="10"/>
        <v>220.82311576548696</v>
      </c>
      <c r="U23" s="4">
        <f t="shared" si="11"/>
        <v>15</v>
      </c>
      <c r="V23" s="4"/>
      <c r="X23" s="4"/>
      <c r="Y23" s="4"/>
    </row>
    <row r="24" spans="1:25" x14ac:dyDescent="0.25">
      <c r="A24" s="4">
        <v>14</v>
      </c>
      <c r="B24" s="4" t="s">
        <v>15</v>
      </c>
      <c r="C24" s="4">
        <v>1</v>
      </c>
      <c r="D24" s="4">
        <f t="array" ref="D24">MAX(IF(Sales!B:B=A24,Sales!C:C))</f>
        <v>22</v>
      </c>
      <c r="E24" s="4">
        <f>SUMIF(Sales!B:B,A24,Sales!E:E)</f>
        <v>1120</v>
      </c>
      <c r="F24" s="6">
        <f t="shared" si="0"/>
        <v>4</v>
      </c>
      <c r="G24" s="4">
        <f>SUMIF(Sales!B:B,A24,Sales!D:D)</f>
        <v>108</v>
      </c>
      <c r="H24" s="4">
        <f t="shared" si="1"/>
        <v>5</v>
      </c>
      <c r="I24" s="4">
        <f>SUMIF(Prizes!B:B,A24,Prizes!D:D)</f>
        <v>8</v>
      </c>
      <c r="J24" s="4">
        <f t="shared" si="2"/>
        <v>2</v>
      </c>
      <c r="K24" s="5">
        <f>SUMIF(Sales!B:B,A24,Sales!F:F)</f>
        <v>5.0559227870088854</v>
      </c>
      <c r="L24" s="6">
        <f t="shared" si="3"/>
        <v>4</v>
      </c>
      <c r="M24" s="5">
        <f>SQRT(SUMIF(Sales!B:B,A24,Sales!G:G))</f>
        <v>2.1276655239267384</v>
      </c>
      <c r="N24" s="5">
        <f t="shared" si="4"/>
        <v>2.9440772129911146</v>
      </c>
      <c r="O24" s="6">
        <f t="shared" si="5"/>
        <v>1</v>
      </c>
      <c r="P24" s="5">
        <f t="shared" si="6"/>
        <v>1.3837124209061009</v>
      </c>
      <c r="Q24" s="4">
        <f t="shared" si="7"/>
        <v>3</v>
      </c>
      <c r="R24" s="17">
        <f t="shared" si="8"/>
        <v>8.3223264378529782E-2</v>
      </c>
      <c r="S24" s="32">
        <f t="shared" si="9"/>
        <v>29</v>
      </c>
      <c r="T24" s="6">
        <f t="shared" si="10"/>
        <v>221.52237033323027</v>
      </c>
      <c r="U24" s="4">
        <f t="shared" si="11"/>
        <v>16</v>
      </c>
      <c r="V24" s="4"/>
      <c r="X24" s="4"/>
      <c r="Y24" s="4"/>
    </row>
    <row r="25" spans="1:25" x14ac:dyDescent="0.25">
      <c r="A25" s="4">
        <v>33</v>
      </c>
      <c r="B25" s="4" t="s">
        <v>76</v>
      </c>
      <c r="C25" s="4">
        <v>1</v>
      </c>
      <c r="D25" s="4">
        <f t="array" ref="D25">MAX(IF(Sales!B:B=A25,Sales!C:C))</f>
        <v>22</v>
      </c>
      <c r="E25" s="4">
        <f>SUMIF(Sales!B:B,A25,Sales!E:E)</f>
        <v>1610</v>
      </c>
      <c r="F25" s="6">
        <f t="shared" si="0"/>
        <v>2</v>
      </c>
      <c r="G25" s="4">
        <f>SUMIF(Sales!B:B,A25,Sales!D:D)</f>
        <v>162</v>
      </c>
      <c r="H25" s="4">
        <f t="shared" si="1"/>
        <v>2</v>
      </c>
      <c r="I25" s="4">
        <f>SUMIF(Prizes!B:B,A25,Prizes!D:D)</f>
        <v>6</v>
      </c>
      <c r="J25" s="4">
        <f t="shared" si="2"/>
        <v>3</v>
      </c>
      <c r="K25" s="5">
        <f>SUMIF(Sales!B:B,A25,Sales!F:F)</f>
        <v>7.2593403877425144</v>
      </c>
      <c r="L25" s="6">
        <f t="shared" si="3"/>
        <v>2</v>
      </c>
      <c r="M25" s="5">
        <f>SQRT(SUMIF(Sales!B:B,A25,Sales!G:G))</f>
        <v>2.5260520594073439</v>
      </c>
      <c r="N25" s="5">
        <f t="shared" si="4"/>
        <v>-1.2593403877425144</v>
      </c>
      <c r="O25" s="6">
        <f t="shared" si="5"/>
        <v>26</v>
      </c>
      <c r="P25" s="5">
        <f t="shared" si="6"/>
        <v>-0.49854094774197877</v>
      </c>
      <c r="Q25" s="4">
        <f t="shared" si="7"/>
        <v>18</v>
      </c>
      <c r="R25" s="17">
        <f t="shared" si="8"/>
        <v>0.30905140767130379</v>
      </c>
      <c r="S25" s="32">
        <f t="shared" si="9"/>
        <v>11</v>
      </c>
      <c r="T25" s="6">
        <f t="shared" si="10"/>
        <v>221.78323566677005</v>
      </c>
      <c r="U25" s="4">
        <f t="shared" si="11"/>
        <v>17</v>
      </c>
      <c r="V25" s="4"/>
      <c r="X25" s="4"/>
      <c r="Y25" s="4"/>
    </row>
    <row r="26" spans="1:25" x14ac:dyDescent="0.25">
      <c r="A26" s="4">
        <v>9</v>
      </c>
      <c r="B26" s="4" t="s">
        <v>10</v>
      </c>
      <c r="C26" s="4">
        <v>0</v>
      </c>
      <c r="D26" s="4">
        <f t="array" ref="D26">MAX(IF(Sales!B:B=A26,Sales!C:C))</f>
        <v>12</v>
      </c>
      <c r="E26" s="4">
        <f>SUMIF(Sales!B:B,A26,Sales!E:E)</f>
        <v>720</v>
      </c>
      <c r="F26" s="6" t="str">
        <f t="shared" si="0"/>
        <v xml:space="preserve"> </v>
      </c>
      <c r="G26" s="4">
        <f>SUMIF(Sales!B:B,A26,Sales!D:D)</f>
        <v>68</v>
      </c>
      <c r="H26" s="4" t="str">
        <f t="shared" si="1"/>
        <v xml:space="preserve"> </v>
      </c>
      <c r="I26" s="4">
        <f>SUMIF(Prizes!B:B,A26,Prizes!D:D)</f>
        <v>7</v>
      </c>
      <c r="J26" s="4" t="str">
        <f t="shared" si="2"/>
        <v xml:space="preserve"> </v>
      </c>
      <c r="K26" s="5">
        <f>SUMIF(Sales!B:B,A26,Sales!F:F)</f>
        <v>3.2402189600805982</v>
      </c>
      <c r="L26" s="6" t="str">
        <f t="shared" si="3"/>
        <v xml:space="preserve"> </v>
      </c>
      <c r="M26" s="5">
        <f>SQRT(SUMIF(Sales!B:B,A26,Sales!G:G))</f>
        <v>1.6903967309717229</v>
      </c>
      <c r="N26" s="5">
        <f t="shared" si="4"/>
        <v>3.7597810399194018</v>
      </c>
      <c r="O26" s="6" t="str">
        <f t="shared" si="5"/>
        <v xml:space="preserve"> </v>
      </c>
      <c r="P26" s="5">
        <f t="shared" si="6"/>
        <v>2.224200373221318</v>
      </c>
      <c r="Q26" s="4" t="str">
        <f t="shared" si="7"/>
        <v xml:space="preserve"> </v>
      </c>
      <c r="R26" s="17">
        <f t="shared" si="8"/>
        <v>1.3067482981361178E-2</v>
      </c>
      <c r="S26" s="32" t="str">
        <f t="shared" si="9"/>
        <v xml:space="preserve"> </v>
      </c>
      <c r="T26" s="6">
        <f t="shared" si="10"/>
        <v>222.20720539888777</v>
      </c>
      <c r="U26" s="4" t="str">
        <f t="shared" si="11"/>
        <v xml:space="preserve"> </v>
      </c>
      <c r="V26" s="4"/>
      <c r="X26" s="4"/>
      <c r="Y26" s="4"/>
    </row>
    <row r="27" spans="1:25" x14ac:dyDescent="0.25">
      <c r="A27" s="4">
        <v>1</v>
      </c>
      <c r="B27" s="4" t="s">
        <v>45</v>
      </c>
      <c r="C27" s="4">
        <v>0</v>
      </c>
      <c r="D27" s="4">
        <f t="array" ref="D27">MAX(IF(Sales!B:B=A27,Sales!C:C))</f>
        <v>18</v>
      </c>
      <c r="E27" s="4">
        <f>SUMIF(Sales!B:B,A27,Sales!E:E)</f>
        <v>1360</v>
      </c>
      <c r="F27" s="6" t="str">
        <f t="shared" si="0"/>
        <v xml:space="preserve"> </v>
      </c>
      <c r="G27" s="4">
        <f>SUMIF(Sales!B:B,A27,Sales!D:D)</f>
        <v>127</v>
      </c>
      <c r="H27" s="4" t="str">
        <f t="shared" si="1"/>
        <v xml:space="preserve"> </v>
      </c>
      <c r="I27" s="4">
        <f>SUMIF(Prizes!B:B,A27,Prizes!D:D)</f>
        <v>5</v>
      </c>
      <c r="J27" s="4" t="str">
        <f t="shared" si="2"/>
        <v xml:space="preserve"> </v>
      </c>
      <c r="K27" s="5">
        <f>SUMIF(Sales!B:B,A27,Sales!F:F)</f>
        <v>6.0719704412152948</v>
      </c>
      <c r="L27" s="6" t="str">
        <f t="shared" si="3"/>
        <v xml:space="preserve"> </v>
      </c>
      <c r="M27" s="5">
        <f>SQRT(SUMIF(Sales!B:B,A27,Sales!G:G))</f>
        <v>2.2871608424340759</v>
      </c>
      <c r="N27" s="5">
        <f t="shared" si="4"/>
        <v>-1.0719704412152948</v>
      </c>
      <c r="O27" s="6" t="str">
        <f t="shared" si="5"/>
        <v xml:space="preserve"> </v>
      </c>
      <c r="P27" s="5">
        <f t="shared" si="6"/>
        <v>-0.46869044858011238</v>
      </c>
      <c r="Q27" s="4" t="str">
        <f t="shared" si="7"/>
        <v xml:space="preserve"> </v>
      </c>
      <c r="R27" s="17">
        <f t="shared" si="8"/>
        <v>0.3196454575746297</v>
      </c>
      <c r="S27" s="32" t="str">
        <f t="shared" si="9"/>
        <v xml:space="preserve"> </v>
      </c>
      <c r="T27" s="6">
        <f t="shared" si="10"/>
        <v>223.98000997643169</v>
      </c>
      <c r="U27" s="4" t="str">
        <f t="shared" si="11"/>
        <v xml:space="preserve"> </v>
      </c>
      <c r="V27" s="4"/>
      <c r="X27" s="4"/>
      <c r="Y27" s="4"/>
    </row>
    <row r="28" spans="1:25" x14ac:dyDescent="0.25">
      <c r="A28" s="4">
        <v>11</v>
      </c>
      <c r="B28" s="4" t="s">
        <v>12</v>
      </c>
      <c r="C28" s="4">
        <v>1</v>
      </c>
      <c r="D28" s="4">
        <f t="array" ref="D28">MAX(IF(Sales!B:B=A28,Sales!C:C))</f>
        <v>19</v>
      </c>
      <c r="E28" s="4">
        <f>SUMIF(Sales!B:B,A28,Sales!E:E)</f>
        <v>560</v>
      </c>
      <c r="F28" s="6">
        <f t="shared" si="0"/>
        <v>14</v>
      </c>
      <c r="G28" s="4">
        <f>SUMIF(Sales!B:B,A28,Sales!D:D)</f>
        <v>49</v>
      </c>
      <c r="H28" s="4">
        <f t="shared" si="1"/>
        <v>15</v>
      </c>
      <c r="I28" s="4">
        <f>SUMIF(Prizes!B:B,A28,Prizes!D:D)</f>
        <v>0</v>
      </c>
      <c r="J28" s="4">
        <f t="shared" si="2"/>
        <v>24</v>
      </c>
      <c r="K28" s="5">
        <f>SUMIF(Sales!B:B,A28,Sales!F:F)</f>
        <v>2.4986609374725086</v>
      </c>
      <c r="L28" s="6">
        <f t="shared" si="3"/>
        <v>14</v>
      </c>
      <c r="M28" s="5">
        <f>SQRT(SUMIF(Sales!B:B,A28,Sales!G:G))</f>
        <v>1.4954768990915936</v>
      </c>
      <c r="N28" s="5">
        <f t="shared" si="4"/>
        <v>-2.4986609374725086</v>
      </c>
      <c r="O28" s="6">
        <f t="shared" si="5"/>
        <v>31</v>
      </c>
      <c r="P28" s="5">
        <f t="shared" si="6"/>
        <v>-1.6708121262122371</v>
      </c>
      <c r="Q28" s="4">
        <f t="shared" si="7"/>
        <v>32</v>
      </c>
      <c r="R28" s="17">
        <f t="shared" si="8"/>
        <v>4.7379396299877204E-2</v>
      </c>
      <c r="S28" s="32">
        <f t="shared" si="9"/>
        <v>30</v>
      </c>
      <c r="T28" s="6">
        <f t="shared" si="10"/>
        <v>224.12004430119339</v>
      </c>
      <c r="U28" s="4">
        <f t="shared" si="11"/>
        <v>18</v>
      </c>
      <c r="V28" s="4"/>
      <c r="X28" s="4"/>
      <c r="Y28" s="4"/>
    </row>
    <row r="29" spans="1:25" x14ac:dyDescent="0.25">
      <c r="A29" s="4">
        <v>47</v>
      </c>
      <c r="B29" s="4" t="s">
        <v>7</v>
      </c>
      <c r="C29" s="4">
        <v>1</v>
      </c>
      <c r="D29" s="4">
        <f t="array" ref="D29">MAX(IF(Sales!B:B=A29,Sales!C:C))</f>
        <v>20</v>
      </c>
      <c r="E29" s="28">
        <f>SUMIF(Sales!B:B,A29,Sales!E:E)</f>
        <v>350</v>
      </c>
      <c r="F29" s="31">
        <f t="shared" si="0"/>
        <v>18</v>
      </c>
      <c r="G29" s="28">
        <f>SUMIF(Sales!B:B,A29,Sales!D:D)</f>
        <v>35</v>
      </c>
      <c r="H29" s="28">
        <f t="shared" si="1"/>
        <v>18</v>
      </c>
      <c r="I29" s="28">
        <f>SUMIF(Prizes!B:B,A29,Prizes!D:D)</f>
        <v>0</v>
      </c>
      <c r="J29" s="28">
        <f t="shared" si="2"/>
        <v>24</v>
      </c>
      <c r="K29" s="29">
        <f>SUMIF(Sales!B:B,A29,Sales!F:F)</f>
        <v>1.5492461951326595</v>
      </c>
      <c r="L29" s="31">
        <f t="shared" si="3"/>
        <v>20</v>
      </c>
      <c r="M29" s="29">
        <f>SQRT(SUMIF(Sales!B:B,A29,Sales!G:G))</f>
        <v>1.1812669413653081</v>
      </c>
      <c r="N29" s="29">
        <f t="shared" si="4"/>
        <v>-1.5492461951326595</v>
      </c>
      <c r="O29" s="31">
        <f t="shared" si="5"/>
        <v>28</v>
      </c>
      <c r="P29" s="5">
        <f t="shared" si="6"/>
        <v>-1.3115123609080612</v>
      </c>
      <c r="Q29" s="10">
        <f t="shared" si="7"/>
        <v>30</v>
      </c>
      <c r="R29" s="17">
        <f t="shared" si="8"/>
        <v>9.4842360181836213E-2</v>
      </c>
      <c r="S29" s="32">
        <f t="shared" si="9"/>
        <v>27</v>
      </c>
      <c r="T29" s="6">
        <f t="shared" si="10"/>
        <v>225.91632053034027</v>
      </c>
      <c r="U29" s="10">
        <f t="shared" si="11"/>
        <v>19</v>
      </c>
      <c r="V29" s="4"/>
      <c r="X29" s="4"/>
      <c r="Y29" s="4"/>
    </row>
    <row r="30" spans="1:25" x14ac:dyDescent="0.25">
      <c r="A30" s="4">
        <v>20</v>
      </c>
      <c r="B30" s="4" t="s">
        <v>27</v>
      </c>
      <c r="C30" s="4">
        <v>0</v>
      </c>
      <c r="D30" s="4">
        <f t="array" ref="D30">MAX(IF(Sales!B:B=A30,Sales!C:C))</f>
        <v>21</v>
      </c>
      <c r="E30" s="4">
        <f>SUMIF(Sales!B:B,A30,Sales!E:E)</f>
        <v>860</v>
      </c>
      <c r="F30" s="6" t="str">
        <f t="shared" si="0"/>
        <v xml:space="preserve"> </v>
      </c>
      <c r="G30" s="4">
        <f>SUMIF(Sales!B:B,A30,Sales!D:D)</f>
        <v>85</v>
      </c>
      <c r="H30" s="4" t="str">
        <f t="shared" si="1"/>
        <v xml:space="preserve"> </v>
      </c>
      <c r="I30" s="4">
        <f>SUMIF(Prizes!B:B,A30,Prizes!D:D)</f>
        <v>6</v>
      </c>
      <c r="J30" s="4" t="str">
        <f t="shared" si="2"/>
        <v xml:space="preserve"> </v>
      </c>
      <c r="K30" s="5">
        <f>SUMIF(Sales!B:B,A30,Sales!F:F)</f>
        <v>3.8059384171605499</v>
      </c>
      <c r="L30" s="6" t="str">
        <f t="shared" si="3"/>
        <v xml:space="preserve"> </v>
      </c>
      <c r="M30" s="5">
        <f>SQRT(SUMIF(Sales!B:B,A30,Sales!G:G))</f>
        <v>1.8697596112891726</v>
      </c>
      <c r="N30" s="5">
        <f t="shared" si="4"/>
        <v>2.1940615828394501</v>
      </c>
      <c r="O30" s="6" t="str">
        <f t="shared" si="5"/>
        <v xml:space="preserve"> </v>
      </c>
      <c r="P30" s="5">
        <f t="shared" si="6"/>
        <v>1.1734458106765264</v>
      </c>
      <c r="Q30" s="4" t="str">
        <f t="shared" si="7"/>
        <v xml:space="preserve"> </v>
      </c>
      <c r="R30" s="17">
        <f t="shared" si="8"/>
        <v>0.12030853778064177</v>
      </c>
      <c r="S30" s="32" t="str">
        <f t="shared" si="9"/>
        <v xml:space="preserve"> </v>
      </c>
      <c r="T30" s="6">
        <f t="shared" si="10"/>
        <v>225.96266826661102</v>
      </c>
      <c r="U30" s="4" t="str">
        <f t="shared" si="11"/>
        <v xml:space="preserve"> </v>
      </c>
      <c r="V30" s="4"/>
      <c r="X30" s="4"/>
      <c r="Y30" s="4"/>
    </row>
    <row r="31" spans="1:25" x14ac:dyDescent="0.25">
      <c r="A31" s="4">
        <v>6</v>
      </c>
      <c r="B31" s="4" t="s">
        <v>100</v>
      </c>
      <c r="C31" s="4">
        <v>0</v>
      </c>
      <c r="D31" s="4">
        <f t="array" ref="D31">MAX(IF(Sales!B:B=A31,Sales!C:C))</f>
        <v>3</v>
      </c>
      <c r="E31" s="4">
        <f>SUMIF(Sales!B:B,A31,Sales!E:E)</f>
        <v>300</v>
      </c>
      <c r="F31" s="6" t="str">
        <f t="shared" si="0"/>
        <v xml:space="preserve"> </v>
      </c>
      <c r="G31" s="4">
        <f>SUMIF(Sales!B:B,A31,Sales!D:D)</f>
        <v>20</v>
      </c>
      <c r="H31" s="4" t="str">
        <f t="shared" si="1"/>
        <v xml:space="preserve"> </v>
      </c>
      <c r="I31" s="4">
        <f>SUMIF(Prizes!B:B,A31,Prizes!D:D)</f>
        <v>2</v>
      </c>
      <c r="J31" s="4" t="str">
        <f t="shared" si="2"/>
        <v xml:space="preserve"> </v>
      </c>
      <c r="K31" s="5">
        <f>SUMIF(Sales!B:B,A31,Sales!F:F)</f>
        <v>1.3260933806146571</v>
      </c>
      <c r="L31" s="6" t="str">
        <f t="shared" si="3"/>
        <v xml:space="preserve"> </v>
      </c>
      <c r="M31" s="5">
        <f>SQRT(SUMIF(Sales!B:B,A31,Sales!G:G))</f>
        <v>1.0672538107751555</v>
      </c>
      <c r="N31" s="5">
        <f t="shared" si="4"/>
        <v>0.67390661938534291</v>
      </c>
      <c r="O31" s="6" t="str">
        <f t="shared" si="5"/>
        <v xml:space="preserve"> </v>
      </c>
      <c r="P31" s="5">
        <f t="shared" si="6"/>
        <v>0.63143988110558147</v>
      </c>
      <c r="Q31" s="4" t="str">
        <f t="shared" si="7"/>
        <v xml:space="preserve"> </v>
      </c>
      <c r="R31" s="17">
        <f t="shared" si="8"/>
        <v>0.26387647326386743</v>
      </c>
      <c r="S31" s="32" t="str">
        <f t="shared" si="9"/>
        <v xml:space="preserve"> </v>
      </c>
      <c r="T31" s="6">
        <f t="shared" si="10"/>
        <v>226.22841225626743</v>
      </c>
      <c r="U31" s="6" t="str">
        <f t="shared" si="11"/>
        <v xml:space="preserve"> </v>
      </c>
      <c r="V31" s="4"/>
      <c r="X31" s="4"/>
      <c r="Y31" s="4"/>
    </row>
    <row r="32" spans="1:25" x14ac:dyDescent="0.25">
      <c r="A32" s="4">
        <v>41</v>
      </c>
      <c r="B32" s="4" t="s">
        <v>79</v>
      </c>
      <c r="C32" s="4">
        <v>1</v>
      </c>
      <c r="D32" s="4">
        <f t="array" ref="D32">MAX(IF(Sales!B:B=A32,Sales!C:C))</f>
        <v>22</v>
      </c>
      <c r="E32" s="8">
        <f>SUMIF(Sales!B:B,A32,Sales!E:E)</f>
        <v>680</v>
      </c>
      <c r="F32" s="30">
        <f t="shared" si="0"/>
        <v>13</v>
      </c>
      <c r="G32" s="8">
        <f>SUMIF(Sales!B:B,A32,Sales!D:D)</f>
        <v>68</v>
      </c>
      <c r="H32" s="10">
        <f t="shared" si="1"/>
        <v>12</v>
      </c>
      <c r="I32" s="8">
        <f>SUMIF(Prizes!B:B,A32,Prizes!D:D)</f>
        <v>4</v>
      </c>
      <c r="J32" s="10">
        <f t="shared" si="2"/>
        <v>6</v>
      </c>
      <c r="K32" s="9">
        <f>SUMIF(Sales!B:B,A32,Sales!F:F)</f>
        <v>2.9454788994901624</v>
      </c>
      <c r="L32" s="30">
        <f t="shared" si="3"/>
        <v>13</v>
      </c>
      <c r="M32" s="9">
        <f>SQRT(SUMIF(Sales!B:B,A32,Sales!G:G))</f>
        <v>1.6356646628937455</v>
      </c>
      <c r="N32" s="9">
        <f t="shared" si="4"/>
        <v>1.0545211005098376</v>
      </c>
      <c r="O32" s="30">
        <f t="shared" si="5"/>
        <v>7</v>
      </c>
      <c r="P32" s="5">
        <f t="shared" si="6"/>
        <v>0.64470494743355622</v>
      </c>
      <c r="Q32" s="10">
        <f t="shared" si="7"/>
        <v>5</v>
      </c>
      <c r="R32" s="17">
        <f t="shared" si="8"/>
        <v>0.2595592047883154</v>
      </c>
      <c r="S32" s="32">
        <f t="shared" si="9"/>
        <v>14</v>
      </c>
      <c r="T32" s="6">
        <f t="shared" si="10"/>
        <v>230.86228868171565</v>
      </c>
      <c r="U32" s="10">
        <f t="shared" si="11"/>
        <v>20</v>
      </c>
      <c r="V32" s="4"/>
      <c r="X32" s="4"/>
      <c r="Y32" s="4"/>
    </row>
    <row r="33" spans="1:25" x14ac:dyDescent="0.25">
      <c r="A33" s="4">
        <v>42</v>
      </c>
      <c r="B33" s="4" t="s">
        <v>81</v>
      </c>
      <c r="C33" s="4">
        <v>1</v>
      </c>
      <c r="D33" s="4">
        <f t="array" ref="D33">MAX(IF(Sales!B:B=A33,Sales!C:C))</f>
        <v>19</v>
      </c>
      <c r="E33" s="8">
        <f>SUMIF(Sales!B:B,A33,Sales!E:E)</f>
        <v>180</v>
      </c>
      <c r="F33" s="30">
        <f t="shared" si="0"/>
        <v>26</v>
      </c>
      <c r="G33" s="8">
        <f>SUMIF(Sales!B:B,A33,Sales!D:D)</f>
        <v>18</v>
      </c>
      <c r="H33" s="8">
        <f t="shared" si="1"/>
        <v>26</v>
      </c>
      <c r="I33" s="8">
        <f>SUMIF(Prizes!B:B,A33,Prizes!D:D)</f>
        <v>1</v>
      </c>
      <c r="J33" s="8">
        <f t="shared" si="2"/>
        <v>19</v>
      </c>
      <c r="K33" s="9">
        <f>SUMIF(Sales!B:B,A33,Sales!F:F)</f>
        <v>0.77946480083496894</v>
      </c>
      <c r="L33" s="30">
        <f t="shared" si="3"/>
        <v>26</v>
      </c>
      <c r="M33" s="9">
        <f>SQRT(SUMIF(Sales!B:B,A33,Sales!G:G))</f>
        <v>0.85313059319831075</v>
      </c>
      <c r="N33" s="9">
        <f t="shared" si="4"/>
        <v>0.22053519916503106</v>
      </c>
      <c r="O33" s="30">
        <f t="shared" si="5"/>
        <v>11</v>
      </c>
      <c r="P33" s="5">
        <f t="shared" si="6"/>
        <v>0.2585011027892743</v>
      </c>
      <c r="Q33" s="10">
        <f t="shared" si="7"/>
        <v>10</v>
      </c>
      <c r="R33" s="17">
        <f t="shared" si="8"/>
        <v>0.39801009896921591</v>
      </c>
      <c r="S33" s="32">
        <f t="shared" si="9"/>
        <v>4</v>
      </c>
      <c r="T33" s="6">
        <f t="shared" si="10"/>
        <v>230.92768243951818</v>
      </c>
      <c r="U33" s="4">
        <f t="shared" si="11"/>
        <v>21</v>
      </c>
      <c r="V33" s="4"/>
      <c r="X33" s="4"/>
      <c r="Y33" s="4"/>
    </row>
    <row r="34" spans="1:25" x14ac:dyDescent="0.25">
      <c r="A34" s="4">
        <v>31</v>
      </c>
      <c r="B34" s="4" t="s">
        <v>38</v>
      </c>
      <c r="C34" s="4">
        <v>0</v>
      </c>
      <c r="D34" s="4">
        <f t="array" ref="D34">MAX(IF(Sales!B:B=A34,Sales!C:C))</f>
        <v>8</v>
      </c>
      <c r="E34" s="4">
        <f>SUMIF(Sales!B:B,A34,Sales!E:E)</f>
        <v>160</v>
      </c>
      <c r="F34" s="6" t="str">
        <f t="shared" ref="F34:F65" si="12">IF($C34=0," ",COUNTIFS($C:$C,1,E:E,"&gt;"&amp;E34)+1)</f>
        <v xml:space="preserve"> </v>
      </c>
      <c r="G34" s="4">
        <f>SUMIF(Sales!B:B,A34,Sales!D:D)</f>
        <v>16</v>
      </c>
      <c r="H34" s="4" t="str">
        <f t="shared" ref="H34:H65" si="13">IF($C34=0," ",COUNTIFS($C:$C,1,G:G,"&gt;"&amp;G34)+1)</f>
        <v xml:space="preserve"> </v>
      </c>
      <c r="I34" s="4">
        <f>SUMIF(Prizes!B:B,A34,Prizes!D:D)</f>
        <v>1</v>
      </c>
      <c r="J34" s="4" t="str">
        <f t="shared" ref="J34:J65" si="14">IF($C34=0," ",COUNTIFS($C:$C,1,I:I,"&gt;"&amp;I34)+1)</f>
        <v xml:space="preserve"> </v>
      </c>
      <c r="K34" s="5">
        <f>SUMIF(Sales!B:B,A34,Sales!F:F)</f>
        <v>0.68315789473684219</v>
      </c>
      <c r="L34" s="6" t="str">
        <f t="shared" ref="L34:L65" si="15">IF($C34=0," ",COUNTIFS($C:$C,1,K:K,"&gt;"&amp;K34)+1)</f>
        <v xml:space="preserve"> </v>
      </c>
      <c r="M34" s="5">
        <f>SQRT(SUMIF(Sales!B:B,A34,Sales!G:G))</f>
        <v>0.79496113990168826</v>
      </c>
      <c r="N34" s="5">
        <f t="shared" ref="N34:N59" si="16">I34-K34</f>
        <v>0.31684210526315781</v>
      </c>
      <c r="O34" s="6" t="str">
        <f t="shared" ref="O34:O65" si="17">IF($C34=0," ",COUNTIFS($C:$C,1,N:N,"&gt;"&amp;N34)+1)</f>
        <v xml:space="preserve"> </v>
      </c>
      <c r="P34" s="5">
        <f t="shared" ref="P34:P59" si="18">N34/M34</f>
        <v>0.39856301064268529</v>
      </c>
      <c r="Q34" s="4" t="str">
        <f t="shared" ref="Q34:Q65" si="19">IF($C34=0," ",COUNTIFS($C:$C,1,P:P,"&gt;"&amp;P34)+1)</f>
        <v xml:space="preserve"> </v>
      </c>
      <c r="R34" s="17">
        <f t="shared" ref="R34:R59" si="20">IF(I34&gt;K34,1-_xlfn.NORM.DIST(I34,K34,M34,1),_xlfn.NORM.DIST(I34,K34,M34,1))</f>
        <v>0.34510761059987882</v>
      </c>
      <c r="S34" s="32" t="str">
        <f t="shared" ref="S34:S65" si="21">IF($C34=0," ",COUNTIFS($C:$C,1,R:R,"&gt;"&amp;R34)+1)</f>
        <v xml:space="preserve"> </v>
      </c>
      <c r="T34" s="6">
        <f t="shared" ref="T34:T59" si="22">E34/K34</f>
        <v>234.20647149460706</v>
      </c>
      <c r="U34" s="6" t="str">
        <f t="shared" ref="U34:U65" si="23">IF($C34=0," ",COUNTIFS($C:$C,1,T:T,"&lt;"&amp;T34)+1)</f>
        <v xml:space="preserve"> </v>
      </c>
      <c r="V34" s="4"/>
      <c r="X34" s="4"/>
      <c r="Y34" s="4"/>
    </row>
    <row r="35" spans="1:25" x14ac:dyDescent="0.25">
      <c r="A35" s="4">
        <v>8</v>
      </c>
      <c r="B35" s="4" t="s">
        <v>9</v>
      </c>
      <c r="C35" s="4">
        <v>0</v>
      </c>
      <c r="D35" s="4">
        <f t="array" ref="D35">MAX(IF(Sales!B:B=A35,Sales!C:C))</f>
        <v>17</v>
      </c>
      <c r="E35" s="4">
        <f>SUMIF(Sales!B:B,A35,Sales!E:E)</f>
        <v>2060</v>
      </c>
      <c r="F35" s="6" t="str">
        <f t="shared" si="12"/>
        <v xml:space="preserve"> </v>
      </c>
      <c r="G35" s="4">
        <f>SUMIF(Sales!B:B,A35,Sales!D:D)</f>
        <v>189</v>
      </c>
      <c r="H35" s="4" t="str">
        <f t="shared" si="13"/>
        <v xml:space="preserve"> </v>
      </c>
      <c r="I35" s="4">
        <f>SUMIF(Prizes!B:B,A35,Prizes!D:D)</f>
        <v>8</v>
      </c>
      <c r="J35" s="4" t="str">
        <f t="shared" si="14"/>
        <v xml:space="preserve"> </v>
      </c>
      <c r="K35" s="5">
        <f>SUMIF(Sales!B:B,A35,Sales!F:F)</f>
        <v>8.7731840201125806</v>
      </c>
      <c r="L35" s="6" t="str">
        <f t="shared" si="15"/>
        <v xml:space="preserve"> </v>
      </c>
      <c r="M35" s="5">
        <f>SQRT(SUMIF(Sales!B:B,A35,Sales!G:G))</f>
        <v>2.7176050085623271</v>
      </c>
      <c r="N35" s="5">
        <f t="shared" si="16"/>
        <v>-0.77318402011258058</v>
      </c>
      <c r="O35" s="6" t="str">
        <f t="shared" si="17"/>
        <v xml:space="preserve"> </v>
      </c>
      <c r="P35" s="5">
        <f t="shared" si="18"/>
        <v>-0.28450934469009237</v>
      </c>
      <c r="Q35" s="4" t="str">
        <f t="shared" si="19"/>
        <v xml:space="preserve"> </v>
      </c>
      <c r="R35" s="17">
        <f t="shared" si="20"/>
        <v>0.3880100368901796</v>
      </c>
      <c r="S35" s="32" t="str">
        <f t="shared" si="21"/>
        <v xml:space="preserve"> </v>
      </c>
      <c r="T35" s="6">
        <f t="shared" si="22"/>
        <v>234.80642777780983</v>
      </c>
      <c r="U35" s="4" t="str">
        <f t="shared" si="23"/>
        <v xml:space="preserve"> </v>
      </c>
      <c r="V35" s="4"/>
      <c r="X35" s="4"/>
      <c r="Y35" s="4"/>
    </row>
    <row r="36" spans="1:25" x14ac:dyDescent="0.25">
      <c r="A36" s="4">
        <v>29</v>
      </c>
      <c r="B36" s="4" t="s">
        <v>136</v>
      </c>
      <c r="C36" s="4">
        <v>1</v>
      </c>
      <c r="D36" s="4">
        <f t="array" ref="D36">MAX(IF(Sales!B:B=A36,Sales!C:C))</f>
        <v>22</v>
      </c>
      <c r="E36" s="4">
        <f>SUMIF(Sales!B:B,A36,Sales!E:E)</f>
        <v>1100</v>
      </c>
      <c r="F36" s="6">
        <f t="shared" si="12"/>
        <v>5</v>
      </c>
      <c r="G36" s="4">
        <f>SUMIF(Sales!B:B,A36,Sales!D:D)</f>
        <v>111</v>
      </c>
      <c r="H36" s="4">
        <f t="shared" si="13"/>
        <v>4</v>
      </c>
      <c r="I36" s="4">
        <f>SUMIF(Prizes!B:B,A36,Prizes!D:D)</f>
        <v>4</v>
      </c>
      <c r="J36" s="4">
        <f t="shared" si="14"/>
        <v>6</v>
      </c>
      <c r="K36" s="5">
        <f>SUMIF(Sales!B:B,A36,Sales!F:F)</f>
        <v>4.6786525121430946</v>
      </c>
      <c r="L36" s="6">
        <f t="shared" si="15"/>
        <v>6</v>
      </c>
      <c r="M36" s="5">
        <f>SQRT(SUMIF(Sales!B:B,A36,Sales!G:G))</f>
        <v>2.0428746373587989</v>
      </c>
      <c r="N36" s="5">
        <f t="shared" si="16"/>
        <v>-0.67865251214309463</v>
      </c>
      <c r="O36" s="6">
        <f t="shared" si="17"/>
        <v>19</v>
      </c>
      <c r="P36" s="5">
        <f t="shared" si="18"/>
        <v>-0.33220467851150864</v>
      </c>
      <c r="Q36" s="4">
        <f t="shared" si="19"/>
        <v>15</v>
      </c>
      <c r="R36" s="17">
        <f t="shared" si="20"/>
        <v>0.3698673556233083</v>
      </c>
      <c r="S36" s="32">
        <f t="shared" si="21"/>
        <v>7</v>
      </c>
      <c r="T36" s="6">
        <f t="shared" si="22"/>
        <v>235.11042915562373</v>
      </c>
      <c r="U36" s="4">
        <f t="shared" si="23"/>
        <v>22</v>
      </c>
      <c r="V36" s="4"/>
      <c r="X36" s="4"/>
      <c r="Y36" s="4"/>
    </row>
    <row r="37" spans="1:25" x14ac:dyDescent="0.25">
      <c r="A37" s="4">
        <v>10</v>
      </c>
      <c r="B37" s="4" t="s">
        <v>11</v>
      </c>
      <c r="C37" s="4">
        <v>1</v>
      </c>
      <c r="D37" s="4">
        <f t="array" ref="D37">MAX(IF(Sales!B:B=A37,Sales!C:C))</f>
        <v>22</v>
      </c>
      <c r="E37" s="4">
        <f>SUMIF(Sales!B:B,A37,Sales!E:E)</f>
        <v>1900</v>
      </c>
      <c r="F37" s="6">
        <f t="shared" si="12"/>
        <v>1</v>
      </c>
      <c r="G37" s="4">
        <f>SUMIF(Sales!B:B,A37,Sales!D:D)</f>
        <v>180</v>
      </c>
      <c r="H37" s="4">
        <f t="shared" si="13"/>
        <v>1</v>
      </c>
      <c r="I37" s="4">
        <f>SUMIF(Prizes!B:B,A37,Prizes!D:D)</f>
        <v>10</v>
      </c>
      <c r="J37" s="4">
        <f t="shared" si="14"/>
        <v>1</v>
      </c>
      <c r="K37" s="5">
        <f>SUMIF(Sales!B:B,A37,Sales!F:F)</f>
        <v>8.0541199907867593</v>
      </c>
      <c r="L37" s="6">
        <f t="shared" si="15"/>
        <v>1</v>
      </c>
      <c r="M37" s="5">
        <f>SQRT(SUMIF(Sales!B:B,A37,Sales!G:G))</f>
        <v>2.6692304887453653</v>
      </c>
      <c r="N37" s="5">
        <f t="shared" si="16"/>
        <v>1.9458800092132407</v>
      </c>
      <c r="O37" s="6">
        <f t="shared" si="17"/>
        <v>3</v>
      </c>
      <c r="P37" s="5">
        <f t="shared" si="18"/>
        <v>0.72900411463825088</v>
      </c>
      <c r="Q37" s="4">
        <f t="shared" si="19"/>
        <v>4</v>
      </c>
      <c r="R37" s="17">
        <f t="shared" si="20"/>
        <v>0.23299957277905714</v>
      </c>
      <c r="S37" s="32">
        <f t="shared" si="21"/>
        <v>18</v>
      </c>
      <c r="T37" s="6">
        <f t="shared" si="22"/>
        <v>235.9041089744679</v>
      </c>
      <c r="U37" s="4">
        <f t="shared" si="23"/>
        <v>23</v>
      </c>
      <c r="V37" s="4"/>
      <c r="X37" s="4"/>
      <c r="Y37" s="4"/>
    </row>
    <row r="38" spans="1:25" x14ac:dyDescent="0.25">
      <c r="A38" s="4">
        <v>30</v>
      </c>
      <c r="B38" s="4" t="s">
        <v>37</v>
      </c>
      <c r="C38" s="4">
        <v>0</v>
      </c>
      <c r="D38" s="4">
        <f t="array" ref="D38">MAX(IF(Sales!B:B=A38,Sales!C:C))</f>
        <v>5</v>
      </c>
      <c r="E38" s="4">
        <f>SUMIF(Sales!B:B,A38,Sales!E:E)</f>
        <v>50</v>
      </c>
      <c r="F38" s="6" t="str">
        <f t="shared" si="12"/>
        <v xml:space="preserve"> </v>
      </c>
      <c r="G38" s="4">
        <f>SUMIF(Sales!B:B,A38,Sales!D:D)</f>
        <v>5</v>
      </c>
      <c r="H38" s="4" t="str">
        <f t="shared" si="13"/>
        <v xml:space="preserve"> </v>
      </c>
      <c r="I38" s="4">
        <f>SUMIF(Prizes!B:B,A38,Prizes!D:D)</f>
        <v>0</v>
      </c>
      <c r="J38" s="4" t="str">
        <f t="shared" si="14"/>
        <v xml:space="preserve"> </v>
      </c>
      <c r="K38" s="5">
        <f>SUMIF(Sales!B:B,A38,Sales!F:F)</f>
        <v>0.20833333333333331</v>
      </c>
      <c r="L38" s="6" t="str">
        <f t="shared" si="15"/>
        <v xml:space="preserve"> </v>
      </c>
      <c r="M38" s="5">
        <f>SQRT(SUMIF(Sales!B:B,A38,Sales!G:G))</f>
        <v>0.43925136315935126</v>
      </c>
      <c r="N38" s="5">
        <f t="shared" si="16"/>
        <v>-0.20833333333333331</v>
      </c>
      <c r="O38" s="6" t="str">
        <f t="shared" si="17"/>
        <v xml:space="preserve"> </v>
      </c>
      <c r="P38" s="5">
        <f t="shared" si="18"/>
        <v>-0.47429183107111794</v>
      </c>
      <c r="Q38" s="4" t="str">
        <f t="shared" si="19"/>
        <v xml:space="preserve"> </v>
      </c>
      <c r="R38" s="17">
        <f t="shared" si="20"/>
        <v>0.31764590799841352</v>
      </c>
      <c r="S38" s="32" t="str">
        <f t="shared" si="21"/>
        <v xml:space="preserve"> </v>
      </c>
      <c r="T38" s="6">
        <f t="shared" si="22"/>
        <v>240.00000000000003</v>
      </c>
      <c r="U38" s="6" t="str">
        <f t="shared" si="23"/>
        <v xml:space="preserve"> </v>
      </c>
      <c r="V38" s="4"/>
      <c r="X38" s="4"/>
      <c r="Y38" s="4"/>
    </row>
    <row r="39" spans="1:25" x14ac:dyDescent="0.25">
      <c r="A39" s="4">
        <v>32</v>
      </c>
      <c r="B39" s="4" t="s">
        <v>39</v>
      </c>
      <c r="C39" s="4">
        <v>1</v>
      </c>
      <c r="D39" s="4">
        <f t="array" ref="D39">MAX(IF(Sales!B:B=A39,Sales!C:C))</f>
        <v>21</v>
      </c>
      <c r="E39" s="4">
        <f>SUMIF(Sales!B:B,A39,Sales!E:E)</f>
        <v>820</v>
      </c>
      <c r="F39" s="6">
        <f t="shared" si="12"/>
        <v>8</v>
      </c>
      <c r="G39" s="4">
        <f>SUMIF(Sales!B:B,A39,Sales!D:D)</f>
        <v>83</v>
      </c>
      <c r="H39" s="4">
        <f t="shared" si="13"/>
        <v>7</v>
      </c>
      <c r="I39" s="4">
        <f>SUMIF(Prizes!B:B,A39,Prizes!D:D)</f>
        <v>4</v>
      </c>
      <c r="J39" s="4">
        <f t="shared" si="14"/>
        <v>6</v>
      </c>
      <c r="K39" s="5">
        <f>SUMIF(Sales!B:B,A39,Sales!F:F)</f>
        <v>3.4054149521089765</v>
      </c>
      <c r="L39" s="6">
        <f t="shared" si="15"/>
        <v>10</v>
      </c>
      <c r="M39" s="5">
        <f>SQRT(SUMIF(Sales!B:B,A39,Sales!G:G))</f>
        <v>1.7445127563867142</v>
      </c>
      <c r="N39" s="5">
        <f t="shared" si="16"/>
        <v>0.59458504789102351</v>
      </c>
      <c r="O39" s="6">
        <f t="shared" si="17"/>
        <v>8</v>
      </c>
      <c r="P39" s="5">
        <f t="shared" si="18"/>
        <v>0.34083158504529681</v>
      </c>
      <c r="Q39" s="4">
        <f t="shared" si="19"/>
        <v>8</v>
      </c>
      <c r="R39" s="17">
        <f t="shared" si="20"/>
        <v>0.36661518558908524</v>
      </c>
      <c r="S39" s="32">
        <f t="shared" si="21"/>
        <v>9</v>
      </c>
      <c r="T39" s="6">
        <f t="shared" si="22"/>
        <v>240.79297575532559</v>
      </c>
      <c r="U39" s="4">
        <f t="shared" si="23"/>
        <v>24</v>
      </c>
      <c r="V39" s="4"/>
      <c r="X39" s="4"/>
      <c r="Y39" s="4"/>
    </row>
    <row r="40" spans="1:25" x14ac:dyDescent="0.25">
      <c r="A40" s="4">
        <v>2</v>
      </c>
      <c r="B40" s="4" t="s">
        <v>3</v>
      </c>
      <c r="C40" s="4">
        <v>1</v>
      </c>
      <c r="D40" s="4">
        <f t="array" ref="D40">MAX(IF(Sales!B:B=A40,Sales!C:C))</f>
        <v>21</v>
      </c>
      <c r="E40" s="4">
        <f>SUMIF(Sales!B:B,A40,Sales!E:E)</f>
        <v>750</v>
      </c>
      <c r="F40" s="6">
        <f t="shared" si="12"/>
        <v>11</v>
      </c>
      <c r="G40" s="4">
        <f>SUMIF(Sales!B:B,A40,Sales!D:D)</f>
        <v>65</v>
      </c>
      <c r="H40" s="4">
        <f t="shared" si="13"/>
        <v>13</v>
      </c>
      <c r="I40" s="4">
        <f>SUMIF(Prizes!B:B,A40,Prizes!D:D)</f>
        <v>2</v>
      </c>
      <c r="J40" s="4">
        <f t="shared" si="14"/>
        <v>11</v>
      </c>
      <c r="K40" s="5">
        <f>SUMIF(Sales!B:B,A40,Sales!F:F)</f>
        <v>3.0749747879706155</v>
      </c>
      <c r="L40" s="6">
        <f t="shared" si="15"/>
        <v>12</v>
      </c>
      <c r="M40" s="5">
        <f>SQRT(SUMIF(Sales!B:B,A40,Sales!G:G))</f>
        <v>1.6670556241583492</v>
      </c>
      <c r="N40" s="5">
        <f t="shared" si="16"/>
        <v>-1.0749747879706155</v>
      </c>
      <c r="O40" s="6">
        <f t="shared" si="17"/>
        <v>24</v>
      </c>
      <c r="P40" s="5">
        <f t="shared" si="18"/>
        <v>-0.64483438488343237</v>
      </c>
      <c r="Q40" s="4">
        <f t="shared" si="19"/>
        <v>19</v>
      </c>
      <c r="R40" s="17">
        <f t="shared" si="20"/>
        <v>0.25951725827739575</v>
      </c>
      <c r="S40" s="32">
        <f t="shared" si="21"/>
        <v>15</v>
      </c>
      <c r="T40" s="6">
        <f t="shared" si="22"/>
        <v>243.90443880516364</v>
      </c>
      <c r="U40" s="4">
        <f t="shared" si="23"/>
        <v>25</v>
      </c>
      <c r="V40" s="4"/>
      <c r="X40" s="4"/>
      <c r="Y40" s="4"/>
    </row>
    <row r="41" spans="1:25" x14ac:dyDescent="0.25">
      <c r="A41" s="4">
        <v>4</v>
      </c>
      <c r="B41" s="4" t="s">
        <v>5</v>
      </c>
      <c r="C41" s="4">
        <v>0</v>
      </c>
      <c r="D41" s="4">
        <f t="array" ref="D41">MAX(IF(Sales!B:B=A41,Sales!C:C))</f>
        <v>13</v>
      </c>
      <c r="E41" s="4">
        <f>SUMIF(Sales!B:B,A41,Sales!E:E)</f>
        <v>580</v>
      </c>
      <c r="F41" s="6" t="str">
        <f t="shared" si="12"/>
        <v xml:space="preserve"> </v>
      </c>
      <c r="G41" s="4">
        <f>SUMIF(Sales!B:B,A41,Sales!D:D)</f>
        <v>55</v>
      </c>
      <c r="H41" s="4" t="str">
        <f t="shared" si="13"/>
        <v xml:space="preserve"> </v>
      </c>
      <c r="I41" s="4">
        <f>SUMIF(Prizes!B:B,A41,Prizes!D:D)</f>
        <v>3</v>
      </c>
      <c r="J41" s="4" t="str">
        <f t="shared" si="14"/>
        <v xml:space="preserve"> </v>
      </c>
      <c r="K41" s="5">
        <f>SUMIF(Sales!B:B,A41,Sales!F:F)</f>
        <v>2.3740803347134869</v>
      </c>
      <c r="L41" s="6" t="str">
        <f t="shared" si="15"/>
        <v xml:space="preserve"> </v>
      </c>
      <c r="M41" s="5">
        <f>SQRT(SUMIF(Sales!B:B,A41,Sales!G:G))</f>
        <v>1.4608189121183603</v>
      </c>
      <c r="N41" s="5">
        <f t="shared" si="16"/>
        <v>0.6259196652865131</v>
      </c>
      <c r="O41" s="6" t="str">
        <f t="shared" si="17"/>
        <v xml:space="preserve"> </v>
      </c>
      <c r="P41" s="5">
        <f t="shared" si="18"/>
        <v>0.42847177024759042</v>
      </c>
      <c r="Q41" s="4" t="str">
        <f t="shared" si="19"/>
        <v xml:space="preserve"> </v>
      </c>
      <c r="R41" s="17">
        <f t="shared" si="20"/>
        <v>0.33415384099578926</v>
      </c>
      <c r="S41" s="32" t="str">
        <f t="shared" si="21"/>
        <v xml:space="preserve"> </v>
      </c>
      <c r="T41" s="6">
        <f t="shared" si="22"/>
        <v>244.30512797706007</v>
      </c>
      <c r="U41" s="4" t="str">
        <f t="shared" si="23"/>
        <v xml:space="preserve"> </v>
      </c>
      <c r="V41" s="4"/>
      <c r="X41" s="4"/>
      <c r="Y41" s="4"/>
    </row>
    <row r="42" spans="1:25" x14ac:dyDescent="0.25">
      <c r="A42" s="4">
        <v>12</v>
      </c>
      <c r="B42" s="4" t="s">
        <v>13</v>
      </c>
      <c r="C42" s="4">
        <v>0</v>
      </c>
      <c r="D42" s="4">
        <f t="array" ref="D42">MAX(IF(Sales!B:B=A42,Sales!C:C))</f>
        <v>9</v>
      </c>
      <c r="E42" s="4">
        <f>SUMIF(Sales!B:B,A42,Sales!E:E)</f>
        <v>530</v>
      </c>
      <c r="F42" s="6" t="str">
        <f t="shared" si="12"/>
        <v xml:space="preserve"> </v>
      </c>
      <c r="G42" s="4">
        <f>SUMIF(Sales!B:B,A42,Sales!D:D)</f>
        <v>48</v>
      </c>
      <c r="H42" s="4" t="str">
        <f t="shared" si="13"/>
        <v xml:space="preserve"> </v>
      </c>
      <c r="I42" s="4">
        <f>SUMIF(Prizes!B:B,A42,Prizes!D:D)</f>
        <v>3</v>
      </c>
      <c r="J42" s="4" t="str">
        <f t="shared" si="14"/>
        <v xml:space="preserve"> </v>
      </c>
      <c r="K42" s="5">
        <f>SUMIF(Sales!B:B,A42,Sales!F:F)</f>
        <v>2.1645166106756251</v>
      </c>
      <c r="L42" s="6" t="str">
        <f t="shared" si="15"/>
        <v xml:space="preserve"> </v>
      </c>
      <c r="M42" s="5">
        <f>SQRT(SUMIF(Sales!B:B,A42,Sales!G:G))</f>
        <v>1.3966272062273601</v>
      </c>
      <c r="N42" s="5">
        <f t="shared" si="16"/>
        <v>0.83548338932437494</v>
      </c>
      <c r="O42" s="6" t="str">
        <f t="shared" si="17"/>
        <v xml:space="preserve"> </v>
      </c>
      <c r="P42" s="5">
        <f t="shared" si="18"/>
        <v>0.59821503232865181</v>
      </c>
      <c r="Q42" s="4" t="str">
        <f t="shared" si="19"/>
        <v xml:space="preserve"> </v>
      </c>
      <c r="R42" s="17">
        <f t="shared" si="20"/>
        <v>0.27484823119819857</v>
      </c>
      <c r="S42" s="32" t="str">
        <f t="shared" si="21"/>
        <v xml:space="preserve"> </v>
      </c>
      <c r="T42" s="6">
        <f t="shared" si="22"/>
        <v>244.85836578291148</v>
      </c>
      <c r="U42" s="4" t="str">
        <f t="shared" si="23"/>
        <v xml:space="preserve"> </v>
      </c>
      <c r="V42" s="4"/>
      <c r="X42" s="4"/>
      <c r="Y42" s="4"/>
    </row>
    <row r="43" spans="1:25" x14ac:dyDescent="0.25">
      <c r="A43" s="4">
        <v>5</v>
      </c>
      <c r="B43" s="4" t="s">
        <v>6</v>
      </c>
      <c r="C43" s="4">
        <v>0</v>
      </c>
      <c r="D43" s="4">
        <f t="array" ref="D43">MAX(IF(Sales!B:B=A43,Sales!C:C))</f>
        <v>16</v>
      </c>
      <c r="E43" s="4">
        <f>SUMIF(Sales!B:B,A43,Sales!E:E)</f>
        <v>790</v>
      </c>
      <c r="F43" s="6" t="str">
        <f t="shared" si="12"/>
        <v xml:space="preserve"> </v>
      </c>
      <c r="G43" s="4">
        <f>SUMIF(Sales!B:B,A43,Sales!D:D)</f>
        <v>69</v>
      </c>
      <c r="H43" s="4" t="str">
        <f t="shared" si="13"/>
        <v xml:space="preserve"> </v>
      </c>
      <c r="I43" s="4">
        <f>SUMIF(Prizes!B:B,A43,Prizes!D:D)</f>
        <v>5</v>
      </c>
      <c r="J43" s="4" t="str">
        <f t="shared" si="14"/>
        <v xml:space="preserve"> </v>
      </c>
      <c r="K43" s="5">
        <f>SUMIF(Sales!B:B,A43,Sales!F:F)</f>
        <v>3.2250613603274099</v>
      </c>
      <c r="L43" s="6" t="str">
        <f t="shared" si="15"/>
        <v xml:space="preserve"> </v>
      </c>
      <c r="M43" s="5">
        <f>SQRT(SUMIF(Sales!B:B,A43,Sales!G:G))</f>
        <v>1.6993617556865768</v>
      </c>
      <c r="N43" s="5">
        <f t="shared" si="16"/>
        <v>1.7749386396725901</v>
      </c>
      <c r="O43" s="6" t="str">
        <f t="shared" si="17"/>
        <v xml:space="preserve"> </v>
      </c>
      <c r="P43" s="5">
        <f t="shared" si="18"/>
        <v>1.0444736876848677</v>
      </c>
      <c r="Q43" s="4" t="str">
        <f t="shared" si="19"/>
        <v xml:space="preserve"> </v>
      </c>
      <c r="R43" s="17">
        <f t="shared" si="20"/>
        <v>0.1481331433566947</v>
      </c>
      <c r="S43" s="32" t="str">
        <f t="shared" si="21"/>
        <v xml:space="preserve"> </v>
      </c>
      <c r="T43" s="6">
        <f t="shared" si="22"/>
        <v>244.95657965397558</v>
      </c>
      <c r="U43" s="4" t="str">
        <f t="shared" si="23"/>
        <v xml:space="preserve"> </v>
      </c>
      <c r="V43" s="4"/>
      <c r="X43" s="4"/>
      <c r="Y43" s="4"/>
    </row>
    <row r="44" spans="1:25" x14ac:dyDescent="0.25">
      <c r="A44" s="4">
        <v>17</v>
      </c>
      <c r="B44" s="4" t="s">
        <v>24</v>
      </c>
      <c r="C44" s="4">
        <v>1</v>
      </c>
      <c r="D44" s="4">
        <f t="array" ref="D44">MAX(IF(Sales!B:B=A44,Sales!C:C))</f>
        <v>21</v>
      </c>
      <c r="E44" s="4">
        <f>SUMIF(Sales!B:B,A44,Sales!E:E)</f>
        <v>340</v>
      </c>
      <c r="F44" s="6">
        <f t="shared" si="12"/>
        <v>21</v>
      </c>
      <c r="G44" s="4">
        <f>SUMIF(Sales!B:B,A44,Sales!D:D)</f>
        <v>32</v>
      </c>
      <c r="H44" s="4">
        <f t="shared" si="13"/>
        <v>20</v>
      </c>
      <c r="I44" s="4">
        <f>SUMIF(Prizes!B:B,A44,Prizes!D:D)</f>
        <v>1</v>
      </c>
      <c r="J44" s="4">
        <f t="shared" si="14"/>
        <v>19</v>
      </c>
      <c r="K44" s="5">
        <f>SUMIF(Sales!B:B,A44,Sales!F:F)</f>
        <v>1.3786580188649971</v>
      </c>
      <c r="L44" s="6">
        <f t="shared" si="15"/>
        <v>22</v>
      </c>
      <c r="M44" s="5">
        <f>SQRT(SUMIF(Sales!B:B,A44,Sales!G:G))</f>
        <v>1.1321394309179194</v>
      </c>
      <c r="N44" s="5">
        <f t="shared" si="16"/>
        <v>-0.37865801886499706</v>
      </c>
      <c r="O44" s="6">
        <f t="shared" si="17"/>
        <v>15</v>
      </c>
      <c r="P44" s="5">
        <f t="shared" si="18"/>
        <v>-0.33446235377385236</v>
      </c>
      <c r="Q44" s="4">
        <f t="shared" si="19"/>
        <v>16</v>
      </c>
      <c r="R44" s="17">
        <f t="shared" si="20"/>
        <v>0.36901534705848416</v>
      </c>
      <c r="S44" s="32">
        <f t="shared" si="21"/>
        <v>8</v>
      </c>
      <c r="T44" s="6">
        <f t="shared" si="22"/>
        <v>246.61663396402727</v>
      </c>
      <c r="U44" s="4">
        <f t="shared" si="23"/>
        <v>26</v>
      </c>
      <c r="V44" s="4"/>
      <c r="X44" s="4"/>
      <c r="Y44" s="4"/>
    </row>
    <row r="45" spans="1:25" x14ac:dyDescent="0.25">
      <c r="A45" s="4">
        <v>49</v>
      </c>
      <c r="B45" s="4" t="s">
        <v>104</v>
      </c>
      <c r="C45" s="4">
        <v>0</v>
      </c>
      <c r="D45" s="4">
        <f t="array" ref="D45">MAX(IF(Sales!B:B=A45,Sales!C:C))</f>
        <v>17</v>
      </c>
      <c r="E45" s="28">
        <f>SUMIF(Sales!B:B,A45,Sales!E:E)</f>
        <v>10</v>
      </c>
      <c r="F45" s="31" t="str">
        <f t="shared" si="12"/>
        <v xml:space="preserve"> </v>
      </c>
      <c r="G45" s="28">
        <f>SUMIF(Sales!B:B,A45,Sales!D:D)</f>
        <v>1</v>
      </c>
      <c r="H45" s="28" t="str">
        <f t="shared" si="13"/>
        <v xml:space="preserve"> </v>
      </c>
      <c r="I45" s="28">
        <f>SUMIF(Prizes!B:B,A45,Prizes!D:D)</f>
        <v>0</v>
      </c>
      <c r="J45" s="28" t="str">
        <f t="shared" si="14"/>
        <v xml:space="preserve"> </v>
      </c>
      <c r="K45" s="29">
        <f>SUMIF(Sales!B:B,A45,Sales!F:F)</f>
        <v>4.046242774566474E-2</v>
      </c>
      <c r="L45" s="31" t="str">
        <f t="shared" si="15"/>
        <v xml:space="preserve"> </v>
      </c>
      <c r="M45" s="29">
        <f>SQRT(SUMIF(Sales!B:B,A45,Sales!G:G))</f>
        <v>0.19704116241687067</v>
      </c>
      <c r="N45" s="29">
        <f t="shared" si="16"/>
        <v>-4.046242774566474E-2</v>
      </c>
      <c r="O45" s="31" t="str">
        <f t="shared" si="17"/>
        <v xml:space="preserve"> </v>
      </c>
      <c r="P45" s="5">
        <f t="shared" si="18"/>
        <v>-0.20535012709710013</v>
      </c>
      <c r="Q45" s="10" t="str">
        <f t="shared" si="19"/>
        <v xml:space="preserve"> </v>
      </c>
      <c r="R45" s="17">
        <f t="shared" si="20"/>
        <v>0.41864929133648948</v>
      </c>
      <c r="S45" s="32" t="str">
        <f t="shared" si="21"/>
        <v xml:space="preserve"> </v>
      </c>
      <c r="T45" s="6">
        <f t="shared" si="22"/>
        <v>247.14285714285714</v>
      </c>
      <c r="U45" s="10" t="str">
        <f t="shared" si="23"/>
        <v xml:space="preserve"> </v>
      </c>
      <c r="V45" s="4"/>
      <c r="X45" s="4"/>
      <c r="Y45" s="4"/>
    </row>
    <row r="46" spans="1:25" x14ac:dyDescent="0.25">
      <c r="A46" s="4">
        <v>16</v>
      </c>
      <c r="B46" s="4" t="s">
        <v>23</v>
      </c>
      <c r="C46" s="4">
        <v>1</v>
      </c>
      <c r="D46" s="4">
        <f t="array" ref="D46">MAX(IF(Sales!B:B=A46,Sales!C:C))</f>
        <v>21</v>
      </c>
      <c r="E46" s="4">
        <f>SUMIF(Sales!B:B,A46,Sales!E:E)</f>
        <v>220</v>
      </c>
      <c r="F46" s="6">
        <f t="shared" si="12"/>
        <v>25</v>
      </c>
      <c r="G46" s="4">
        <f>SUMIF(Sales!B:B,A46,Sales!D:D)</f>
        <v>19</v>
      </c>
      <c r="H46" s="4">
        <f t="shared" si="13"/>
        <v>25</v>
      </c>
      <c r="I46" s="4">
        <f>SUMIF(Prizes!B:B,A46,Prizes!D:D)</f>
        <v>0</v>
      </c>
      <c r="J46" s="4">
        <f t="shared" si="14"/>
        <v>24</v>
      </c>
      <c r="K46" s="5">
        <f>SUMIF(Sales!B:B,A46,Sales!F:F)</f>
        <v>0.88919799389614118</v>
      </c>
      <c r="L46" s="6">
        <f t="shared" si="15"/>
        <v>25</v>
      </c>
      <c r="M46" s="5">
        <f>SQRT(SUMIF(Sales!B:B,A46,Sales!G:G))</f>
        <v>0.90983539619619269</v>
      </c>
      <c r="N46" s="5">
        <f t="shared" si="16"/>
        <v>-0.88919799389614118</v>
      </c>
      <c r="O46" s="6">
        <f t="shared" si="17"/>
        <v>23</v>
      </c>
      <c r="P46" s="5">
        <f t="shared" si="18"/>
        <v>-0.97731743303642438</v>
      </c>
      <c r="Q46" s="4">
        <f t="shared" si="19"/>
        <v>27</v>
      </c>
      <c r="R46" s="17">
        <f t="shared" si="20"/>
        <v>0.16420601256102682</v>
      </c>
      <c r="S46" s="32">
        <f t="shared" si="21"/>
        <v>24</v>
      </c>
      <c r="T46" s="6">
        <f t="shared" si="22"/>
        <v>247.41396349314766</v>
      </c>
      <c r="U46" s="4">
        <f t="shared" si="23"/>
        <v>27</v>
      </c>
      <c r="V46" s="4"/>
      <c r="X46" s="4"/>
      <c r="Y46" s="4"/>
    </row>
    <row r="47" spans="1:25" x14ac:dyDescent="0.25">
      <c r="A47" s="4">
        <v>51</v>
      </c>
      <c r="B47" s="4" t="s">
        <v>129</v>
      </c>
      <c r="C47" s="4">
        <v>1</v>
      </c>
      <c r="D47" s="28">
        <f t="array" ref="D47">MAX(IF(Sales!B:B=A47,Sales!C:C))</f>
        <v>22</v>
      </c>
      <c r="E47" s="28">
        <f>SUMIF(Sales!B:B,A47,Sales!E:E)</f>
        <v>170</v>
      </c>
      <c r="F47" s="31">
        <f t="shared" si="12"/>
        <v>27</v>
      </c>
      <c r="G47" s="28">
        <f>SUMIF(Sales!B:B,A47,Sales!D:D)</f>
        <v>17</v>
      </c>
      <c r="H47" s="28">
        <f t="shared" si="13"/>
        <v>27</v>
      </c>
      <c r="I47" s="28">
        <f>SUMIF(Prizes!B:B,A47,Prizes!D:D)</f>
        <v>0</v>
      </c>
      <c r="J47" s="28">
        <f t="shared" si="14"/>
        <v>24</v>
      </c>
      <c r="K47" s="29">
        <f>SUMIF(Sales!B:B,A47,Sales!F:F)</f>
        <v>0.68572660008786301</v>
      </c>
      <c r="L47" s="31">
        <f t="shared" si="15"/>
        <v>28</v>
      </c>
      <c r="M47" s="29">
        <f>SQRT(SUMIF(Sales!B:B,A47,Sales!G:G))</f>
        <v>0.80007672906497651</v>
      </c>
      <c r="N47" s="29">
        <f t="shared" si="16"/>
        <v>-0.68572660008786301</v>
      </c>
      <c r="O47" s="31">
        <f t="shared" si="17"/>
        <v>20</v>
      </c>
      <c r="P47" s="29">
        <f t="shared" si="18"/>
        <v>-0.85707604680522231</v>
      </c>
      <c r="Q47" s="10">
        <f t="shared" si="19"/>
        <v>24</v>
      </c>
      <c r="R47" s="17">
        <f t="shared" si="20"/>
        <v>0.19570142905695206</v>
      </c>
      <c r="S47" s="77">
        <f t="shared" si="21"/>
        <v>21</v>
      </c>
      <c r="T47" s="6">
        <f t="shared" si="22"/>
        <v>247.9122145447146</v>
      </c>
      <c r="U47" s="10">
        <f t="shared" si="23"/>
        <v>28</v>
      </c>
      <c r="X47" s="4"/>
      <c r="Y47" s="4"/>
    </row>
    <row r="48" spans="1:25" x14ac:dyDescent="0.25">
      <c r="A48" s="4">
        <v>24</v>
      </c>
      <c r="B48" s="4" t="s">
        <v>31</v>
      </c>
      <c r="C48" s="4">
        <v>1</v>
      </c>
      <c r="D48" s="4">
        <f t="array" ref="D48">MAX(IF(Sales!B:B=A48,Sales!C:C))</f>
        <v>19</v>
      </c>
      <c r="E48" s="4">
        <f>SUMIF(Sales!B:B,A48,Sales!E:E)</f>
        <v>850</v>
      </c>
      <c r="F48" s="6">
        <f t="shared" si="12"/>
        <v>7</v>
      </c>
      <c r="G48" s="4">
        <f>SUMIF(Sales!B:B,A48,Sales!D:D)</f>
        <v>81</v>
      </c>
      <c r="H48" s="4">
        <f t="shared" si="13"/>
        <v>8</v>
      </c>
      <c r="I48" s="4">
        <f>SUMIF(Prizes!B:B,A48,Prizes!D:D)</f>
        <v>1</v>
      </c>
      <c r="J48" s="4">
        <f t="shared" si="14"/>
        <v>19</v>
      </c>
      <c r="K48" s="5">
        <f>SUMIF(Sales!B:B,A48,Sales!F:F)</f>
        <v>3.4203082743728253</v>
      </c>
      <c r="L48" s="6">
        <f t="shared" si="15"/>
        <v>9</v>
      </c>
      <c r="M48" s="5">
        <f>SQRT(SUMIF(Sales!B:B,A48,Sales!G:G))</f>
        <v>1.7553836370630092</v>
      </c>
      <c r="N48" s="5">
        <f t="shared" si="16"/>
        <v>-2.4203082743728253</v>
      </c>
      <c r="O48" s="6">
        <f t="shared" si="17"/>
        <v>30</v>
      </c>
      <c r="P48" s="5">
        <f t="shared" si="18"/>
        <v>-1.3787916346436517</v>
      </c>
      <c r="Q48" s="4">
        <f t="shared" si="19"/>
        <v>31</v>
      </c>
      <c r="R48" s="17">
        <f t="shared" si="20"/>
        <v>8.3979503335431097E-2</v>
      </c>
      <c r="S48" s="32">
        <f t="shared" si="21"/>
        <v>28</v>
      </c>
      <c r="T48" s="6">
        <f t="shared" si="22"/>
        <v>248.51561082044944</v>
      </c>
      <c r="U48" s="4">
        <f t="shared" si="23"/>
        <v>29</v>
      </c>
      <c r="X48" s="4"/>
      <c r="Y48" s="4"/>
    </row>
    <row r="49" spans="1:25" x14ac:dyDescent="0.25">
      <c r="A49" s="4">
        <v>54</v>
      </c>
      <c r="B49" s="4" t="s">
        <v>140</v>
      </c>
      <c r="C49" s="4">
        <v>1</v>
      </c>
      <c r="D49" s="28">
        <f t="array" ref="D49">MAX(IF(Sales!B:B=A49,Sales!C:C))</f>
        <v>22</v>
      </c>
      <c r="E49" s="28">
        <f>SUMIF(Sales!B:B,A49,Sales!E:E)</f>
        <v>100</v>
      </c>
      <c r="F49" s="31">
        <f t="shared" si="12"/>
        <v>30</v>
      </c>
      <c r="G49" s="28">
        <f>SUMIF(Sales!B:B,A49,Sales!D:D)</f>
        <v>10</v>
      </c>
      <c r="H49" s="28">
        <f t="shared" si="13"/>
        <v>30</v>
      </c>
      <c r="I49" s="28">
        <f>SUMIF(Prizes!B:B,A49,Prizes!D:D)</f>
        <v>0</v>
      </c>
      <c r="J49" s="28">
        <f t="shared" si="14"/>
        <v>24</v>
      </c>
      <c r="K49" s="29">
        <f>SUMIF(Sales!B:B,A49,Sales!F:F)</f>
        <v>0.38966480446927376</v>
      </c>
      <c r="L49" s="31">
        <f t="shared" si="15"/>
        <v>30</v>
      </c>
      <c r="M49" s="29">
        <f>SQRT(SUMIF(Sales!B:B,A49,Sales!G:G))</f>
        <v>0.601855043438283</v>
      </c>
      <c r="N49" s="29">
        <f t="shared" si="16"/>
        <v>-0.38966480446927376</v>
      </c>
      <c r="O49" s="31">
        <f t="shared" si="17"/>
        <v>17</v>
      </c>
      <c r="P49" s="29">
        <f t="shared" si="18"/>
        <v>-0.64743962639773378</v>
      </c>
      <c r="Q49" s="10">
        <f t="shared" si="19"/>
        <v>20</v>
      </c>
      <c r="R49" s="17">
        <f t="shared" si="20"/>
        <v>0.25867372829317148</v>
      </c>
      <c r="S49" s="77">
        <f t="shared" si="21"/>
        <v>16</v>
      </c>
      <c r="T49" s="6">
        <f t="shared" si="22"/>
        <v>256.63082437275983</v>
      </c>
      <c r="U49" s="10">
        <f t="shared" si="23"/>
        <v>30</v>
      </c>
      <c r="X49" s="4"/>
      <c r="Y49" s="4"/>
    </row>
    <row r="50" spans="1:25" x14ac:dyDescent="0.25">
      <c r="A50" s="4">
        <v>48</v>
      </c>
      <c r="B50" s="4" t="s">
        <v>103</v>
      </c>
      <c r="C50" s="4">
        <v>1</v>
      </c>
      <c r="D50" s="4">
        <f t="array" ref="D50">MAX(IF(Sales!B:B=A50,Sales!C:C))</f>
        <v>22</v>
      </c>
      <c r="E50" s="28">
        <f>SUMIF(Sales!B:B,A50,Sales!E:E)</f>
        <v>240</v>
      </c>
      <c r="F50" s="31">
        <f t="shared" si="12"/>
        <v>24</v>
      </c>
      <c r="G50" s="28">
        <f>SUMIF(Sales!B:B,A50,Sales!D:D)</f>
        <v>24</v>
      </c>
      <c r="H50" s="28">
        <f t="shared" si="13"/>
        <v>24</v>
      </c>
      <c r="I50" s="28">
        <f>SUMIF(Prizes!B:B,A50,Prizes!D:D)</f>
        <v>3</v>
      </c>
      <c r="J50" s="28">
        <f t="shared" si="14"/>
        <v>10</v>
      </c>
      <c r="K50" s="29">
        <f>SUMIF(Sales!B:B,A50,Sales!F:F)</f>
        <v>0.9288730060179704</v>
      </c>
      <c r="L50" s="31">
        <f t="shared" si="15"/>
        <v>24</v>
      </c>
      <c r="M50" s="29">
        <f>SQRT(SUMIF(Sales!B:B,A50,Sales!G:G))</f>
        <v>0.92588131822066155</v>
      </c>
      <c r="N50" s="29">
        <f t="shared" si="16"/>
        <v>2.0711269939820296</v>
      </c>
      <c r="O50" s="31">
        <f t="shared" si="17"/>
        <v>2</v>
      </c>
      <c r="P50" s="5">
        <f t="shared" si="18"/>
        <v>2.2369249203151393</v>
      </c>
      <c r="Q50" s="10">
        <f t="shared" si="19"/>
        <v>2</v>
      </c>
      <c r="R50" s="17">
        <f t="shared" si="20"/>
        <v>1.2645623753735458E-2</v>
      </c>
      <c r="S50" s="32">
        <f t="shared" si="21"/>
        <v>31</v>
      </c>
      <c r="T50" s="6">
        <f t="shared" si="22"/>
        <v>258.37762368492906</v>
      </c>
      <c r="U50" s="10">
        <f t="shared" si="23"/>
        <v>31</v>
      </c>
      <c r="X50" s="4"/>
      <c r="Y50" s="4"/>
    </row>
    <row r="51" spans="1:25" x14ac:dyDescent="0.25">
      <c r="A51" s="4">
        <v>7</v>
      </c>
      <c r="B51" s="4" t="s">
        <v>8</v>
      </c>
      <c r="C51" s="4">
        <v>0</v>
      </c>
      <c r="D51" s="4">
        <f t="array" ref="D51">MAX(IF(Sales!B:B=A51,Sales!C:C))</f>
        <v>14</v>
      </c>
      <c r="E51" s="4">
        <f>SUMIF(Sales!B:B,A51,Sales!E:E)</f>
        <v>800</v>
      </c>
      <c r="F51" s="6" t="str">
        <f t="shared" si="12"/>
        <v xml:space="preserve"> </v>
      </c>
      <c r="G51" s="4">
        <f>SUMIF(Sales!B:B,A51,Sales!D:D)</f>
        <v>75</v>
      </c>
      <c r="H51" s="4" t="str">
        <f t="shared" si="13"/>
        <v xml:space="preserve"> </v>
      </c>
      <c r="I51" s="4">
        <f>SUMIF(Prizes!B:B,A51,Prizes!D:D)</f>
        <v>4</v>
      </c>
      <c r="J51" s="4" t="str">
        <f t="shared" si="14"/>
        <v xml:space="preserve"> </v>
      </c>
      <c r="K51" s="5">
        <f>SUMIF(Sales!B:B,A51,Sales!F:F)</f>
        <v>3.0883035773743104</v>
      </c>
      <c r="L51" s="6" t="str">
        <f t="shared" si="15"/>
        <v xml:space="preserve"> </v>
      </c>
      <c r="M51" s="5">
        <f>SQRT(SUMIF(Sales!B:B,A51,Sales!G:G))</f>
        <v>1.645289709282524</v>
      </c>
      <c r="N51" s="5">
        <f t="shared" si="16"/>
        <v>0.91169642262568962</v>
      </c>
      <c r="O51" s="6" t="str">
        <f t="shared" si="17"/>
        <v xml:space="preserve"> </v>
      </c>
      <c r="P51" s="5">
        <f t="shared" si="18"/>
        <v>0.55412515952783847</v>
      </c>
      <c r="Q51" s="4" t="str">
        <f t="shared" si="19"/>
        <v xml:space="preserve"> </v>
      </c>
      <c r="R51" s="17">
        <f t="shared" si="20"/>
        <v>0.28974659632997213</v>
      </c>
      <c r="S51" s="32" t="str">
        <f t="shared" si="21"/>
        <v xml:space="preserve"> </v>
      </c>
      <c r="T51" s="6">
        <f t="shared" si="22"/>
        <v>259.04189143224175</v>
      </c>
      <c r="U51" s="4" t="str">
        <f t="shared" si="23"/>
        <v xml:space="preserve"> </v>
      </c>
      <c r="X51" s="4"/>
      <c r="Y51" s="4"/>
    </row>
    <row r="52" spans="1:25" x14ac:dyDescent="0.25">
      <c r="A52" s="4">
        <v>23</v>
      </c>
      <c r="B52" s="4" t="s">
        <v>30</v>
      </c>
      <c r="C52" s="4">
        <v>0</v>
      </c>
      <c r="D52" s="4">
        <f t="array" ref="D52">MAX(IF(Sales!B:B=A52,Sales!C:C))</f>
        <v>12</v>
      </c>
      <c r="E52" s="4">
        <f>SUMIF(Sales!B:B,A52,Sales!E:E)</f>
        <v>800</v>
      </c>
      <c r="F52" s="6" t="str">
        <f t="shared" si="12"/>
        <v xml:space="preserve"> </v>
      </c>
      <c r="G52" s="4">
        <f>SUMIF(Sales!B:B,A52,Sales!D:D)</f>
        <v>75</v>
      </c>
      <c r="H52" s="4" t="str">
        <f t="shared" si="13"/>
        <v xml:space="preserve"> </v>
      </c>
      <c r="I52" s="4">
        <f>SUMIF(Prizes!B:B,A52,Prizes!D:D)</f>
        <v>4</v>
      </c>
      <c r="J52" s="4" t="str">
        <f t="shared" si="14"/>
        <v xml:space="preserve"> </v>
      </c>
      <c r="K52" s="5">
        <f>SUMIF(Sales!B:B,A52,Sales!F:F)</f>
        <v>2.9991021425331783</v>
      </c>
      <c r="L52" s="6" t="str">
        <f t="shared" si="15"/>
        <v xml:space="preserve"> </v>
      </c>
      <c r="M52" s="5">
        <f>SQRT(SUMIF(Sales!B:B,A52,Sales!G:G))</f>
        <v>1.640793642686911</v>
      </c>
      <c r="N52" s="5">
        <f t="shared" si="16"/>
        <v>1.0008978574668217</v>
      </c>
      <c r="O52" s="6" t="str">
        <f t="shared" si="17"/>
        <v xml:space="preserve"> </v>
      </c>
      <c r="P52" s="5">
        <f t="shared" si="18"/>
        <v>0.61000837120979057</v>
      </c>
      <c r="Q52" s="4" t="str">
        <f t="shared" si="19"/>
        <v xml:space="preserve"> </v>
      </c>
      <c r="R52" s="17">
        <f t="shared" si="20"/>
        <v>0.27092813112251135</v>
      </c>
      <c r="S52" s="32" t="str">
        <f t="shared" si="21"/>
        <v xml:space="preserve"> </v>
      </c>
      <c r="T52" s="6">
        <f t="shared" si="22"/>
        <v>266.74650011229147</v>
      </c>
      <c r="U52" s="4" t="str">
        <f t="shared" si="23"/>
        <v xml:space="preserve"> </v>
      </c>
    </row>
    <row r="53" spans="1:25" x14ac:dyDescent="0.25">
      <c r="A53" s="4">
        <v>19</v>
      </c>
      <c r="B53" s="4" t="s">
        <v>26</v>
      </c>
      <c r="C53" s="4">
        <v>0</v>
      </c>
      <c r="D53" s="4">
        <f t="array" ref="D53">MAX(IF(Sales!B:B=A53,Sales!C:C))</f>
        <v>12</v>
      </c>
      <c r="E53" s="4">
        <f>SUMIF(Sales!B:B,A53,Sales!E:E)</f>
        <v>1570</v>
      </c>
      <c r="F53" s="6" t="str">
        <f t="shared" si="12"/>
        <v xml:space="preserve"> </v>
      </c>
      <c r="G53" s="4">
        <f>SUMIF(Sales!B:B,A53,Sales!D:D)</f>
        <v>147</v>
      </c>
      <c r="H53" s="4" t="str">
        <f t="shared" si="13"/>
        <v xml:space="preserve"> </v>
      </c>
      <c r="I53" s="4">
        <f>SUMIF(Prizes!B:B,A53,Prizes!D:D)</f>
        <v>4</v>
      </c>
      <c r="J53" s="4" t="str">
        <f t="shared" si="14"/>
        <v xml:space="preserve"> </v>
      </c>
      <c r="K53" s="5">
        <f>SUMIF(Sales!B:B,A53,Sales!F:F)</f>
        <v>5.3872370398255942</v>
      </c>
      <c r="L53" s="6" t="str">
        <f t="shared" si="15"/>
        <v xml:space="preserve"> </v>
      </c>
      <c r="M53" s="5">
        <f>SQRT(SUMIF(Sales!B:B,A53,Sales!G:G))</f>
        <v>2.1480307909963821</v>
      </c>
      <c r="N53" s="5">
        <f t="shared" si="16"/>
        <v>-1.3872370398255942</v>
      </c>
      <c r="O53" s="6" t="str">
        <f t="shared" si="17"/>
        <v xml:space="preserve"> </v>
      </c>
      <c r="P53" s="5">
        <f t="shared" si="18"/>
        <v>-0.6458180421064228</v>
      </c>
      <c r="Q53" s="4" t="str">
        <f t="shared" si="19"/>
        <v xml:space="preserve"> </v>
      </c>
      <c r="R53" s="17">
        <f t="shared" si="20"/>
        <v>0.25919860106105741</v>
      </c>
      <c r="S53" s="32" t="str">
        <f t="shared" si="21"/>
        <v xml:space="preserve"> </v>
      </c>
      <c r="T53" s="6">
        <f t="shared" si="22"/>
        <v>291.4295377006145</v>
      </c>
      <c r="U53" s="6" t="str">
        <f t="shared" si="23"/>
        <v xml:space="preserve"> </v>
      </c>
    </row>
    <row r="54" spans="1:25" x14ac:dyDescent="0.25">
      <c r="A54" s="4">
        <v>52</v>
      </c>
      <c r="B54" s="4" t="s">
        <v>130</v>
      </c>
      <c r="C54" s="4">
        <v>1</v>
      </c>
      <c r="D54" s="28">
        <f t="array" ref="D54">MAX(IF(Sales!B:B=A54,Sales!C:C))</f>
        <v>21</v>
      </c>
      <c r="E54" s="28">
        <f>SUMIF(Sales!B:B,A54,Sales!E:E)</f>
        <v>550</v>
      </c>
      <c r="F54" s="31">
        <f t="shared" si="12"/>
        <v>15</v>
      </c>
      <c r="G54" s="28">
        <f>SUMIF(Sales!B:B,A54,Sales!D:D)</f>
        <v>55</v>
      </c>
      <c r="H54" s="28">
        <f t="shared" si="13"/>
        <v>14</v>
      </c>
      <c r="I54" s="28">
        <f>SUMIF(Prizes!B:B,A54,Prizes!D:D)</f>
        <v>1</v>
      </c>
      <c r="J54" s="28">
        <f t="shared" si="14"/>
        <v>19</v>
      </c>
      <c r="K54" s="29">
        <f>SUMIF(Sales!B:B,A54,Sales!F:F)</f>
        <v>1.8588658588262426</v>
      </c>
      <c r="L54" s="31">
        <f t="shared" si="15"/>
        <v>17</v>
      </c>
      <c r="M54" s="29">
        <f>SQRT(SUMIF(Sales!B:B,A54,Sales!G:G))</f>
        <v>1.2295369278713271</v>
      </c>
      <c r="N54" s="29">
        <f t="shared" si="16"/>
        <v>-0.85886585882624256</v>
      </c>
      <c r="O54" s="31">
        <f t="shared" si="17"/>
        <v>22</v>
      </c>
      <c r="P54" s="29">
        <f t="shared" si="18"/>
        <v>-0.69852790864376879</v>
      </c>
      <c r="Q54" s="10">
        <f t="shared" si="19"/>
        <v>21</v>
      </c>
      <c r="R54" s="17">
        <f t="shared" si="20"/>
        <v>0.24242355528933757</v>
      </c>
      <c r="S54" s="77">
        <f t="shared" si="21"/>
        <v>17</v>
      </c>
      <c r="T54" s="6">
        <f t="shared" si="22"/>
        <v>295.87933813970341</v>
      </c>
      <c r="U54" s="10">
        <f t="shared" si="23"/>
        <v>32</v>
      </c>
    </row>
    <row r="55" spans="1:25" x14ac:dyDescent="0.25">
      <c r="A55" s="4">
        <v>28</v>
      </c>
      <c r="B55" s="4" t="s">
        <v>36</v>
      </c>
      <c r="C55" s="4">
        <v>0</v>
      </c>
      <c r="D55" s="4">
        <f t="array" ref="D55">MAX(IF(Sales!B:B=A55,Sales!C:C))</f>
        <v>10</v>
      </c>
      <c r="E55" s="4">
        <f>SUMIF(Sales!B:B,A55,Sales!E:E)</f>
        <v>240</v>
      </c>
      <c r="F55" s="6" t="str">
        <f t="shared" si="12"/>
        <v xml:space="preserve"> </v>
      </c>
      <c r="G55" s="4">
        <f>SUMIF(Sales!B:B,A55,Sales!D:D)</f>
        <v>24</v>
      </c>
      <c r="H55" s="4" t="str">
        <f t="shared" si="13"/>
        <v xml:space="preserve"> </v>
      </c>
      <c r="I55" s="4">
        <f>SUMIF(Prizes!B:B,A55,Prizes!D:D)</f>
        <v>0</v>
      </c>
      <c r="J55" s="4" t="str">
        <f t="shared" si="14"/>
        <v xml:space="preserve"> </v>
      </c>
      <c r="K55" s="5">
        <f>SUMIF(Sales!B:B,A55,Sales!F:F)</f>
        <v>0.7941427895328429</v>
      </c>
      <c r="L55" s="6" t="str">
        <f t="shared" si="15"/>
        <v xml:space="preserve"> </v>
      </c>
      <c r="M55" s="5">
        <f>SQRT(SUMIF(Sales!B:B,A55,Sales!G:G))</f>
        <v>0.86060092285446455</v>
      </c>
      <c r="N55" s="5">
        <f t="shared" si="16"/>
        <v>-0.7941427895328429</v>
      </c>
      <c r="O55" s="6" t="str">
        <f t="shared" si="17"/>
        <v xml:space="preserve"> </v>
      </c>
      <c r="P55" s="5">
        <f t="shared" si="18"/>
        <v>-0.92277706012539296</v>
      </c>
      <c r="Q55" s="4" t="str">
        <f t="shared" si="19"/>
        <v xml:space="preserve"> </v>
      </c>
      <c r="R55" s="17">
        <f t="shared" si="20"/>
        <v>0.17806169891377793</v>
      </c>
      <c r="S55" s="32" t="str">
        <f t="shared" si="21"/>
        <v xml:space="preserve"> </v>
      </c>
      <c r="T55" s="6">
        <f t="shared" si="22"/>
        <v>302.21265389966049</v>
      </c>
      <c r="U55" s="6" t="str">
        <f t="shared" si="23"/>
        <v xml:space="preserve"> </v>
      </c>
    </row>
    <row r="56" spans="1:25" x14ac:dyDescent="0.25">
      <c r="A56" s="4">
        <v>25</v>
      </c>
      <c r="B56" s="4" t="s">
        <v>33</v>
      </c>
      <c r="C56" s="4">
        <v>0</v>
      </c>
      <c r="D56" s="4">
        <f t="array" ref="D56">MAX(IF(Sales!B:B=A56,Sales!C:C))</f>
        <v>3</v>
      </c>
      <c r="E56" s="4">
        <f>SUMIF(Sales!B:B,A56,Sales!E:E)</f>
        <v>20</v>
      </c>
      <c r="F56" s="6" t="str">
        <f t="shared" si="12"/>
        <v xml:space="preserve"> </v>
      </c>
      <c r="G56" s="4">
        <f>SUMIF(Sales!B:B,A56,Sales!D:D)</f>
        <v>2</v>
      </c>
      <c r="H56" s="4" t="str">
        <f t="shared" si="13"/>
        <v xml:space="preserve"> </v>
      </c>
      <c r="I56" s="4">
        <f>SUMIF(Prizes!B:B,A56,Prizes!D:D)</f>
        <v>0</v>
      </c>
      <c r="J56" s="4" t="str">
        <f t="shared" si="14"/>
        <v xml:space="preserve"> </v>
      </c>
      <c r="K56" s="5">
        <f>SUMIF(Sales!B:B,A56,Sales!F:F)</f>
        <v>6.3829787234042548E-2</v>
      </c>
      <c r="L56" s="6" t="str">
        <f t="shared" si="15"/>
        <v xml:space="preserve"> </v>
      </c>
      <c r="M56" s="5">
        <f>SQRT(SUMIF(Sales!B:B,A56,Sales!G:G))</f>
        <v>0.24791576048881739</v>
      </c>
      <c r="N56" s="5">
        <f t="shared" si="16"/>
        <v>-6.3829787234042548E-2</v>
      </c>
      <c r="O56" s="6" t="str">
        <f t="shared" si="17"/>
        <v xml:space="preserve"> </v>
      </c>
      <c r="P56" s="5">
        <f t="shared" si="18"/>
        <v>-0.25746562908380199</v>
      </c>
      <c r="Q56" s="4" t="str">
        <f t="shared" si="19"/>
        <v xml:space="preserve"> </v>
      </c>
      <c r="R56" s="17">
        <f t="shared" si="20"/>
        <v>0.39840967257938792</v>
      </c>
      <c r="S56" s="32" t="str">
        <f t="shared" si="21"/>
        <v xml:space="preserve"> </v>
      </c>
      <c r="T56" s="6">
        <f t="shared" si="22"/>
        <v>313.33333333333337</v>
      </c>
      <c r="U56" s="4" t="str">
        <f t="shared" si="23"/>
        <v xml:space="preserve"> </v>
      </c>
    </row>
    <row r="57" spans="1:25" x14ac:dyDescent="0.25">
      <c r="A57" s="4">
        <v>26</v>
      </c>
      <c r="B57" s="4" t="s">
        <v>34</v>
      </c>
      <c r="C57" s="4">
        <v>0</v>
      </c>
      <c r="D57" s="4">
        <f t="array" ref="D57">MAX(IF(Sales!B:B=A57,Sales!C:C))</f>
        <v>3</v>
      </c>
      <c r="E57" s="4">
        <f>SUMIF(Sales!B:B,A57,Sales!E:E)</f>
        <v>100</v>
      </c>
      <c r="F57" s="6" t="str">
        <f t="shared" si="12"/>
        <v xml:space="preserve"> </v>
      </c>
      <c r="G57" s="4">
        <f>SUMIF(Sales!B:B,A57,Sales!D:D)</f>
        <v>10</v>
      </c>
      <c r="H57" s="4" t="str">
        <f t="shared" si="13"/>
        <v xml:space="preserve"> </v>
      </c>
      <c r="I57" s="4">
        <f>SUMIF(Prizes!B:B,A57,Prizes!D:D)</f>
        <v>0</v>
      </c>
      <c r="J57" s="4" t="str">
        <f t="shared" si="14"/>
        <v xml:space="preserve"> </v>
      </c>
      <c r="K57" s="5">
        <f>SUMIF(Sales!B:B,A57,Sales!F:F)</f>
        <v>0.31914893617021273</v>
      </c>
      <c r="L57" s="6" t="str">
        <f t="shared" si="15"/>
        <v xml:space="preserve"> </v>
      </c>
      <c r="M57" s="5">
        <f>SQRT(SUMIF(Sales!B:B,A57,Sales!G:G))</f>
        <v>0.54230382522055953</v>
      </c>
      <c r="N57" s="5">
        <f t="shared" si="16"/>
        <v>-0.31914893617021273</v>
      </c>
      <c r="O57" s="6" t="str">
        <f t="shared" si="17"/>
        <v xml:space="preserve"> </v>
      </c>
      <c r="P57" s="5">
        <f t="shared" si="18"/>
        <v>-0.58850578094375816</v>
      </c>
      <c r="Q57" s="4" t="str">
        <f t="shared" si="19"/>
        <v xml:space="preserve"> </v>
      </c>
      <c r="R57" s="17">
        <f t="shared" si="20"/>
        <v>0.27809642736849838</v>
      </c>
      <c r="S57" s="32" t="str">
        <f t="shared" si="21"/>
        <v xml:space="preserve"> </v>
      </c>
      <c r="T57" s="6">
        <f t="shared" si="22"/>
        <v>313.33333333333337</v>
      </c>
      <c r="U57" s="6" t="str">
        <f t="shared" si="23"/>
        <v xml:space="preserve"> </v>
      </c>
    </row>
    <row r="58" spans="1:25" x14ac:dyDescent="0.25">
      <c r="A58" s="4">
        <v>21</v>
      </c>
      <c r="B58" s="4" t="s">
        <v>28</v>
      </c>
      <c r="C58" s="4">
        <v>0</v>
      </c>
      <c r="D58" s="4">
        <f t="array" ref="D58">MAX(IF(Sales!B:B=A58,Sales!C:C))</f>
        <v>3</v>
      </c>
      <c r="E58" s="4">
        <f>SUMIF(Sales!B:B,A58,Sales!E:E)</f>
        <v>200</v>
      </c>
      <c r="F58" s="6" t="str">
        <f t="shared" si="12"/>
        <v xml:space="preserve"> </v>
      </c>
      <c r="G58" s="4">
        <f>SUMIF(Sales!B:B,A58,Sales!D:D)</f>
        <v>15</v>
      </c>
      <c r="H58" s="4" t="str">
        <f t="shared" si="13"/>
        <v xml:space="preserve"> </v>
      </c>
      <c r="I58" s="4">
        <f>SUMIF(Prizes!B:B,A58,Prizes!D:D)</f>
        <v>1</v>
      </c>
      <c r="J58" s="4" t="str">
        <f t="shared" si="14"/>
        <v xml:space="preserve"> </v>
      </c>
      <c r="K58" s="5">
        <f>SUMIF(Sales!B:B,A58,Sales!F:F)</f>
        <v>0.63164893617021267</v>
      </c>
      <c r="L58" s="6" t="str">
        <f t="shared" si="15"/>
        <v xml:space="preserve"> </v>
      </c>
      <c r="M58" s="5">
        <f>SQRT(SUMIF(Sales!B:B,A58,Sales!G:G))</f>
        <v>0.75810728959235163</v>
      </c>
      <c r="N58" s="5">
        <f t="shared" si="16"/>
        <v>0.36835106382978733</v>
      </c>
      <c r="O58" s="6" t="str">
        <f t="shared" si="17"/>
        <v xml:space="preserve"> </v>
      </c>
      <c r="P58" s="5">
        <f t="shared" si="18"/>
        <v>0.4858824982778579</v>
      </c>
      <c r="Q58" s="4" t="str">
        <f t="shared" si="19"/>
        <v xml:space="preserve"> </v>
      </c>
      <c r="R58" s="17">
        <f t="shared" si="20"/>
        <v>0.31352523895390516</v>
      </c>
      <c r="S58" s="32" t="str">
        <f t="shared" si="21"/>
        <v xml:space="preserve"> </v>
      </c>
      <c r="T58" s="6">
        <f t="shared" si="22"/>
        <v>316.6315789473685</v>
      </c>
      <c r="U58" s="4" t="str">
        <f t="shared" si="23"/>
        <v xml:space="preserve"> </v>
      </c>
    </row>
    <row r="59" spans="1:25" x14ac:dyDescent="0.25">
      <c r="A59" s="4">
        <v>55</v>
      </c>
      <c r="B59" s="4" t="s">
        <v>141</v>
      </c>
      <c r="C59" s="4">
        <v>0</v>
      </c>
      <c r="D59" s="28">
        <f t="array" ref="D59">MAX(IF(Sales!B:B=A59,Sales!C:C))</f>
        <v>21</v>
      </c>
      <c r="E59" s="28">
        <f>SUMIF(Sales!B:B,A59,Sales!E:E)</f>
        <v>50</v>
      </c>
      <c r="F59" s="31" t="str">
        <f t="shared" si="12"/>
        <v xml:space="preserve"> </v>
      </c>
      <c r="G59" s="28">
        <f>SUMIF(Sales!B:B,A59,Sales!D:D)</f>
        <v>5</v>
      </c>
      <c r="H59" s="28" t="str">
        <f t="shared" si="13"/>
        <v xml:space="preserve"> </v>
      </c>
      <c r="I59" s="28">
        <f>SUMIF(Prizes!B:B,A59,Prizes!D:D)</f>
        <v>0</v>
      </c>
      <c r="J59" s="28" t="str">
        <f t="shared" si="14"/>
        <v xml:space="preserve"> </v>
      </c>
      <c r="K59" s="29">
        <f>SUMIF(Sales!B:B,A59,Sales!F:F)</f>
        <v>0.13966480446927373</v>
      </c>
      <c r="L59" s="31" t="str">
        <f t="shared" si="15"/>
        <v xml:space="preserve"> </v>
      </c>
      <c r="M59" s="29">
        <f>SQRT(SUMIF(Sales!B:B,A59,Sales!G:G))</f>
        <v>0.36429752481921757</v>
      </c>
      <c r="N59" s="29">
        <f t="shared" si="16"/>
        <v>-0.13966480446927373</v>
      </c>
      <c r="O59" s="31" t="str">
        <f t="shared" si="17"/>
        <v xml:space="preserve"> </v>
      </c>
      <c r="P59" s="29">
        <f t="shared" si="18"/>
        <v>-0.3833811512679981</v>
      </c>
      <c r="Q59" s="10" t="str">
        <f t="shared" si="19"/>
        <v xml:space="preserve"> </v>
      </c>
      <c r="R59" s="17">
        <f t="shared" si="20"/>
        <v>0.35071858839852854</v>
      </c>
      <c r="S59" s="77" t="str">
        <f t="shared" si="21"/>
        <v xml:space="preserve"> </v>
      </c>
      <c r="T59" s="6">
        <f t="shared" si="22"/>
        <v>358</v>
      </c>
      <c r="U59" s="10" t="str">
        <f t="shared" si="23"/>
        <v xml:space="preserve"> 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workbookViewId="0">
      <selection activeCell="E23" sqref="E23"/>
    </sheetView>
  </sheetViews>
  <sheetFormatPr defaultColWidth="8.85546875" defaultRowHeight="15" x14ac:dyDescent="0.25"/>
  <cols>
    <col min="2" max="2" width="10" customWidth="1"/>
    <col min="5" max="5" width="9.42578125" style="14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18" t="s">
        <v>49</v>
      </c>
      <c r="E1" s="79" t="s">
        <v>134</v>
      </c>
      <c r="F1" s="18" t="s">
        <v>21</v>
      </c>
      <c r="G1" s="18" t="s">
        <v>85</v>
      </c>
      <c r="H1" s="18" t="s">
        <v>99</v>
      </c>
    </row>
    <row r="2" spans="1:8" x14ac:dyDescent="0.25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7">
        <f t="shared" ref="H2:H17" si="2">C2*D2/F2</f>
        <v>144</v>
      </c>
    </row>
    <row r="3" spans="1:8" x14ac:dyDescent="0.25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7">
        <f t="shared" si="2"/>
        <v>320</v>
      </c>
    </row>
    <row r="4" spans="1:8" x14ac:dyDescent="0.25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7">
        <f t="shared" si="2"/>
        <v>313.33333333333331</v>
      </c>
    </row>
    <row r="5" spans="1:8" x14ac:dyDescent="0.25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7">
        <f t="shared" si="2"/>
        <v>340</v>
      </c>
    </row>
    <row r="6" spans="1:8" x14ac:dyDescent="0.25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7">
        <f t="shared" si="2"/>
        <v>240</v>
      </c>
    </row>
    <row r="7" spans="1:8" x14ac:dyDescent="0.25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7">
        <f t="shared" si="2"/>
        <v>300</v>
      </c>
    </row>
    <row r="8" spans="1:8" x14ac:dyDescent="0.25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7">
        <f t="shared" si="2"/>
        <v>250</v>
      </c>
    </row>
    <row r="9" spans="1:8" x14ac:dyDescent="0.25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7">
        <f t="shared" si="2"/>
        <v>190</v>
      </c>
    </row>
    <row r="10" spans="1:8" x14ac:dyDescent="0.25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7">
        <f t="shared" si="2"/>
        <v>304</v>
      </c>
    </row>
    <row r="11" spans="1:8" x14ac:dyDescent="0.25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7">
        <f t="shared" si="2"/>
        <v>314</v>
      </c>
    </row>
    <row r="12" spans="1:8" x14ac:dyDescent="0.25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7">
        <f t="shared" si="2"/>
        <v>0</v>
      </c>
    </row>
    <row r="13" spans="1:8" x14ac:dyDescent="0.25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7">
        <f t="shared" si="2"/>
        <v>213.33333333333334</v>
      </c>
    </row>
    <row r="14" spans="1:8" x14ac:dyDescent="0.25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7">
        <f t="shared" si="2"/>
        <v>212</v>
      </c>
    </row>
    <row r="15" spans="1:8" x14ac:dyDescent="0.25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7">
        <f t="shared" si="2"/>
        <v>275</v>
      </c>
    </row>
    <row r="16" spans="1:8" x14ac:dyDescent="0.25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7">
        <f t="shared" si="2"/>
        <v>153.33333333333334</v>
      </c>
    </row>
    <row r="17" spans="1:8" x14ac:dyDescent="0.2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 t="shared" ref="G17:G22" si="3">F17/D17</f>
        <v>5.4545454545454543E-2</v>
      </c>
      <c r="H17" s="27">
        <f t="shared" si="2"/>
        <v>183.33333333333334</v>
      </c>
    </row>
    <row r="18" spans="1:8" x14ac:dyDescent="0.2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 t="shared" si="3"/>
        <v>4.046242774566474E-2</v>
      </c>
      <c r="H18" s="27">
        <f t="shared" ref="H18:H23" si="4">C18*D18/F18</f>
        <v>247.14285714285714</v>
      </c>
    </row>
    <row r="19" spans="1:8" x14ac:dyDescent="0.2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 t="shared" si="3"/>
        <v>4.4117647058823532E-2</v>
      </c>
      <c r="H19" s="27">
        <f t="shared" si="4"/>
        <v>226.66666666666666</v>
      </c>
    </row>
    <row r="20" spans="1:8" x14ac:dyDescent="0.2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 t="shared" si="3"/>
        <v>5.3691275167785234E-2</v>
      </c>
      <c r="H20" s="27">
        <f t="shared" si="4"/>
        <v>186.25</v>
      </c>
    </row>
    <row r="21" spans="1:8" x14ac:dyDescent="0.25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>C21*D21</f>
        <v>1590</v>
      </c>
      <c r="F21" s="7">
        <f>SUMIFS(Prizes!D:D,Prizes!C:C,A21)</f>
        <v>6</v>
      </c>
      <c r="G21" s="3">
        <f t="shared" si="3"/>
        <v>3.7735849056603772E-2</v>
      </c>
      <c r="H21" s="27">
        <f t="shared" si="4"/>
        <v>265</v>
      </c>
    </row>
    <row r="22" spans="1:8" x14ac:dyDescent="0.25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>C22*D22</f>
        <v>1790</v>
      </c>
      <c r="F22" s="7">
        <f>SUMIFS(Prizes!D:D,Prizes!C:C,A22)</f>
        <v>5</v>
      </c>
      <c r="G22" s="3">
        <f t="shared" si="3"/>
        <v>2.7932960893854747E-2</v>
      </c>
      <c r="H22" s="27">
        <f t="shared" si="4"/>
        <v>358</v>
      </c>
    </row>
    <row r="23" spans="1:8" x14ac:dyDescent="0.25">
      <c r="A23">
        <v>22</v>
      </c>
      <c r="B23" s="1">
        <v>43994</v>
      </c>
      <c r="C23" s="7">
        <v>10</v>
      </c>
      <c r="D23" s="7">
        <f>SUMIFS(Sales!D:D,Sales!C:C,A23)</f>
        <v>120</v>
      </c>
      <c r="E23" s="14">
        <f>C23*D23</f>
        <v>1200</v>
      </c>
      <c r="F23" s="7">
        <f>SUMIFS(Prizes!D:D,Prizes!C:C,A23)</f>
        <v>6</v>
      </c>
      <c r="G23" s="3">
        <f>F23/D23</f>
        <v>0.05</v>
      </c>
      <c r="H23" s="27">
        <f t="shared" si="4"/>
        <v>200</v>
      </c>
    </row>
  </sheetData>
  <conditionalFormatting sqref="H2:H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5"/>
  <sheetViews>
    <sheetView showGridLines="0" topLeftCell="A370" workbookViewId="0">
      <selection activeCell="I419" sqref="I419"/>
    </sheetView>
  </sheetViews>
  <sheetFormatPr defaultColWidth="8.85546875" defaultRowHeight="15" x14ac:dyDescent="0.25"/>
  <cols>
    <col min="9" max="9" width="12.5703125" style="2" bestFit="1" customWidth="1"/>
    <col min="11" max="11" width="10.140625" bestFit="1" customWidth="1"/>
  </cols>
  <sheetData>
    <row r="1" spans="1:11" ht="17.25" x14ac:dyDescent="0.2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50</v>
      </c>
      <c r="F1" s="18" t="s">
        <v>84</v>
      </c>
      <c r="G1" s="22" t="s">
        <v>32</v>
      </c>
      <c r="J1" t="s">
        <v>89</v>
      </c>
      <c r="K1" s="13">
        <f>SUM(E:E)</f>
        <v>30980</v>
      </c>
    </row>
    <row r="2" spans="1:11" x14ac:dyDescent="0.2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2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2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2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2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2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2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2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2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2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2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2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2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2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2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2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2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2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2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2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2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2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2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2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2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2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2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2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2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2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2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2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2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2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2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2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2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2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2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2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2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2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2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2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2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2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2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2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2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2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2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2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2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2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2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2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2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2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2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2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2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2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2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2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2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2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2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2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2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2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2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2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2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2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2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2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2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2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2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2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2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2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2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2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2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2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2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2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2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2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2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2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2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2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2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2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2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2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2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2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2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2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2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2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2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2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2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2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2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2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2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2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2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2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2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2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2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2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2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2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2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2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2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2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2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2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2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2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2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2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2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2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2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2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2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2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2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2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2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2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2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2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2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2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2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2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2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2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2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2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2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2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2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2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2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2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2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2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2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2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2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2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2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2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2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2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2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2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2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2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2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2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2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2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2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2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2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2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2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2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2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2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2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2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2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2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2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2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2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2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2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2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2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2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2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2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2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2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2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2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2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2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2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2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2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2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2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2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2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2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2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2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2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2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2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2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2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2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2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2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2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2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2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2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2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2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2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2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2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2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2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2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2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2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2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2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2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2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2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2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2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2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2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2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2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2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2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2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2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2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2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2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2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2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2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2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2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2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2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2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2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2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2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2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2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2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2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2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2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2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2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2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25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25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25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25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25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25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25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25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25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25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25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25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25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25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25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25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25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25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25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25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25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25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25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25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25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25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25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25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25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25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25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25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25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25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25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25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25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25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25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25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25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25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25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25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25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25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25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25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25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25">
      <c r="A323">
        <v>322</v>
      </c>
      <c r="B323">
        <v>47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25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25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25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25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25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25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25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25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25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25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25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25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25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25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25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25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25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25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25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25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25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25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25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25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25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25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25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25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25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25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25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25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25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25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25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25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25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25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25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25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25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25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25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25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25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8" x14ac:dyDescent="0.25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8" x14ac:dyDescent="0.25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8" x14ac:dyDescent="0.25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8" x14ac:dyDescent="0.25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8" x14ac:dyDescent="0.25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8" x14ac:dyDescent="0.25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8" x14ac:dyDescent="0.25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/>
    </row>
    <row r="376" spans="1:8" x14ac:dyDescent="0.25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/>
    </row>
    <row r="377" spans="1:8" x14ac:dyDescent="0.25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/>
    </row>
    <row r="378" spans="1:8" x14ac:dyDescent="0.25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/>
    </row>
    <row r="379" spans="1:8" x14ac:dyDescent="0.25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/>
    </row>
    <row r="380" spans="1:8" x14ac:dyDescent="0.25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/>
    </row>
    <row r="381" spans="1:8" x14ac:dyDescent="0.25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/>
    </row>
    <row r="382" spans="1:8" x14ac:dyDescent="0.25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/>
    </row>
    <row r="383" spans="1:8" x14ac:dyDescent="0.25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/>
    </row>
    <row r="384" spans="1:8" x14ac:dyDescent="0.25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/>
    </row>
    <row r="385" spans="1:12" x14ac:dyDescent="0.25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/>
    </row>
    <row r="386" spans="1:12" x14ac:dyDescent="0.25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/>
    </row>
    <row r="387" spans="1:12" x14ac:dyDescent="0.25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/>
    </row>
    <row r="388" spans="1:12" x14ac:dyDescent="0.25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/>
    </row>
    <row r="389" spans="1:12" x14ac:dyDescent="0.25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/>
    </row>
    <row r="390" spans="1:12" x14ac:dyDescent="0.25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/>
    </row>
    <row r="391" spans="1:12" x14ac:dyDescent="0.25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/>
    </row>
    <row r="392" spans="1:12" x14ac:dyDescent="0.25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/>
    </row>
    <row r="393" spans="1:12" x14ac:dyDescent="0.25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/>
    </row>
    <row r="394" spans="1:12" x14ac:dyDescent="0.25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/>
    </row>
    <row r="395" spans="1:12" x14ac:dyDescent="0.25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/>
    </row>
    <row r="396" spans="1:12" x14ac:dyDescent="0.25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/>
    </row>
    <row r="397" spans="1:12" x14ac:dyDescent="0.25">
      <c r="A397">
        <v>396</v>
      </c>
      <c r="B397">
        <v>51</v>
      </c>
      <c r="C397" s="11">
        <v>22</v>
      </c>
      <c r="D397">
        <v>5</v>
      </c>
      <c r="E397" s="7">
        <f>INDEX(Lotteries!C:C,MATCH(C397,Lotteries!A:A,0))*D397</f>
        <v>50</v>
      </c>
      <c r="F397" s="3">
        <f>D397*INDEX(Lotteries!G:G,MATCH(C397,Lotteries!A:A,0))</f>
        <v>0.25</v>
      </c>
      <c r="G397" s="3">
        <f>INDEX(Lotteries!F:F,MATCH(C397,Lotteries!A:A,0))*D397/INDEX(Lotteries!D:D,MATCH(C397,Lotteries!A:A,0))*(INDEX(Lotteries!D:D,MATCH(C397,Lotteries!A:A,0))-D397)/INDEX(Lotteries!D:D,MATCH(C397,Lotteries!A:A,0))*(INDEX(Lotteries!D:D,MATCH(C397,Lotteries!A:A,0))-INDEX(Lotteries!F:F,MATCH(C397,Lotteries!A:A,0)))/(INDEX(Lotteries!D:D,MATCH(C397,Lotteries!A:A,0))-1)</f>
        <v>0.22951680672268907</v>
      </c>
      <c r="H397" s="7">
        <f>INDEX(Persons!A:A,MATCH(Sales!I397,Persons!B:B,0))</f>
        <v>51</v>
      </c>
      <c r="I397" s="2" t="str">
        <f t="shared" ref="I397:I410" si="0">MID(L397,FIND("""name"": """,L397)+9,FIND("""",L397,FIND("""name"": """,L397)+9)-FIND("""name"": """,L397)-9)</f>
        <v>Svein</v>
      </c>
      <c r="J397">
        <f t="shared" ref="J397:J410" si="1">VALUE(MID(L397,FIND("""tickets"": ",L397)+11,MIN(IFERROR(FIND(",",L397,FIND("""tickets"": ",L397)),100),FIND("}",L397,FIND("""tickets"": ",L397)))-FIND("""tickets"": ",L397)-11))</f>
        <v>5</v>
      </c>
      <c r="L397" t="s">
        <v>135</v>
      </c>
    </row>
    <row r="398" spans="1:12" x14ac:dyDescent="0.25">
      <c r="A398">
        <v>397</v>
      </c>
      <c r="B398">
        <v>33</v>
      </c>
      <c r="C398" s="11">
        <v>22</v>
      </c>
      <c r="D398">
        <v>10</v>
      </c>
      <c r="E398" s="7">
        <f>INDEX(Lotteries!C:C,MATCH(C398,Lotteries!A:A,0))*D398</f>
        <v>100</v>
      </c>
      <c r="F398" s="3">
        <f>D398*INDEX(Lotteries!G:G,MATCH(C398,Lotteries!A:A,0))</f>
        <v>0.5</v>
      </c>
      <c r="G398" s="3">
        <f>INDEX(Lotteries!F:F,MATCH(C398,Lotteries!A:A,0))*D398/INDEX(Lotteries!D:D,MATCH(C398,Lotteries!A:A,0))*(INDEX(Lotteries!D:D,MATCH(C398,Lotteries!A:A,0))-D398)/INDEX(Lotteries!D:D,MATCH(C398,Lotteries!A:A,0))*(INDEX(Lotteries!D:D,MATCH(C398,Lotteries!A:A,0))-INDEX(Lotteries!F:F,MATCH(C398,Lotteries!A:A,0)))/(INDEX(Lotteries!D:D,MATCH(C398,Lotteries!A:A,0))-1)</f>
        <v>0.43907563025210083</v>
      </c>
      <c r="H398" s="7">
        <f>INDEX(Persons!A:A,MATCH(Sales!I398,Persons!B:B,0))</f>
        <v>33</v>
      </c>
      <c r="I398" s="2" t="str">
        <f t="shared" si="0"/>
        <v>Anders A</v>
      </c>
      <c r="J398">
        <f t="shared" si="1"/>
        <v>10</v>
      </c>
      <c r="L398" t="s">
        <v>138</v>
      </c>
    </row>
    <row r="399" spans="1:12" x14ac:dyDescent="0.25">
      <c r="A399">
        <v>398</v>
      </c>
      <c r="B399">
        <v>53</v>
      </c>
      <c r="C399" s="11">
        <v>22</v>
      </c>
      <c r="D399">
        <v>10</v>
      </c>
      <c r="E399" s="7">
        <f>INDEX(Lotteries!C:C,MATCH(C399,Lotteries!A:A,0))*D399</f>
        <v>100</v>
      </c>
      <c r="F399" s="3">
        <f>D399*INDEX(Lotteries!G:G,MATCH(C399,Lotteries!A:A,0))</f>
        <v>0.5</v>
      </c>
      <c r="G399" s="3">
        <f>INDEX(Lotteries!F:F,MATCH(C399,Lotteries!A:A,0))*D399/INDEX(Lotteries!D:D,MATCH(C399,Lotteries!A:A,0))*(INDEX(Lotteries!D:D,MATCH(C399,Lotteries!A:A,0))-D399)/INDEX(Lotteries!D:D,MATCH(C399,Lotteries!A:A,0))*(INDEX(Lotteries!D:D,MATCH(C399,Lotteries!A:A,0))-INDEX(Lotteries!F:F,MATCH(C399,Lotteries!A:A,0)))/(INDEX(Lotteries!D:D,MATCH(C399,Lotteries!A:A,0))-1)</f>
        <v>0.43907563025210083</v>
      </c>
      <c r="H399" s="7">
        <f>INDEX(Persons!A:A,MATCH(Sales!I399,Persons!B:B,0))</f>
        <v>53</v>
      </c>
      <c r="I399" s="2" t="str">
        <f t="shared" si="0"/>
        <v>Sondre</v>
      </c>
      <c r="J399">
        <f t="shared" si="1"/>
        <v>10</v>
      </c>
      <c r="L399" t="s">
        <v>144</v>
      </c>
    </row>
    <row r="400" spans="1:12" x14ac:dyDescent="0.25">
      <c r="A400">
        <v>399</v>
      </c>
      <c r="B400">
        <v>46</v>
      </c>
      <c r="C400" s="11">
        <v>22</v>
      </c>
      <c r="D400">
        <v>5</v>
      </c>
      <c r="E400" s="7">
        <f>INDEX(Lotteries!C:C,MATCH(C400,Lotteries!A:A,0))*D400</f>
        <v>50</v>
      </c>
      <c r="F400" s="3">
        <f>D400*INDEX(Lotteries!G:G,MATCH(C400,Lotteries!A:A,0))</f>
        <v>0.25</v>
      </c>
      <c r="G400" s="3">
        <f>INDEX(Lotteries!F:F,MATCH(C400,Lotteries!A:A,0))*D400/INDEX(Lotteries!D:D,MATCH(C400,Lotteries!A:A,0))*(INDEX(Lotteries!D:D,MATCH(C400,Lotteries!A:A,0))-D400)/INDEX(Lotteries!D:D,MATCH(C400,Lotteries!A:A,0))*(INDEX(Lotteries!D:D,MATCH(C400,Lotteries!A:A,0))-INDEX(Lotteries!F:F,MATCH(C400,Lotteries!A:A,0)))/(INDEX(Lotteries!D:D,MATCH(C400,Lotteries!A:A,0))-1)</f>
        <v>0.22951680672268907</v>
      </c>
      <c r="H400" s="7">
        <f>INDEX(Persons!A:A,MATCH(Sales!I400,Persons!B:B,0))</f>
        <v>46</v>
      </c>
      <c r="I400" s="2" t="str">
        <f t="shared" si="0"/>
        <v>Ciaran</v>
      </c>
      <c r="J400">
        <f t="shared" si="1"/>
        <v>5</v>
      </c>
      <c r="L400" t="s">
        <v>145</v>
      </c>
    </row>
    <row r="401" spans="1:12" x14ac:dyDescent="0.25">
      <c r="A401">
        <v>400</v>
      </c>
      <c r="B401">
        <v>37</v>
      </c>
      <c r="C401" s="11">
        <v>22</v>
      </c>
      <c r="D401">
        <v>10</v>
      </c>
      <c r="E401" s="7">
        <f>INDEX(Lotteries!C:C,MATCH(C401,Lotteries!A:A,0))*D401</f>
        <v>100</v>
      </c>
      <c r="F401" s="3">
        <f>D401*INDEX(Lotteries!G:G,MATCH(C401,Lotteries!A:A,0))</f>
        <v>0.5</v>
      </c>
      <c r="G401" s="3">
        <f>INDEX(Lotteries!F:F,MATCH(C401,Lotteries!A:A,0))*D401/INDEX(Lotteries!D:D,MATCH(C401,Lotteries!A:A,0))*(INDEX(Lotteries!D:D,MATCH(C401,Lotteries!A:A,0))-D401)/INDEX(Lotteries!D:D,MATCH(C401,Lotteries!A:A,0))*(INDEX(Lotteries!D:D,MATCH(C401,Lotteries!A:A,0))-INDEX(Lotteries!F:F,MATCH(C401,Lotteries!A:A,0)))/(INDEX(Lotteries!D:D,MATCH(C401,Lotteries!A:A,0))-1)</f>
        <v>0.43907563025210083</v>
      </c>
      <c r="H401" s="7">
        <f>INDEX(Persons!A:A,MATCH(Sales!I401,Persons!B:B,0))</f>
        <v>37</v>
      </c>
      <c r="I401" s="2" t="str">
        <f t="shared" si="0"/>
        <v>Ruben O</v>
      </c>
      <c r="J401">
        <f t="shared" si="1"/>
        <v>10</v>
      </c>
      <c r="L401" t="s">
        <v>102</v>
      </c>
    </row>
    <row r="402" spans="1:12" x14ac:dyDescent="0.25">
      <c r="A402">
        <v>401</v>
      </c>
      <c r="B402">
        <v>35</v>
      </c>
      <c r="C402" s="11">
        <v>22</v>
      </c>
      <c r="D402">
        <v>5</v>
      </c>
      <c r="E402" s="7">
        <f>INDEX(Lotteries!C:C,MATCH(C402,Lotteries!A:A,0))*D402</f>
        <v>50</v>
      </c>
      <c r="F402" s="3">
        <f>D402*INDEX(Lotteries!G:G,MATCH(C402,Lotteries!A:A,0))</f>
        <v>0.25</v>
      </c>
      <c r="G402" s="3">
        <f>INDEX(Lotteries!F:F,MATCH(C402,Lotteries!A:A,0))*D402/INDEX(Lotteries!D:D,MATCH(C402,Lotteries!A:A,0))*(INDEX(Lotteries!D:D,MATCH(C402,Lotteries!A:A,0))-D402)/INDEX(Lotteries!D:D,MATCH(C402,Lotteries!A:A,0))*(INDEX(Lotteries!D:D,MATCH(C402,Lotteries!A:A,0))-INDEX(Lotteries!F:F,MATCH(C402,Lotteries!A:A,0)))/(INDEX(Lotteries!D:D,MATCH(C402,Lotteries!A:A,0))-1)</f>
        <v>0.22951680672268907</v>
      </c>
      <c r="H402" s="7">
        <f>INDEX(Persons!A:A,MATCH(Sales!I402,Persons!B:B,0))</f>
        <v>35</v>
      </c>
      <c r="I402" s="2" t="str">
        <f t="shared" si="0"/>
        <v>Mathias</v>
      </c>
      <c r="J402">
        <f t="shared" si="1"/>
        <v>5</v>
      </c>
      <c r="L402" t="s">
        <v>139</v>
      </c>
    </row>
    <row r="403" spans="1:12" x14ac:dyDescent="0.25">
      <c r="A403">
        <v>402</v>
      </c>
      <c r="B403">
        <v>13</v>
      </c>
      <c r="C403" s="11">
        <v>22</v>
      </c>
      <c r="D403">
        <v>10</v>
      </c>
      <c r="E403" s="7">
        <f>INDEX(Lotteries!C:C,MATCH(C403,Lotteries!A:A,0))*D403</f>
        <v>100</v>
      </c>
      <c r="F403" s="3">
        <f>D403*INDEX(Lotteries!G:G,MATCH(C403,Lotteries!A:A,0))</f>
        <v>0.5</v>
      </c>
      <c r="G403" s="3">
        <f>INDEX(Lotteries!F:F,MATCH(C403,Lotteries!A:A,0))*D403/INDEX(Lotteries!D:D,MATCH(C403,Lotteries!A:A,0))*(INDEX(Lotteries!D:D,MATCH(C403,Lotteries!A:A,0))-D403)/INDEX(Lotteries!D:D,MATCH(C403,Lotteries!A:A,0))*(INDEX(Lotteries!D:D,MATCH(C403,Lotteries!A:A,0))-INDEX(Lotteries!F:F,MATCH(C403,Lotteries!A:A,0)))/(INDEX(Lotteries!D:D,MATCH(C403,Lotteries!A:A,0))-1)</f>
        <v>0.43907563025210083</v>
      </c>
      <c r="H403" s="7">
        <f>INDEX(Persons!A:A,MATCH(Sales!I403,Persons!B:B,0))</f>
        <v>13</v>
      </c>
      <c r="I403" s="2" t="str">
        <f t="shared" si="0"/>
        <v>Sven</v>
      </c>
      <c r="J403">
        <f t="shared" si="1"/>
        <v>10</v>
      </c>
      <c r="L403" t="s">
        <v>146</v>
      </c>
    </row>
    <row r="404" spans="1:12" x14ac:dyDescent="0.25">
      <c r="A404">
        <v>403</v>
      </c>
      <c r="B404">
        <v>50</v>
      </c>
      <c r="C404" s="11">
        <v>22</v>
      </c>
      <c r="D404">
        <v>3</v>
      </c>
      <c r="E404" s="7">
        <f>INDEX(Lotteries!C:C,MATCH(C404,Lotteries!A:A,0))*D404</f>
        <v>30</v>
      </c>
      <c r="F404" s="3">
        <f>D404*INDEX(Lotteries!G:G,MATCH(C404,Lotteries!A:A,0))</f>
        <v>0.15000000000000002</v>
      </c>
      <c r="G404" s="3">
        <f>INDEX(Lotteries!F:F,MATCH(C404,Lotteries!A:A,0))*D404/INDEX(Lotteries!D:D,MATCH(C404,Lotteries!A:A,0))*(INDEX(Lotteries!D:D,MATCH(C404,Lotteries!A:A,0))-D404)/INDEX(Lotteries!D:D,MATCH(C404,Lotteries!A:A,0))*(INDEX(Lotteries!D:D,MATCH(C404,Lotteries!A:A,0))-INDEX(Lotteries!F:F,MATCH(C404,Lotteries!A:A,0)))/(INDEX(Lotteries!D:D,MATCH(C404,Lotteries!A:A,0))-1)</f>
        <v>0.14010504201680674</v>
      </c>
      <c r="H404" s="7">
        <f>INDEX(Persons!A:A,MATCH(Sales!I404,Persons!B:B,0))</f>
        <v>50</v>
      </c>
      <c r="I404" s="2" t="str">
        <f t="shared" si="0"/>
        <v>Anders S</v>
      </c>
      <c r="J404">
        <f t="shared" si="1"/>
        <v>3</v>
      </c>
      <c r="L404" t="s">
        <v>147</v>
      </c>
    </row>
    <row r="405" spans="1:12" x14ac:dyDescent="0.25">
      <c r="A405">
        <v>404</v>
      </c>
      <c r="B405">
        <v>34</v>
      </c>
      <c r="C405" s="11">
        <v>22</v>
      </c>
      <c r="D405">
        <v>5</v>
      </c>
      <c r="E405" s="7">
        <f>INDEX(Lotteries!C:C,MATCH(C405,Lotteries!A:A,0))*D405</f>
        <v>50</v>
      </c>
      <c r="F405" s="3">
        <f>D405*INDEX(Lotteries!G:G,MATCH(C405,Lotteries!A:A,0))</f>
        <v>0.25</v>
      </c>
      <c r="G405" s="3">
        <f>INDEX(Lotteries!F:F,MATCH(C405,Lotteries!A:A,0))*D405/INDEX(Lotteries!D:D,MATCH(C405,Lotteries!A:A,0))*(INDEX(Lotteries!D:D,MATCH(C405,Lotteries!A:A,0))-D405)/INDEX(Lotteries!D:D,MATCH(C405,Lotteries!A:A,0))*(INDEX(Lotteries!D:D,MATCH(C405,Lotteries!A:A,0))-INDEX(Lotteries!F:F,MATCH(C405,Lotteries!A:A,0)))/(INDEX(Lotteries!D:D,MATCH(C405,Lotteries!A:A,0))-1)</f>
        <v>0.22951680672268907</v>
      </c>
      <c r="H405" s="7">
        <f>INDEX(Persons!A:A,MATCH(Sales!I405,Persons!B:B,0))</f>
        <v>34</v>
      </c>
      <c r="I405" s="2" t="str">
        <f t="shared" si="0"/>
        <v>Asgeir</v>
      </c>
      <c r="J405">
        <f t="shared" si="1"/>
        <v>5</v>
      </c>
      <c r="L405" t="s">
        <v>148</v>
      </c>
    </row>
    <row r="406" spans="1:12" x14ac:dyDescent="0.25">
      <c r="A406">
        <v>405</v>
      </c>
      <c r="B406">
        <v>56</v>
      </c>
      <c r="C406" s="11">
        <v>22</v>
      </c>
      <c r="D406">
        <v>3</v>
      </c>
      <c r="E406" s="7">
        <f>INDEX(Lotteries!C:C,MATCH(C406,Lotteries!A:A,0))*D406</f>
        <v>30</v>
      </c>
      <c r="F406" s="3">
        <f>D406*INDEX(Lotteries!G:G,MATCH(C406,Lotteries!A:A,0))</f>
        <v>0.15000000000000002</v>
      </c>
      <c r="G406" s="3">
        <f>INDEX(Lotteries!F:F,MATCH(C406,Lotteries!A:A,0))*D406/INDEX(Lotteries!D:D,MATCH(C406,Lotteries!A:A,0))*(INDEX(Lotteries!D:D,MATCH(C406,Lotteries!A:A,0))-D406)/INDEX(Lotteries!D:D,MATCH(C406,Lotteries!A:A,0))*(INDEX(Lotteries!D:D,MATCH(C406,Lotteries!A:A,0))-INDEX(Lotteries!F:F,MATCH(C406,Lotteries!A:A,0)))/(INDEX(Lotteries!D:D,MATCH(C406,Lotteries!A:A,0))-1)</f>
        <v>0.14010504201680674</v>
      </c>
      <c r="H406" s="7">
        <f>INDEX(Persons!A:A,MATCH(Sales!I406,Persons!B:B,0))</f>
        <v>56</v>
      </c>
      <c r="I406" s="2" t="str">
        <f t="shared" si="0"/>
        <v>Sivert</v>
      </c>
      <c r="J406">
        <f t="shared" si="1"/>
        <v>3</v>
      </c>
      <c r="L406" t="s">
        <v>149</v>
      </c>
    </row>
    <row r="407" spans="1:12" x14ac:dyDescent="0.25">
      <c r="A407">
        <v>406</v>
      </c>
      <c r="B407">
        <v>57</v>
      </c>
      <c r="C407" s="11">
        <v>22</v>
      </c>
      <c r="D407">
        <v>2</v>
      </c>
      <c r="E407" s="7">
        <f>INDEX(Lotteries!C:C,MATCH(C407,Lotteries!A:A,0))*D407</f>
        <v>20</v>
      </c>
      <c r="F407" s="3">
        <f>D407*INDEX(Lotteries!G:G,MATCH(C407,Lotteries!A:A,0))</f>
        <v>0.1</v>
      </c>
      <c r="G407" s="3">
        <f>INDEX(Lotteries!F:F,MATCH(C407,Lotteries!A:A,0))*D407/INDEX(Lotteries!D:D,MATCH(C407,Lotteries!A:A,0))*(INDEX(Lotteries!D:D,MATCH(C407,Lotteries!A:A,0))-D407)/INDEX(Lotteries!D:D,MATCH(C407,Lotteries!A:A,0))*(INDEX(Lotteries!D:D,MATCH(C407,Lotteries!A:A,0))-INDEX(Lotteries!F:F,MATCH(C407,Lotteries!A:A,0)))/(INDEX(Lotteries!D:D,MATCH(C407,Lotteries!A:A,0))-1)</f>
        <v>9.4201680672268917E-2</v>
      </c>
      <c r="H407" s="7">
        <f>INDEX(Persons!A:A,MATCH(Sales!I407,Persons!B:B,0))</f>
        <v>57</v>
      </c>
      <c r="I407" s="2" t="str">
        <f t="shared" si="0"/>
        <v>Helga</v>
      </c>
      <c r="J407">
        <f t="shared" si="1"/>
        <v>2</v>
      </c>
      <c r="L407" t="s">
        <v>150</v>
      </c>
    </row>
    <row r="408" spans="1:12" x14ac:dyDescent="0.25">
      <c r="A408">
        <v>407</v>
      </c>
      <c r="B408">
        <v>44</v>
      </c>
      <c r="C408" s="11">
        <v>22</v>
      </c>
      <c r="D408">
        <v>5</v>
      </c>
      <c r="E408" s="7">
        <f>INDEX(Lotteries!C:C,MATCH(C408,Lotteries!A:A,0))*D408</f>
        <v>50</v>
      </c>
      <c r="F408" s="3">
        <f>D408*INDEX(Lotteries!G:G,MATCH(C408,Lotteries!A:A,0))</f>
        <v>0.25</v>
      </c>
      <c r="G408" s="3">
        <f>INDEX(Lotteries!F:F,MATCH(C408,Lotteries!A:A,0))*D408/INDEX(Lotteries!D:D,MATCH(C408,Lotteries!A:A,0))*(INDEX(Lotteries!D:D,MATCH(C408,Lotteries!A:A,0))-D408)/INDEX(Lotteries!D:D,MATCH(C408,Lotteries!A:A,0))*(INDEX(Lotteries!D:D,MATCH(C408,Lotteries!A:A,0))-INDEX(Lotteries!F:F,MATCH(C408,Lotteries!A:A,0)))/(INDEX(Lotteries!D:D,MATCH(C408,Lotteries!A:A,0))-1)</f>
        <v>0.22951680672268907</v>
      </c>
      <c r="H408" s="7">
        <f>INDEX(Persons!A:A,MATCH(Sales!I408,Persons!B:B,0))</f>
        <v>44</v>
      </c>
      <c r="I408" s="2" t="str">
        <f t="shared" si="0"/>
        <v>Jan</v>
      </c>
      <c r="J408">
        <f t="shared" si="1"/>
        <v>5</v>
      </c>
      <c r="L408" t="s">
        <v>151</v>
      </c>
    </row>
    <row r="409" spans="1:12" x14ac:dyDescent="0.25">
      <c r="A409">
        <v>408</v>
      </c>
      <c r="B409">
        <v>54</v>
      </c>
      <c r="C409" s="11">
        <v>22</v>
      </c>
      <c r="D409">
        <v>5</v>
      </c>
      <c r="E409" s="7">
        <f>INDEX(Lotteries!C:C,MATCH(C409,Lotteries!A:A,0))*D409</f>
        <v>50</v>
      </c>
      <c r="F409" s="3">
        <f>D409*INDEX(Lotteries!G:G,MATCH(C409,Lotteries!A:A,0))</f>
        <v>0.25</v>
      </c>
      <c r="G409" s="3">
        <f>INDEX(Lotteries!F:F,MATCH(C409,Lotteries!A:A,0))*D409/INDEX(Lotteries!D:D,MATCH(C409,Lotteries!A:A,0))*(INDEX(Lotteries!D:D,MATCH(C409,Lotteries!A:A,0))-D409)/INDEX(Lotteries!D:D,MATCH(C409,Lotteries!A:A,0))*(INDEX(Lotteries!D:D,MATCH(C409,Lotteries!A:A,0))-INDEX(Lotteries!F:F,MATCH(C409,Lotteries!A:A,0)))/(INDEX(Lotteries!D:D,MATCH(C409,Lotteries!A:A,0))-1)</f>
        <v>0.22951680672268907</v>
      </c>
      <c r="H409" s="7">
        <f>INDEX(Persons!A:A,MATCH(Sales!I409,Persons!B:B,0))</f>
        <v>54</v>
      </c>
      <c r="I409" s="2" t="str">
        <f t="shared" si="0"/>
        <v>Morten S</v>
      </c>
      <c r="J409">
        <f t="shared" si="1"/>
        <v>5</v>
      </c>
      <c r="L409" t="s">
        <v>142</v>
      </c>
    </row>
    <row r="410" spans="1:12" x14ac:dyDescent="0.25">
      <c r="A410">
        <v>409</v>
      </c>
      <c r="B410">
        <v>14</v>
      </c>
      <c r="C410" s="11">
        <v>22</v>
      </c>
      <c r="D410">
        <v>5</v>
      </c>
      <c r="E410" s="7">
        <f>INDEX(Lotteries!C:C,MATCH(C410,Lotteries!A:A,0))*D410</f>
        <v>50</v>
      </c>
      <c r="F410" s="3">
        <f>D410*INDEX(Lotteries!G:G,MATCH(C410,Lotteries!A:A,0))</f>
        <v>0.25</v>
      </c>
      <c r="G410" s="3">
        <f>INDEX(Lotteries!F:F,MATCH(C410,Lotteries!A:A,0))*D410/INDEX(Lotteries!D:D,MATCH(C410,Lotteries!A:A,0))*(INDEX(Lotteries!D:D,MATCH(C410,Lotteries!A:A,0))-D410)/INDEX(Lotteries!D:D,MATCH(C410,Lotteries!A:A,0))*(INDEX(Lotteries!D:D,MATCH(C410,Lotteries!A:A,0))-INDEX(Lotteries!F:F,MATCH(C410,Lotteries!A:A,0)))/(INDEX(Lotteries!D:D,MATCH(C410,Lotteries!A:A,0))-1)</f>
        <v>0.22951680672268907</v>
      </c>
      <c r="H410" s="7">
        <f>INDEX(Persons!A:A,MATCH(Sales!I410,Persons!B:B,0))</f>
        <v>14</v>
      </c>
      <c r="I410" s="2" t="str">
        <f t="shared" si="0"/>
        <v>Truls</v>
      </c>
      <c r="J410">
        <f t="shared" si="1"/>
        <v>5</v>
      </c>
      <c r="L410" t="s">
        <v>101</v>
      </c>
    </row>
    <row r="411" spans="1:12" x14ac:dyDescent="0.25">
      <c r="A411">
        <v>410</v>
      </c>
      <c r="B411">
        <v>41</v>
      </c>
      <c r="C411" s="11">
        <v>22</v>
      </c>
      <c r="D411">
        <v>7</v>
      </c>
      <c r="E411" s="7">
        <f>INDEX(Lotteries!C:C,MATCH(C411,Lotteries!A:A,0))*D411</f>
        <v>70</v>
      </c>
      <c r="F411" s="3">
        <f>D411*INDEX(Lotteries!G:G,MATCH(C411,Lotteries!A:A,0))</f>
        <v>0.35000000000000003</v>
      </c>
      <c r="G411" s="3">
        <f>INDEX(Lotteries!F:F,MATCH(C411,Lotteries!A:A,0))*D411/INDEX(Lotteries!D:D,MATCH(C411,Lotteries!A:A,0))*(INDEX(Lotteries!D:D,MATCH(C411,Lotteries!A:A,0))-D411)/INDEX(Lotteries!D:D,MATCH(C411,Lotteries!A:A,0))*(INDEX(Lotteries!D:D,MATCH(C411,Lotteries!A:A,0))-INDEX(Lotteries!F:F,MATCH(C411,Lotteries!A:A,0)))/(INDEX(Lotteries!D:D,MATCH(C411,Lotteries!A:A,0))-1)</f>
        <v>0.315735294117647</v>
      </c>
      <c r="H411" s="7">
        <f>INDEX(Persons!A:A,MATCH(Sales!I411,Persons!B:B,0))</f>
        <v>41</v>
      </c>
      <c r="I411" s="2" t="str">
        <f t="shared" ref="I411:I414" si="2">MID(L411,FIND("""name"": """,L411)+9,FIND("""",L411,FIND("""name"": """,L411)+9)-FIND("""name"": """,L411)-9)</f>
        <v>Ruben B</v>
      </c>
      <c r="J411">
        <f t="shared" ref="J411:J414" si="3">VALUE(MID(L411,FIND("""tickets"": ",L411)+11,MIN(IFERROR(FIND(",",L411,FIND("""tickets"": ",L411)),100),FIND("}",L411,FIND("""tickets"": ",L411)))-FIND("""tickets"": ",L411)-11))</f>
        <v>7</v>
      </c>
      <c r="L411" t="s">
        <v>154</v>
      </c>
    </row>
    <row r="412" spans="1:12" x14ac:dyDescent="0.25">
      <c r="A412">
        <v>411</v>
      </c>
      <c r="B412">
        <v>14</v>
      </c>
      <c r="C412" s="11">
        <v>22</v>
      </c>
      <c r="D412">
        <v>5</v>
      </c>
      <c r="E412" s="7">
        <f>INDEX(Lotteries!C:C,MATCH(C412,Lotteries!A:A,0))*D412</f>
        <v>50</v>
      </c>
      <c r="F412" s="3">
        <f>D412*INDEX(Lotteries!G:G,MATCH(C412,Lotteries!A:A,0))</f>
        <v>0.25</v>
      </c>
      <c r="G412" s="3">
        <f>INDEX(Lotteries!F:F,MATCH(C412,Lotteries!A:A,0))*D412/INDEX(Lotteries!D:D,MATCH(C412,Lotteries!A:A,0))*(INDEX(Lotteries!D:D,MATCH(C412,Lotteries!A:A,0))-D412)/INDEX(Lotteries!D:D,MATCH(C412,Lotteries!A:A,0))*(INDEX(Lotteries!D:D,MATCH(C412,Lotteries!A:A,0))-INDEX(Lotteries!F:F,MATCH(C412,Lotteries!A:A,0)))/(INDEX(Lotteries!D:D,MATCH(C412,Lotteries!A:A,0))-1)</f>
        <v>0.22951680672268907</v>
      </c>
      <c r="H412" s="7">
        <f>INDEX(Persons!A:A,MATCH(Sales!I412,Persons!B:B,0))</f>
        <v>14</v>
      </c>
      <c r="I412" s="2" t="str">
        <f t="shared" si="2"/>
        <v>Truls</v>
      </c>
      <c r="J412">
        <f t="shared" si="3"/>
        <v>5</v>
      </c>
      <c r="L412" t="s">
        <v>101</v>
      </c>
    </row>
    <row r="413" spans="1:12" x14ac:dyDescent="0.25">
      <c r="A413">
        <v>412</v>
      </c>
      <c r="B413">
        <v>10</v>
      </c>
      <c r="C413" s="11">
        <v>22</v>
      </c>
      <c r="D413">
        <v>10</v>
      </c>
      <c r="E413" s="7">
        <f>INDEX(Lotteries!C:C,MATCH(C413,Lotteries!A:A,0))*D413</f>
        <v>100</v>
      </c>
      <c r="F413" s="3">
        <f>D413*INDEX(Lotteries!G:G,MATCH(C413,Lotteries!A:A,0))</f>
        <v>0.5</v>
      </c>
      <c r="G413" s="3">
        <f>INDEX(Lotteries!F:F,MATCH(C413,Lotteries!A:A,0))*D413/INDEX(Lotteries!D:D,MATCH(C413,Lotteries!A:A,0))*(INDEX(Lotteries!D:D,MATCH(C413,Lotteries!A:A,0))-D413)/INDEX(Lotteries!D:D,MATCH(C413,Lotteries!A:A,0))*(INDEX(Lotteries!D:D,MATCH(C413,Lotteries!A:A,0))-INDEX(Lotteries!F:F,MATCH(C413,Lotteries!A:A,0)))/(INDEX(Lotteries!D:D,MATCH(C413,Lotteries!A:A,0))-1)</f>
        <v>0.43907563025210083</v>
      </c>
      <c r="H413" s="7">
        <f>INDEX(Persons!A:A,MATCH(Sales!I413,Persons!B:B,0))</f>
        <v>10</v>
      </c>
      <c r="I413" s="2" t="str">
        <f t="shared" si="2"/>
        <v>Odd</v>
      </c>
      <c r="J413">
        <f t="shared" si="3"/>
        <v>10</v>
      </c>
      <c r="L413" t="s">
        <v>155</v>
      </c>
    </row>
    <row r="414" spans="1:12" x14ac:dyDescent="0.25">
      <c r="A414">
        <v>413</v>
      </c>
      <c r="B414">
        <v>29</v>
      </c>
      <c r="C414" s="11">
        <v>22</v>
      </c>
      <c r="D414">
        <v>10</v>
      </c>
      <c r="E414" s="7">
        <f>INDEX(Lotteries!C:C,MATCH(C414,Lotteries!A:A,0))*D414</f>
        <v>100</v>
      </c>
      <c r="F414" s="3">
        <f>D414*INDEX(Lotteries!G:G,MATCH(C414,Lotteries!A:A,0))</f>
        <v>0.5</v>
      </c>
      <c r="G414" s="3">
        <f>INDEX(Lotteries!F:F,MATCH(C414,Lotteries!A:A,0))*D414/INDEX(Lotteries!D:D,MATCH(C414,Lotteries!A:A,0))*(INDEX(Lotteries!D:D,MATCH(C414,Lotteries!A:A,0))-D414)/INDEX(Lotteries!D:D,MATCH(C414,Lotteries!A:A,0))*(INDEX(Lotteries!D:D,MATCH(C414,Lotteries!A:A,0))-INDEX(Lotteries!F:F,MATCH(C414,Lotteries!A:A,0)))/(INDEX(Lotteries!D:D,MATCH(C414,Lotteries!A:A,0))-1)</f>
        <v>0.43907563025210083</v>
      </c>
      <c r="H414" s="7">
        <f>INDEX(Persons!A:A,MATCH(Sales!I414,Persons!B:B,0))</f>
        <v>29</v>
      </c>
      <c r="I414" s="2" t="str">
        <f t="shared" si="2"/>
        <v>Magnus B</v>
      </c>
      <c r="J414">
        <f t="shared" si="3"/>
        <v>10</v>
      </c>
      <c r="L414" t="s">
        <v>156</v>
      </c>
    </row>
    <row r="415" spans="1:12" x14ac:dyDescent="0.25">
      <c r="A415">
        <v>414</v>
      </c>
      <c r="B415">
        <v>48</v>
      </c>
      <c r="C415" s="11">
        <v>22</v>
      </c>
      <c r="D415">
        <v>5</v>
      </c>
      <c r="E415" s="7">
        <f>INDEX(Lotteries!C:C,MATCH(C415,Lotteries!A:A,0))*D415</f>
        <v>50</v>
      </c>
      <c r="F415" s="3">
        <f>D415*INDEX(Lotteries!G:G,MATCH(C415,Lotteries!A:A,0))</f>
        <v>0.25</v>
      </c>
      <c r="G415" s="3">
        <f>INDEX(Lotteries!F:F,MATCH(C415,Lotteries!A:A,0))*D415/INDEX(Lotteries!D:D,MATCH(C415,Lotteries!A:A,0))*(INDEX(Lotteries!D:D,MATCH(C415,Lotteries!A:A,0))-D415)/INDEX(Lotteries!D:D,MATCH(C415,Lotteries!A:A,0))*(INDEX(Lotteries!D:D,MATCH(C415,Lotteries!A:A,0))-INDEX(Lotteries!F:F,MATCH(C415,Lotteries!A:A,0)))/(INDEX(Lotteries!D:D,MATCH(C415,Lotteries!A:A,0))-1)</f>
        <v>0.22951680672268907</v>
      </c>
      <c r="H415" s="7">
        <f>INDEX(Persons!A:A,MATCH(Sales!I415,Persons!B:B,0))</f>
        <v>48</v>
      </c>
      <c r="I415" s="2" t="str">
        <f t="shared" ref="I415" si="4">MID(L415,FIND("""name"": """,L415)+9,FIND("""",L415,FIND("""name"": """,L415)+9)-FIND("""name"": """,L415)-9)</f>
        <v>Ivan</v>
      </c>
      <c r="J415">
        <f t="shared" ref="J415" si="5">VALUE(MID(L415,FIND("""tickets"": ",L415)+11,MIN(IFERROR(FIND(",",L415,FIND("""tickets"": ",L415)),100),FIND("}",L415,FIND("""tickets"": ",L415)))-FIND("""tickets"": ",L415)-11))</f>
        <v>5</v>
      </c>
      <c r="L415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showGridLines="0" topLeftCell="A94" workbookViewId="0">
      <selection activeCell="B119" sqref="B119"/>
    </sheetView>
  </sheetViews>
  <sheetFormatPr defaultColWidth="8.85546875" defaultRowHeight="15" x14ac:dyDescent="0.25"/>
  <cols>
    <col min="6" max="6" width="8.85546875" style="2"/>
  </cols>
  <sheetData>
    <row r="1" spans="1:8" x14ac:dyDescent="0.25">
      <c r="A1" s="20" t="s">
        <v>0</v>
      </c>
      <c r="B1" s="20" t="s">
        <v>19</v>
      </c>
      <c r="C1" s="20" t="s">
        <v>18</v>
      </c>
      <c r="D1" s="20" t="s">
        <v>21</v>
      </c>
      <c r="E1" s="20"/>
      <c r="G1" t="s">
        <v>44</v>
      </c>
      <c r="H1">
        <f>SUM(D:D)</f>
        <v>134</v>
      </c>
    </row>
    <row r="2" spans="1:8" x14ac:dyDescent="0.25">
      <c r="A2">
        <v>1</v>
      </c>
      <c r="B2">
        <v>3</v>
      </c>
      <c r="C2">
        <v>1</v>
      </c>
      <c r="D2">
        <v>1</v>
      </c>
    </row>
    <row r="3" spans="1:8" x14ac:dyDescent="0.25">
      <c r="A3">
        <v>2</v>
      </c>
      <c r="B3">
        <v>5</v>
      </c>
      <c r="C3">
        <v>1</v>
      </c>
      <c r="D3">
        <v>1</v>
      </c>
    </row>
    <row r="4" spans="1:8" x14ac:dyDescent="0.25">
      <c r="A4">
        <v>3</v>
      </c>
      <c r="B4">
        <v>7</v>
      </c>
      <c r="C4">
        <v>1</v>
      </c>
      <c r="D4">
        <v>1</v>
      </c>
    </row>
    <row r="5" spans="1:8" x14ac:dyDescent="0.25">
      <c r="A5">
        <v>4</v>
      </c>
      <c r="B5">
        <v>8</v>
      </c>
      <c r="C5">
        <v>1</v>
      </c>
      <c r="D5">
        <v>1</v>
      </c>
    </row>
    <row r="6" spans="1:8" x14ac:dyDescent="0.25">
      <c r="A6">
        <v>5</v>
      </c>
      <c r="B6">
        <v>9</v>
      </c>
      <c r="C6">
        <v>1</v>
      </c>
      <c r="D6">
        <v>1</v>
      </c>
    </row>
    <row r="7" spans="1:8" x14ac:dyDescent="0.25">
      <c r="A7">
        <v>6</v>
      </c>
      <c r="B7">
        <v>12</v>
      </c>
      <c r="C7">
        <v>1</v>
      </c>
      <c r="D7">
        <v>1</v>
      </c>
    </row>
    <row r="8" spans="1:8" x14ac:dyDescent="0.25">
      <c r="A8">
        <v>7</v>
      </c>
      <c r="B8">
        <v>14</v>
      </c>
      <c r="C8">
        <v>1</v>
      </c>
      <c r="D8">
        <v>2</v>
      </c>
    </row>
    <row r="9" spans="1:8" x14ac:dyDescent="0.25">
      <c r="A9">
        <v>8</v>
      </c>
      <c r="B9">
        <v>15</v>
      </c>
      <c r="C9">
        <v>1</v>
      </c>
      <c r="D9">
        <v>2</v>
      </c>
    </row>
    <row r="10" spans="1:8" x14ac:dyDescent="0.25">
      <c r="A10">
        <v>9</v>
      </c>
      <c r="B10">
        <v>19</v>
      </c>
      <c r="C10">
        <v>2</v>
      </c>
      <c r="D10">
        <v>1</v>
      </c>
    </row>
    <row r="11" spans="1:8" x14ac:dyDescent="0.25">
      <c r="A11">
        <v>10</v>
      </c>
      <c r="B11">
        <v>20</v>
      </c>
      <c r="C11">
        <v>2</v>
      </c>
      <c r="D11">
        <v>1</v>
      </c>
    </row>
    <row r="12" spans="1:8" x14ac:dyDescent="0.25">
      <c r="A12">
        <v>11</v>
      </c>
      <c r="B12">
        <v>8</v>
      </c>
      <c r="C12">
        <v>2</v>
      </c>
      <c r="D12">
        <v>1</v>
      </c>
    </row>
    <row r="13" spans="1:8" x14ac:dyDescent="0.25">
      <c r="A13">
        <v>12</v>
      </c>
      <c r="B13">
        <v>22</v>
      </c>
      <c r="C13">
        <v>2</v>
      </c>
      <c r="D13">
        <v>1</v>
      </c>
    </row>
    <row r="14" spans="1:8" x14ac:dyDescent="0.25">
      <c r="A14">
        <v>13</v>
      </c>
      <c r="B14">
        <v>10</v>
      </c>
      <c r="C14">
        <v>2</v>
      </c>
      <c r="D14">
        <v>1</v>
      </c>
    </row>
    <row r="15" spans="1:8" x14ac:dyDescent="0.25">
      <c r="A15">
        <v>14</v>
      </c>
      <c r="B15">
        <v>23</v>
      </c>
      <c r="C15">
        <v>2</v>
      </c>
      <c r="D15">
        <v>1</v>
      </c>
    </row>
    <row r="16" spans="1:8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5</v>
      </c>
      <c r="C17">
        <v>3</v>
      </c>
      <c r="D17">
        <v>1</v>
      </c>
    </row>
    <row r="18" spans="1:4" x14ac:dyDescent="0.25">
      <c r="A18">
        <v>17</v>
      </c>
      <c r="B18">
        <v>6</v>
      </c>
      <c r="C18">
        <v>3</v>
      </c>
      <c r="D18">
        <v>1</v>
      </c>
    </row>
    <row r="19" spans="1:4" x14ac:dyDescent="0.25">
      <c r="A19">
        <v>18</v>
      </c>
      <c r="B19">
        <v>21</v>
      </c>
      <c r="C19">
        <v>3</v>
      </c>
      <c r="D19">
        <v>1</v>
      </c>
    </row>
    <row r="20" spans="1:4" x14ac:dyDescent="0.25">
      <c r="A20">
        <v>19</v>
      </c>
      <c r="B20">
        <v>8</v>
      </c>
      <c r="C20">
        <v>3</v>
      </c>
      <c r="D20">
        <v>1</v>
      </c>
    </row>
    <row r="21" spans="1:4" x14ac:dyDescent="0.25">
      <c r="A21">
        <v>20</v>
      </c>
      <c r="B21">
        <v>10</v>
      </c>
      <c r="C21">
        <v>3</v>
      </c>
      <c r="D21">
        <v>1</v>
      </c>
    </row>
    <row r="22" spans="1:4" x14ac:dyDescent="0.25">
      <c r="A22">
        <v>21</v>
      </c>
      <c r="B22">
        <v>23</v>
      </c>
      <c r="C22">
        <v>4</v>
      </c>
      <c r="D22">
        <v>1</v>
      </c>
    </row>
    <row r="23" spans="1:4" x14ac:dyDescent="0.25">
      <c r="A23">
        <v>22</v>
      </c>
      <c r="B23">
        <v>8</v>
      </c>
      <c r="C23">
        <v>4</v>
      </c>
      <c r="D23">
        <v>1</v>
      </c>
    </row>
    <row r="24" spans="1:4" x14ac:dyDescent="0.25">
      <c r="A24">
        <v>23</v>
      </c>
      <c r="B24">
        <v>9</v>
      </c>
      <c r="C24">
        <v>4</v>
      </c>
      <c r="D24">
        <v>1</v>
      </c>
    </row>
    <row r="25" spans="1:4" x14ac:dyDescent="0.25">
      <c r="A25">
        <v>24</v>
      </c>
      <c r="B25">
        <v>4</v>
      </c>
      <c r="C25">
        <v>4</v>
      </c>
      <c r="D25">
        <v>1</v>
      </c>
    </row>
    <row r="26" spans="1:4" x14ac:dyDescent="0.25">
      <c r="A26">
        <v>25</v>
      </c>
      <c r="B26">
        <v>29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5</v>
      </c>
      <c r="D27">
        <v>1</v>
      </c>
    </row>
    <row r="28" spans="1:4" x14ac:dyDescent="0.25">
      <c r="A28">
        <v>27</v>
      </c>
      <c r="B28">
        <v>13</v>
      </c>
      <c r="C28">
        <v>5</v>
      </c>
      <c r="D28">
        <v>1</v>
      </c>
    </row>
    <row r="29" spans="1:4" x14ac:dyDescent="0.25">
      <c r="A29">
        <v>28</v>
      </c>
      <c r="B29">
        <v>19</v>
      </c>
      <c r="C29">
        <v>5</v>
      </c>
      <c r="D29">
        <v>1</v>
      </c>
    </row>
    <row r="30" spans="1:4" x14ac:dyDescent="0.25">
      <c r="A30">
        <v>29</v>
      </c>
      <c r="B30">
        <v>7</v>
      </c>
      <c r="C30">
        <v>5</v>
      </c>
      <c r="D30">
        <v>1</v>
      </c>
    </row>
    <row r="31" spans="1:4" x14ac:dyDescent="0.25">
      <c r="A31">
        <v>30</v>
      </c>
      <c r="B31">
        <v>1</v>
      </c>
      <c r="C31">
        <v>5</v>
      </c>
      <c r="D31">
        <v>1</v>
      </c>
    </row>
    <row r="32" spans="1:4" x14ac:dyDescent="0.25">
      <c r="A32">
        <v>31</v>
      </c>
      <c r="B32">
        <v>14</v>
      </c>
      <c r="C32">
        <v>6</v>
      </c>
      <c r="D32">
        <v>1</v>
      </c>
    </row>
    <row r="33" spans="1:4" x14ac:dyDescent="0.25">
      <c r="A33">
        <v>32</v>
      </c>
      <c r="B33">
        <v>10</v>
      </c>
      <c r="C33">
        <v>6</v>
      </c>
      <c r="D33">
        <v>1</v>
      </c>
    </row>
    <row r="34" spans="1:4" x14ac:dyDescent="0.25">
      <c r="A34">
        <v>33</v>
      </c>
      <c r="B34">
        <v>7</v>
      </c>
      <c r="C34">
        <v>6</v>
      </c>
      <c r="D34">
        <v>1</v>
      </c>
    </row>
    <row r="35" spans="1:4" x14ac:dyDescent="0.25">
      <c r="A35">
        <v>34</v>
      </c>
      <c r="B35">
        <v>12</v>
      </c>
      <c r="C35">
        <v>6</v>
      </c>
      <c r="D35">
        <v>1</v>
      </c>
    </row>
    <row r="36" spans="1:4" x14ac:dyDescent="0.25">
      <c r="A36">
        <v>35</v>
      </c>
      <c r="B36">
        <v>24</v>
      </c>
      <c r="C36">
        <v>6</v>
      </c>
      <c r="D36">
        <v>1</v>
      </c>
    </row>
    <row r="37" spans="1:4" x14ac:dyDescent="0.25">
      <c r="A37">
        <v>36</v>
      </c>
      <c r="B37">
        <v>29</v>
      </c>
      <c r="C37">
        <v>7</v>
      </c>
      <c r="D37">
        <v>1</v>
      </c>
    </row>
    <row r="38" spans="1:4" x14ac:dyDescent="0.25">
      <c r="A38">
        <v>37</v>
      </c>
      <c r="B38">
        <v>9</v>
      </c>
      <c r="C38">
        <v>7</v>
      </c>
      <c r="D38">
        <v>1</v>
      </c>
    </row>
    <row r="39" spans="1:4" x14ac:dyDescent="0.25">
      <c r="A39">
        <v>38</v>
      </c>
      <c r="B39">
        <v>20</v>
      </c>
      <c r="C39">
        <v>7</v>
      </c>
      <c r="D39">
        <v>1</v>
      </c>
    </row>
    <row r="40" spans="1:4" x14ac:dyDescent="0.25">
      <c r="A40">
        <v>39</v>
      </c>
      <c r="B40">
        <v>32</v>
      </c>
      <c r="C40">
        <v>7</v>
      </c>
      <c r="D40">
        <v>1</v>
      </c>
    </row>
    <row r="41" spans="1:4" x14ac:dyDescent="0.25">
      <c r="A41">
        <v>40</v>
      </c>
      <c r="B41">
        <v>5</v>
      </c>
      <c r="C41">
        <v>7</v>
      </c>
      <c r="D41">
        <v>1</v>
      </c>
    </row>
    <row r="42" spans="1:4" x14ac:dyDescent="0.25">
      <c r="A42">
        <v>41</v>
      </c>
      <c r="B42">
        <v>5</v>
      </c>
      <c r="C42">
        <v>7</v>
      </c>
      <c r="D42">
        <v>1</v>
      </c>
    </row>
    <row r="43" spans="1:4" x14ac:dyDescent="0.25">
      <c r="A43">
        <v>42</v>
      </c>
      <c r="B43">
        <v>31</v>
      </c>
      <c r="C43">
        <v>7</v>
      </c>
      <c r="D43">
        <v>1</v>
      </c>
    </row>
    <row r="44" spans="1:4" x14ac:dyDescent="0.25">
      <c r="A44">
        <v>43</v>
      </c>
      <c r="B44">
        <v>9</v>
      </c>
      <c r="C44">
        <v>8</v>
      </c>
      <c r="D44">
        <v>1</v>
      </c>
    </row>
    <row r="45" spans="1:4" x14ac:dyDescent="0.25">
      <c r="A45">
        <v>44</v>
      </c>
      <c r="B45">
        <v>36</v>
      </c>
      <c r="C45">
        <v>8</v>
      </c>
      <c r="D45">
        <v>1</v>
      </c>
    </row>
    <row r="46" spans="1:4" x14ac:dyDescent="0.25">
      <c r="A46">
        <v>45</v>
      </c>
      <c r="B46">
        <v>38</v>
      </c>
      <c r="C46">
        <v>8</v>
      </c>
      <c r="D46">
        <v>1</v>
      </c>
    </row>
    <row r="47" spans="1:4" x14ac:dyDescent="0.25">
      <c r="A47">
        <v>46</v>
      </c>
      <c r="B47">
        <v>37</v>
      </c>
      <c r="C47">
        <v>8</v>
      </c>
      <c r="D47">
        <v>1</v>
      </c>
    </row>
    <row r="48" spans="1:4" x14ac:dyDescent="0.25">
      <c r="A48">
        <v>47</v>
      </c>
      <c r="B48">
        <v>2</v>
      </c>
      <c r="C48">
        <v>8</v>
      </c>
      <c r="D48">
        <v>1</v>
      </c>
    </row>
    <row r="49" spans="1:4" x14ac:dyDescent="0.25">
      <c r="A49">
        <v>48</v>
      </c>
      <c r="B49">
        <v>8</v>
      </c>
      <c r="C49">
        <v>8</v>
      </c>
      <c r="D49">
        <v>1</v>
      </c>
    </row>
    <row r="50" spans="1:4" x14ac:dyDescent="0.25">
      <c r="A50">
        <v>49</v>
      </c>
      <c r="B50">
        <v>38</v>
      </c>
      <c r="C50">
        <v>8</v>
      </c>
      <c r="D50">
        <v>1</v>
      </c>
    </row>
    <row r="51" spans="1:4" x14ac:dyDescent="0.25">
      <c r="A51">
        <v>50</v>
      </c>
      <c r="B51">
        <v>8</v>
      </c>
      <c r="C51">
        <v>9</v>
      </c>
      <c r="D51">
        <v>1</v>
      </c>
    </row>
    <row r="52" spans="1:4" x14ac:dyDescent="0.25">
      <c r="A52">
        <v>51</v>
      </c>
      <c r="B52">
        <v>9</v>
      </c>
      <c r="C52">
        <v>9</v>
      </c>
      <c r="D52">
        <v>1</v>
      </c>
    </row>
    <row r="53" spans="1:4" x14ac:dyDescent="0.25">
      <c r="A53">
        <v>52</v>
      </c>
      <c r="B53">
        <v>37</v>
      </c>
      <c r="C53">
        <v>9</v>
      </c>
      <c r="D53">
        <v>1</v>
      </c>
    </row>
    <row r="54" spans="1:4" x14ac:dyDescent="0.25">
      <c r="A54">
        <v>53</v>
      </c>
      <c r="B54">
        <v>2</v>
      </c>
      <c r="C54">
        <v>9</v>
      </c>
      <c r="D54">
        <v>1</v>
      </c>
    </row>
    <row r="55" spans="1:4" x14ac:dyDescent="0.25">
      <c r="A55">
        <v>54</v>
      </c>
      <c r="B55">
        <v>12</v>
      </c>
      <c r="C55">
        <v>9</v>
      </c>
      <c r="D55">
        <v>1</v>
      </c>
    </row>
    <row r="56" spans="1:4" x14ac:dyDescent="0.25">
      <c r="A56">
        <v>55</v>
      </c>
      <c r="B56">
        <v>15</v>
      </c>
      <c r="C56">
        <v>10</v>
      </c>
      <c r="D56">
        <v>1</v>
      </c>
    </row>
    <row r="57" spans="1:4" x14ac:dyDescent="0.25">
      <c r="A57">
        <v>56</v>
      </c>
      <c r="B57">
        <v>23</v>
      </c>
      <c r="C57">
        <v>10</v>
      </c>
      <c r="D57">
        <v>2</v>
      </c>
    </row>
    <row r="58" spans="1:4" x14ac:dyDescent="0.25">
      <c r="A58">
        <v>57</v>
      </c>
      <c r="B58">
        <v>35</v>
      </c>
      <c r="C58">
        <v>10</v>
      </c>
      <c r="D58">
        <v>1</v>
      </c>
    </row>
    <row r="59" spans="1:4" x14ac:dyDescent="0.25">
      <c r="A59">
        <v>58</v>
      </c>
      <c r="B59">
        <v>8</v>
      </c>
      <c r="C59">
        <v>10</v>
      </c>
      <c r="D59">
        <v>1</v>
      </c>
    </row>
    <row r="60" spans="1:4" x14ac:dyDescent="0.25">
      <c r="A60">
        <v>59</v>
      </c>
      <c r="B60">
        <v>33</v>
      </c>
      <c r="C60">
        <v>11</v>
      </c>
      <c r="D60">
        <v>1</v>
      </c>
    </row>
    <row r="61" spans="1:4" x14ac:dyDescent="0.25">
      <c r="A61">
        <v>60</v>
      </c>
      <c r="B61">
        <v>14</v>
      </c>
      <c r="C61">
        <v>11</v>
      </c>
      <c r="D61">
        <v>1</v>
      </c>
    </row>
    <row r="62" spans="1:4" x14ac:dyDescent="0.25">
      <c r="A62">
        <v>61</v>
      </c>
      <c r="B62">
        <v>20</v>
      </c>
      <c r="C62">
        <v>11</v>
      </c>
      <c r="D62">
        <v>1</v>
      </c>
    </row>
    <row r="63" spans="1:4" x14ac:dyDescent="0.25">
      <c r="A63">
        <v>62</v>
      </c>
      <c r="B63">
        <v>18</v>
      </c>
      <c r="C63">
        <v>11</v>
      </c>
      <c r="D63">
        <v>1</v>
      </c>
    </row>
    <row r="64" spans="1:4" x14ac:dyDescent="0.25">
      <c r="A64">
        <v>63</v>
      </c>
      <c r="B64">
        <v>1</v>
      </c>
      <c r="C64">
        <v>11</v>
      </c>
      <c r="D64">
        <v>1</v>
      </c>
    </row>
    <row r="65" spans="1:4" x14ac:dyDescent="0.25">
      <c r="A65">
        <v>64</v>
      </c>
      <c r="B65">
        <v>38</v>
      </c>
      <c r="C65">
        <v>11</v>
      </c>
      <c r="D65">
        <v>1</v>
      </c>
    </row>
    <row r="66" spans="1:4" x14ac:dyDescent="0.25">
      <c r="A66">
        <v>65</v>
      </c>
      <c r="B66">
        <v>9</v>
      </c>
      <c r="C66">
        <v>12</v>
      </c>
      <c r="D66">
        <v>1</v>
      </c>
    </row>
    <row r="67" spans="1:4" x14ac:dyDescent="0.25">
      <c r="A67">
        <v>66</v>
      </c>
      <c r="B67">
        <v>19</v>
      </c>
      <c r="C67">
        <v>12</v>
      </c>
      <c r="D67">
        <v>2</v>
      </c>
    </row>
    <row r="68" spans="1:4" x14ac:dyDescent="0.25">
      <c r="A68">
        <v>67</v>
      </c>
      <c r="B68">
        <v>4</v>
      </c>
      <c r="C68">
        <v>12</v>
      </c>
      <c r="D68">
        <v>2</v>
      </c>
    </row>
    <row r="69" spans="1:4" x14ac:dyDescent="0.25">
      <c r="A69">
        <v>68</v>
      </c>
      <c r="B69">
        <v>32</v>
      </c>
      <c r="C69">
        <v>12</v>
      </c>
      <c r="D69">
        <v>1</v>
      </c>
    </row>
    <row r="70" spans="1:4" x14ac:dyDescent="0.25">
      <c r="A70">
        <v>69</v>
      </c>
      <c r="B70">
        <v>35</v>
      </c>
      <c r="C70">
        <v>13</v>
      </c>
      <c r="D70">
        <v>1</v>
      </c>
    </row>
    <row r="71" spans="1:4" x14ac:dyDescent="0.25">
      <c r="A71">
        <v>70</v>
      </c>
      <c r="B71">
        <v>33</v>
      </c>
      <c r="C71">
        <v>13</v>
      </c>
      <c r="D71">
        <v>1</v>
      </c>
    </row>
    <row r="72" spans="1:4" x14ac:dyDescent="0.25">
      <c r="A72">
        <v>71</v>
      </c>
      <c r="B72">
        <v>38</v>
      </c>
      <c r="C72">
        <v>13</v>
      </c>
      <c r="D72">
        <v>1</v>
      </c>
    </row>
    <row r="73" spans="1:4" x14ac:dyDescent="0.25">
      <c r="A73">
        <v>72</v>
      </c>
      <c r="B73">
        <v>14</v>
      </c>
      <c r="C73">
        <v>13</v>
      </c>
      <c r="D73">
        <v>1</v>
      </c>
    </row>
    <row r="74" spans="1:4" x14ac:dyDescent="0.25">
      <c r="A74">
        <v>73</v>
      </c>
      <c r="B74">
        <v>8</v>
      </c>
      <c r="C74">
        <v>13</v>
      </c>
      <c r="D74">
        <v>1</v>
      </c>
    </row>
    <row r="75" spans="1:4" x14ac:dyDescent="0.25">
      <c r="A75">
        <v>74</v>
      </c>
      <c r="B75">
        <v>36</v>
      </c>
      <c r="C75">
        <v>14</v>
      </c>
      <c r="D75">
        <v>1</v>
      </c>
    </row>
    <row r="76" spans="1:4" x14ac:dyDescent="0.25">
      <c r="A76">
        <v>75</v>
      </c>
      <c r="B76">
        <v>41</v>
      </c>
      <c r="C76">
        <v>14</v>
      </c>
      <c r="D76">
        <v>2</v>
      </c>
    </row>
    <row r="77" spans="1:4" x14ac:dyDescent="0.25">
      <c r="A77">
        <v>76</v>
      </c>
      <c r="B77">
        <v>7</v>
      </c>
      <c r="C77">
        <v>14</v>
      </c>
      <c r="D77">
        <v>1</v>
      </c>
    </row>
    <row r="78" spans="1:4" x14ac:dyDescent="0.25">
      <c r="A78">
        <v>77</v>
      </c>
      <c r="B78">
        <v>1</v>
      </c>
      <c r="C78">
        <v>14</v>
      </c>
      <c r="D78">
        <v>1</v>
      </c>
    </row>
    <row r="79" spans="1:4" x14ac:dyDescent="0.25">
      <c r="A79">
        <v>78</v>
      </c>
      <c r="B79">
        <v>43</v>
      </c>
      <c r="C79">
        <v>14</v>
      </c>
      <c r="D79">
        <v>1</v>
      </c>
    </row>
    <row r="80" spans="1:4" x14ac:dyDescent="0.25">
      <c r="A80">
        <v>79</v>
      </c>
      <c r="B80">
        <v>33</v>
      </c>
      <c r="C80">
        <v>15</v>
      </c>
      <c r="D80">
        <v>1</v>
      </c>
    </row>
    <row r="81" spans="1:4" x14ac:dyDescent="0.25">
      <c r="A81">
        <v>80</v>
      </c>
      <c r="B81">
        <v>6</v>
      </c>
      <c r="C81">
        <v>15</v>
      </c>
      <c r="D81">
        <v>1</v>
      </c>
    </row>
    <row r="82" spans="1:4" x14ac:dyDescent="0.25">
      <c r="A82">
        <v>81</v>
      </c>
      <c r="B82">
        <v>37</v>
      </c>
      <c r="C82">
        <v>15</v>
      </c>
      <c r="D82">
        <v>1</v>
      </c>
    </row>
    <row r="83" spans="1:4" x14ac:dyDescent="0.25">
      <c r="A83">
        <v>82</v>
      </c>
      <c r="B83">
        <v>34</v>
      </c>
      <c r="C83">
        <v>15</v>
      </c>
      <c r="D83">
        <v>1</v>
      </c>
    </row>
    <row r="84" spans="1:4" x14ac:dyDescent="0.25">
      <c r="A84">
        <v>83</v>
      </c>
      <c r="B84">
        <v>44</v>
      </c>
      <c r="C84">
        <v>15</v>
      </c>
      <c r="D84">
        <v>1</v>
      </c>
    </row>
    <row r="85" spans="1:4" x14ac:dyDescent="0.25">
      <c r="A85">
        <v>84</v>
      </c>
      <c r="B85">
        <v>15</v>
      </c>
      <c r="C85">
        <v>15</v>
      </c>
      <c r="D85">
        <v>1</v>
      </c>
    </row>
    <row r="86" spans="1:4" x14ac:dyDescent="0.25">
      <c r="A86">
        <v>85</v>
      </c>
      <c r="B86">
        <v>41</v>
      </c>
      <c r="C86">
        <v>16</v>
      </c>
      <c r="D86">
        <v>1</v>
      </c>
    </row>
    <row r="87" spans="1:4" x14ac:dyDescent="0.25">
      <c r="A87">
        <v>86</v>
      </c>
      <c r="B87">
        <v>5</v>
      </c>
      <c r="C87">
        <v>16</v>
      </c>
      <c r="D87">
        <v>1</v>
      </c>
    </row>
    <row r="88" spans="1:4" x14ac:dyDescent="0.25">
      <c r="A88">
        <v>87</v>
      </c>
      <c r="B88">
        <v>14</v>
      </c>
      <c r="C88">
        <v>16</v>
      </c>
      <c r="D88">
        <v>1</v>
      </c>
    </row>
    <row r="89" spans="1:4" x14ac:dyDescent="0.25">
      <c r="A89">
        <v>88</v>
      </c>
      <c r="B89">
        <v>15</v>
      </c>
      <c r="C89">
        <v>16</v>
      </c>
      <c r="D89">
        <v>1</v>
      </c>
    </row>
    <row r="90" spans="1:4" x14ac:dyDescent="0.25">
      <c r="A90">
        <v>89</v>
      </c>
      <c r="B90">
        <v>10</v>
      </c>
      <c r="C90">
        <v>16</v>
      </c>
      <c r="D90">
        <v>2</v>
      </c>
    </row>
    <row r="91" spans="1:4" x14ac:dyDescent="0.25">
      <c r="A91">
        <v>90</v>
      </c>
      <c r="B91">
        <v>48</v>
      </c>
      <c r="C91">
        <v>17</v>
      </c>
      <c r="D91">
        <v>1</v>
      </c>
    </row>
    <row r="92" spans="1:4" x14ac:dyDescent="0.25">
      <c r="A92">
        <v>91</v>
      </c>
      <c r="B92">
        <v>46</v>
      </c>
      <c r="C92">
        <v>17</v>
      </c>
      <c r="D92">
        <v>1</v>
      </c>
    </row>
    <row r="93" spans="1:4" x14ac:dyDescent="0.25">
      <c r="A93">
        <v>92</v>
      </c>
      <c r="B93">
        <v>1</v>
      </c>
      <c r="C93">
        <v>17</v>
      </c>
      <c r="D93">
        <v>2</v>
      </c>
    </row>
    <row r="94" spans="1:4" x14ac:dyDescent="0.25">
      <c r="A94">
        <v>93</v>
      </c>
      <c r="B94">
        <v>42</v>
      </c>
      <c r="C94">
        <v>17</v>
      </c>
      <c r="D94">
        <v>1</v>
      </c>
    </row>
    <row r="95" spans="1:4" x14ac:dyDescent="0.25">
      <c r="A95">
        <v>94</v>
      </c>
      <c r="B95">
        <v>20</v>
      </c>
      <c r="C95">
        <v>17</v>
      </c>
      <c r="D95">
        <v>1</v>
      </c>
    </row>
    <row r="96" spans="1:4" x14ac:dyDescent="0.25">
      <c r="A96">
        <v>95</v>
      </c>
      <c r="B96">
        <v>32</v>
      </c>
      <c r="C96">
        <v>17</v>
      </c>
      <c r="D96">
        <v>1</v>
      </c>
    </row>
    <row r="97" spans="1:4" x14ac:dyDescent="0.25">
      <c r="A97">
        <v>96</v>
      </c>
      <c r="B97">
        <v>37</v>
      </c>
      <c r="C97">
        <v>18</v>
      </c>
      <c r="D97">
        <v>1</v>
      </c>
    </row>
    <row r="98" spans="1:4" x14ac:dyDescent="0.25">
      <c r="A98">
        <v>97</v>
      </c>
      <c r="B98">
        <v>33</v>
      </c>
      <c r="C98">
        <v>18</v>
      </c>
      <c r="D98">
        <v>2</v>
      </c>
    </row>
    <row r="99" spans="1:4" x14ac:dyDescent="0.25">
      <c r="A99">
        <v>98</v>
      </c>
      <c r="B99">
        <v>44</v>
      </c>
      <c r="C99">
        <v>18</v>
      </c>
      <c r="D99">
        <v>1</v>
      </c>
    </row>
    <row r="100" spans="1:4" x14ac:dyDescent="0.25">
      <c r="A100">
        <v>99</v>
      </c>
      <c r="B100">
        <v>10</v>
      </c>
      <c r="C100">
        <v>18</v>
      </c>
      <c r="D100">
        <v>1</v>
      </c>
    </row>
    <row r="101" spans="1:4" x14ac:dyDescent="0.25">
      <c r="A101">
        <v>100</v>
      </c>
      <c r="B101">
        <v>41</v>
      </c>
      <c r="C101">
        <v>18</v>
      </c>
      <c r="D101">
        <v>1</v>
      </c>
    </row>
    <row r="102" spans="1:4" x14ac:dyDescent="0.25">
      <c r="A102">
        <v>101</v>
      </c>
      <c r="B102">
        <v>15</v>
      </c>
      <c r="C102">
        <v>19</v>
      </c>
      <c r="D102">
        <v>1</v>
      </c>
    </row>
    <row r="103" spans="1:4" x14ac:dyDescent="0.25">
      <c r="A103">
        <v>102</v>
      </c>
      <c r="B103">
        <v>10</v>
      </c>
      <c r="C103">
        <v>19</v>
      </c>
      <c r="D103">
        <v>1</v>
      </c>
    </row>
    <row r="104" spans="1:4" x14ac:dyDescent="0.25">
      <c r="A104">
        <v>103</v>
      </c>
      <c r="B104">
        <v>14</v>
      </c>
      <c r="C104">
        <v>19</v>
      </c>
      <c r="D104">
        <v>1</v>
      </c>
    </row>
    <row r="105" spans="1:4" x14ac:dyDescent="0.25">
      <c r="A105">
        <v>104</v>
      </c>
      <c r="B105">
        <v>46</v>
      </c>
      <c r="C105">
        <v>19</v>
      </c>
      <c r="D105">
        <v>1</v>
      </c>
    </row>
    <row r="106" spans="1:4" x14ac:dyDescent="0.25">
      <c r="A106">
        <v>105</v>
      </c>
      <c r="B106">
        <v>52</v>
      </c>
      <c r="C106">
        <v>19</v>
      </c>
      <c r="D106">
        <v>1</v>
      </c>
    </row>
    <row r="107" spans="1:4" x14ac:dyDescent="0.25">
      <c r="A107">
        <v>106</v>
      </c>
      <c r="B107">
        <v>20</v>
      </c>
      <c r="C107">
        <v>19</v>
      </c>
      <c r="D107">
        <v>2</v>
      </c>
    </row>
    <row r="108" spans="1:4" x14ac:dyDescent="0.25">
      <c r="A108">
        <v>107</v>
      </c>
      <c r="B108">
        <v>32</v>
      </c>
      <c r="C108">
        <v>19</v>
      </c>
      <c r="D108">
        <v>1</v>
      </c>
    </row>
    <row r="109" spans="1:4" x14ac:dyDescent="0.25">
      <c r="A109">
        <v>108</v>
      </c>
      <c r="B109">
        <v>13</v>
      </c>
      <c r="C109">
        <v>20</v>
      </c>
      <c r="D109">
        <v>1</v>
      </c>
    </row>
    <row r="110" spans="1:4" x14ac:dyDescent="0.25">
      <c r="A110">
        <v>109</v>
      </c>
      <c r="B110">
        <v>10</v>
      </c>
      <c r="C110">
        <v>20</v>
      </c>
      <c r="D110">
        <v>1</v>
      </c>
    </row>
    <row r="111" spans="1:4" x14ac:dyDescent="0.25">
      <c r="A111">
        <v>110</v>
      </c>
      <c r="B111">
        <v>29</v>
      </c>
      <c r="C111">
        <v>20</v>
      </c>
      <c r="D111">
        <v>2</v>
      </c>
    </row>
    <row r="112" spans="1:4" x14ac:dyDescent="0.25">
      <c r="A112">
        <v>111</v>
      </c>
      <c r="B112">
        <v>33</v>
      </c>
      <c r="C112">
        <v>20</v>
      </c>
      <c r="D112">
        <v>1</v>
      </c>
    </row>
    <row r="113" spans="1:9" x14ac:dyDescent="0.25">
      <c r="A113">
        <v>112</v>
      </c>
      <c r="B113">
        <v>48</v>
      </c>
      <c r="C113">
        <v>20</v>
      </c>
      <c r="D113">
        <v>1</v>
      </c>
    </row>
    <row r="114" spans="1:9" x14ac:dyDescent="0.25">
      <c r="A114">
        <v>113</v>
      </c>
      <c r="B114">
        <v>17</v>
      </c>
      <c r="C114">
        <v>21</v>
      </c>
      <c r="D114">
        <v>1</v>
      </c>
    </row>
    <row r="115" spans="1:9" x14ac:dyDescent="0.25">
      <c r="A115">
        <v>114</v>
      </c>
      <c r="B115">
        <v>34</v>
      </c>
      <c r="C115">
        <v>21</v>
      </c>
      <c r="D115">
        <v>1</v>
      </c>
    </row>
    <row r="116" spans="1:9" x14ac:dyDescent="0.25">
      <c r="A116">
        <v>115</v>
      </c>
      <c r="B116">
        <v>48</v>
      </c>
      <c r="C116">
        <v>21</v>
      </c>
      <c r="D116">
        <v>1</v>
      </c>
    </row>
    <row r="117" spans="1:9" x14ac:dyDescent="0.25">
      <c r="A117">
        <v>116</v>
      </c>
      <c r="B117">
        <v>13</v>
      </c>
      <c r="C117">
        <v>21</v>
      </c>
      <c r="D117">
        <v>1</v>
      </c>
    </row>
    <row r="118" spans="1:9" x14ac:dyDescent="0.25">
      <c r="A118">
        <v>117</v>
      </c>
      <c r="B118">
        <v>10</v>
      </c>
      <c r="C118">
        <v>21</v>
      </c>
      <c r="D118">
        <v>1</v>
      </c>
    </row>
    <row r="119" spans="1:9" x14ac:dyDescent="0.25">
      <c r="A119">
        <v>118</v>
      </c>
      <c r="B119">
        <v>13</v>
      </c>
      <c r="C119">
        <v>22</v>
      </c>
      <c r="D119">
        <v>2</v>
      </c>
      <c r="E119">
        <f>INDEX(Persons!A:A,MATCH(Prizes!F119,Persons!B:B,0))</f>
        <v>13</v>
      </c>
      <c r="F119" s="2" t="str">
        <f>MID(I119,FIND("""name"": """,I119)+9,FIND("""",I119,FIND("""name"": """,I119)+9)-FIND("""name"": """,I119)-9)</f>
        <v>Sven</v>
      </c>
      <c r="G119">
        <f>VALUE(MID(I119,FIND("""prizes"": ",I119)+10,FIND("}",I119,FIND("""prizes"": ",I119))-FIND("""prizes"": ",I119)-10))</f>
        <v>2</v>
      </c>
      <c r="I119" t="s">
        <v>158</v>
      </c>
    </row>
    <row r="120" spans="1:9" x14ac:dyDescent="0.25">
      <c r="A120">
        <v>119</v>
      </c>
      <c r="B120">
        <v>56</v>
      </c>
      <c r="C120">
        <v>22</v>
      </c>
      <c r="D120">
        <v>2</v>
      </c>
      <c r="E120">
        <f>INDEX(Persons!A:A,MATCH(Prizes!F120,Persons!B:B,0))</f>
        <v>56</v>
      </c>
      <c r="F120" s="2" t="str">
        <f>MID(I120,FIND("""name"": """,I120)+9,FIND("""",I120,FIND("""name"": """,I120)+9)-FIND("""name"": """,I120)-9)</f>
        <v>Sivert</v>
      </c>
      <c r="G120">
        <f>VALUE(MID(I120,FIND("""prizes"": ",I120)+10,FIND("}",I120,FIND("""prizes"": ",I120))-FIND("""prizes"": ",I120)-10))</f>
        <v>2</v>
      </c>
      <c r="I120" t="s">
        <v>159</v>
      </c>
    </row>
    <row r="121" spans="1:9" x14ac:dyDescent="0.25">
      <c r="A121">
        <v>120</v>
      </c>
      <c r="B121">
        <v>14</v>
      </c>
      <c r="C121">
        <v>22</v>
      </c>
      <c r="D121">
        <v>1</v>
      </c>
      <c r="E121">
        <f>INDEX(Persons!A:A,MATCH(Prizes!F121,Persons!B:B,0))</f>
        <v>14</v>
      </c>
      <c r="F121" s="2" t="str">
        <f>MID(I121,FIND("""name"": """,I121)+9,FIND("""",I121,FIND("""name"": """,I121)+9)-FIND("""name"": """,I121)-9)</f>
        <v>Truls</v>
      </c>
      <c r="G121">
        <f>VALUE(MID(I121,FIND("""prizes"": ",I121)+10,FIND("}",I121,FIND("""prizes"": ",I121))-FIND("""prizes"": ",I121)-10))</f>
        <v>1</v>
      </c>
      <c r="I121" t="s">
        <v>160</v>
      </c>
    </row>
    <row r="122" spans="1:9" x14ac:dyDescent="0.25">
      <c r="A122">
        <v>121</v>
      </c>
      <c r="B122">
        <v>10</v>
      </c>
      <c r="C122">
        <v>22</v>
      </c>
      <c r="D122">
        <v>1</v>
      </c>
      <c r="E122">
        <f>INDEX(Persons!A:A,MATCH(Prizes!F122,Persons!B:B,0))</f>
        <v>10</v>
      </c>
      <c r="F122" s="2" t="str">
        <f>MID(I122,FIND("""name"": """,I122)+9,FIND("""",I122,FIND("""name"": """,I122)+9)-FIND("""name"": """,I122)-9)</f>
        <v>Odd</v>
      </c>
      <c r="G122">
        <f>VALUE(MID(I122,FIND("""prizes"": ",I122)+10,FIND("}",I122,FIND("""prizes"": ",I122))-FIND("""prizes"": ",I122)-10))</f>
        <v>1</v>
      </c>
      <c r="I122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showGridLines="0" tabSelected="1" workbookViewId="0">
      <selection activeCell="A19" sqref="A19"/>
    </sheetView>
  </sheetViews>
  <sheetFormatPr defaultColWidth="8.85546875" defaultRowHeight="15" x14ac:dyDescent="0.25"/>
  <cols>
    <col min="2" max="2" width="10.140625" bestFit="1" customWidth="1"/>
    <col min="3" max="3" width="9.42578125" bestFit="1" customWidth="1"/>
    <col min="5" max="5" width="11" bestFit="1" customWidth="1"/>
    <col min="7" max="7" width="10.140625" style="13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20" t="s">
        <v>21</v>
      </c>
      <c r="E1" s="20" t="s">
        <v>132</v>
      </c>
      <c r="F1" t="s">
        <v>87</v>
      </c>
      <c r="G1" s="13">
        <f>SUM(C:C)</f>
        <v>34276.15</v>
      </c>
      <c r="H1" s="12">
        <f>SUM(D:D)</f>
        <v>152</v>
      </c>
    </row>
    <row r="2" spans="1:8" x14ac:dyDescent="0.25">
      <c r="A2">
        <v>1</v>
      </c>
      <c r="B2" s="1">
        <v>42291</v>
      </c>
      <c r="C2" s="14">
        <v>1651.2</v>
      </c>
      <c r="D2">
        <v>10</v>
      </c>
    </row>
    <row r="3" spans="1:8" x14ac:dyDescent="0.25">
      <c r="A3">
        <v>2</v>
      </c>
      <c r="B3" s="1">
        <v>42412</v>
      </c>
      <c r="C3" s="14">
        <v>986.65</v>
      </c>
      <c r="D3">
        <v>6</v>
      </c>
    </row>
    <row r="4" spans="1:8" x14ac:dyDescent="0.25">
      <c r="A4">
        <v>3</v>
      </c>
      <c r="B4" s="1">
        <v>42482</v>
      </c>
      <c r="C4" s="14">
        <v>1083.5</v>
      </c>
      <c r="D4">
        <v>6</v>
      </c>
    </row>
    <row r="5" spans="1:8" x14ac:dyDescent="0.25">
      <c r="A5">
        <v>4</v>
      </c>
      <c r="B5" s="1">
        <v>43173</v>
      </c>
      <c r="C5" s="14">
        <v>2500</v>
      </c>
      <c r="D5">
        <v>10</v>
      </c>
    </row>
    <row r="6" spans="1:8" x14ac:dyDescent="0.25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25">
      <c r="A7">
        <v>6</v>
      </c>
      <c r="B7" s="1" t="s">
        <v>86</v>
      </c>
      <c r="C7" s="14">
        <v>0</v>
      </c>
      <c r="D7">
        <v>4</v>
      </c>
    </row>
    <row r="8" spans="1:8" x14ac:dyDescent="0.25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25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2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25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25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25">
      <c r="A13">
        <v>12</v>
      </c>
      <c r="B13" s="1">
        <v>43704</v>
      </c>
      <c r="C13" s="14">
        <v>2990</v>
      </c>
      <c r="D13">
        <v>12</v>
      </c>
      <c r="E13" t="s">
        <v>133</v>
      </c>
    </row>
    <row r="14" spans="1:8" x14ac:dyDescent="0.25">
      <c r="A14">
        <v>13</v>
      </c>
      <c r="B14" s="1" t="s">
        <v>86</v>
      </c>
      <c r="C14" s="14" t="s">
        <v>86</v>
      </c>
      <c r="D14">
        <v>1</v>
      </c>
    </row>
    <row r="15" spans="1:8" x14ac:dyDescent="0.25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25">
      <c r="A16">
        <v>15</v>
      </c>
      <c r="B16" s="1" t="s">
        <v>86</v>
      </c>
      <c r="C16" s="14" t="s">
        <v>86</v>
      </c>
      <c r="D16">
        <v>2</v>
      </c>
    </row>
    <row r="17" spans="1:5" x14ac:dyDescent="0.25">
      <c r="A17">
        <v>16</v>
      </c>
      <c r="B17" s="1">
        <v>43899</v>
      </c>
      <c r="C17" s="14">
        <v>2599</v>
      </c>
      <c r="D17">
        <v>11</v>
      </c>
      <c r="E17">
        <v>91991592</v>
      </c>
    </row>
    <row r="18" spans="1:5" x14ac:dyDescent="0.25">
      <c r="A18">
        <v>17</v>
      </c>
      <c r="B18" s="1">
        <v>43986</v>
      </c>
      <c r="C18" s="14">
        <v>2943</v>
      </c>
      <c r="D18">
        <v>12</v>
      </c>
      <c r="E18">
        <v>92156929</v>
      </c>
    </row>
    <row r="19" spans="1:5" x14ac:dyDescent="0.25">
      <c r="A19">
        <v>18</v>
      </c>
      <c r="B19" s="1">
        <v>44026</v>
      </c>
      <c r="C19" s="14">
        <v>2602</v>
      </c>
      <c r="D19">
        <v>12</v>
      </c>
      <c r="E19">
        <v>92216560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showGridLines="0" workbookViewId="0">
      <selection activeCell="E16" sqref="E16"/>
    </sheetView>
  </sheetViews>
  <sheetFormatPr defaultColWidth="8.85546875" defaultRowHeight="15" x14ac:dyDescent="0.25"/>
  <cols>
    <col min="3" max="3" width="10.140625" customWidth="1"/>
    <col min="7" max="7" width="8.85546875" style="12"/>
    <col min="9" max="9" width="10.85546875" bestFit="1" customWidth="1"/>
  </cols>
  <sheetData>
    <row r="2" spans="2:10" x14ac:dyDescent="0.25">
      <c r="B2" t="s">
        <v>88</v>
      </c>
      <c r="C2" s="13">
        <v>3929</v>
      </c>
      <c r="I2" t="s">
        <v>93</v>
      </c>
      <c r="J2" s="13">
        <v>11</v>
      </c>
    </row>
    <row r="3" spans="2:10" x14ac:dyDescent="0.25">
      <c r="B3" t="s">
        <v>89</v>
      </c>
      <c r="C3" s="13">
        <f>Sales!K1</f>
        <v>30980</v>
      </c>
      <c r="I3" t="s">
        <v>94</v>
      </c>
      <c r="J3" s="13">
        <v>9</v>
      </c>
    </row>
    <row r="4" spans="2:10" x14ac:dyDescent="0.25">
      <c r="B4" t="s">
        <v>92</v>
      </c>
      <c r="C4" s="13">
        <f>J7</f>
        <v>31</v>
      </c>
      <c r="I4" t="s">
        <v>95</v>
      </c>
      <c r="J4" s="13">
        <v>6</v>
      </c>
    </row>
    <row r="5" spans="2:10" x14ac:dyDescent="0.25">
      <c r="B5" t="s">
        <v>59</v>
      </c>
      <c r="C5" s="13">
        <f>-Persons!X1</f>
        <v>-100</v>
      </c>
      <c r="F5" t="s">
        <v>87</v>
      </c>
      <c r="G5" s="12">
        <f>Purchases!H1</f>
        <v>152</v>
      </c>
      <c r="I5" t="s">
        <v>131</v>
      </c>
      <c r="J5" s="13">
        <v>5</v>
      </c>
    </row>
    <row r="6" spans="2:10" x14ac:dyDescent="0.25">
      <c r="B6" s="15" t="s">
        <v>87</v>
      </c>
      <c r="C6" s="16">
        <f>-Purchases!G1</f>
        <v>-34276.15</v>
      </c>
      <c r="F6" s="15" t="s">
        <v>44</v>
      </c>
      <c r="G6" s="25">
        <f>-Prizes!H1</f>
        <v>-134</v>
      </c>
      <c r="I6" s="15"/>
      <c r="J6" s="16"/>
    </row>
    <row r="7" spans="2:10" x14ac:dyDescent="0.25">
      <c r="B7" s="23" t="s">
        <v>90</v>
      </c>
      <c r="C7" s="24">
        <f>SUM(C2:C6)</f>
        <v>563.84999999999854</v>
      </c>
      <c r="F7" s="23" t="s">
        <v>90</v>
      </c>
      <c r="G7" s="26">
        <f>SUM(G2:G6)</f>
        <v>18</v>
      </c>
      <c r="I7" s="23" t="s">
        <v>96</v>
      </c>
      <c r="J7" s="24">
        <f>SUM(J2:J6)</f>
        <v>31</v>
      </c>
    </row>
    <row r="10" spans="2:10" x14ac:dyDescent="0.25">
      <c r="C10" s="8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53</v>
      </c>
      <c r="B1" t="s">
        <v>54</v>
      </c>
      <c r="M1" t="s">
        <v>68</v>
      </c>
    </row>
    <row r="2" spans="1:15" x14ac:dyDescent="0.25">
      <c r="A2" t="s">
        <v>52</v>
      </c>
      <c r="M2" t="s">
        <v>0</v>
      </c>
      <c r="N2" t="s">
        <v>1</v>
      </c>
      <c r="O2" t="s">
        <v>2</v>
      </c>
    </row>
    <row r="3" spans="1:15" x14ac:dyDescent="0.25">
      <c r="A3" t="s">
        <v>49</v>
      </c>
      <c r="N3" t="s">
        <v>60</v>
      </c>
    </row>
    <row r="4" spans="1:15" x14ac:dyDescent="0.25">
      <c r="A4" t="s">
        <v>55</v>
      </c>
      <c r="N4" t="s">
        <v>61</v>
      </c>
    </row>
    <row r="5" spans="1:15" x14ac:dyDescent="0.25">
      <c r="A5" t="s">
        <v>56</v>
      </c>
      <c r="N5" t="s">
        <v>62</v>
      </c>
    </row>
    <row r="6" spans="1:15" x14ac:dyDescent="0.25">
      <c r="N6" t="s">
        <v>63</v>
      </c>
    </row>
    <row r="8" spans="1:15" x14ac:dyDescent="0.25">
      <c r="M8" t="s">
        <v>71</v>
      </c>
    </row>
    <row r="9" spans="1:15" x14ac:dyDescent="0.25">
      <c r="M9" t="s">
        <v>0</v>
      </c>
      <c r="N9" t="s">
        <v>1</v>
      </c>
    </row>
    <row r="10" spans="1:15" x14ac:dyDescent="0.25">
      <c r="N10" t="s">
        <v>64</v>
      </c>
    </row>
    <row r="11" spans="1:15" x14ac:dyDescent="0.25">
      <c r="N11" t="s">
        <v>65</v>
      </c>
    </row>
    <row r="12" spans="1:15" x14ac:dyDescent="0.25">
      <c r="N12" t="s">
        <v>66</v>
      </c>
    </row>
    <row r="14" spans="1:15" x14ac:dyDescent="0.25">
      <c r="M14" t="s">
        <v>67</v>
      </c>
    </row>
    <row r="15" spans="1:15" x14ac:dyDescent="0.25">
      <c r="M15" t="s">
        <v>0</v>
      </c>
      <c r="N15" t="s">
        <v>75</v>
      </c>
    </row>
    <row r="22" spans="13:17" x14ac:dyDescent="0.25">
      <c r="M22" t="s">
        <v>69</v>
      </c>
    </row>
    <row r="23" spans="13:17" x14ac:dyDescent="0.25">
      <c r="M23" t="s">
        <v>0</v>
      </c>
      <c r="N23" t="s">
        <v>70</v>
      </c>
      <c r="O23" t="s">
        <v>74</v>
      </c>
      <c r="P23" t="s">
        <v>72</v>
      </c>
      <c r="Q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21</v>
      </c>
      <c r="D1" t="s">
        <v>50</v>
      </c>
      <c r="E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2020-07-20T11:00:01Z</dcterms:modified>
</cp:coreProperties>
</file>